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bolado en Rivera" sheetId="1" r:id="rId4"/>
    <sheet state="visible" name="Consultar Zona" sheetId="2" r:id="rId5"/>
    <sheet state="hidden" name="Totales" sheetId="3" r:id="rId6"/>
  </sheets>
  <definedNames>
    <definedName hidden="1" localSheetId="0" name="Z_FF86F6B2_1634_4D32_977D_8950FC3EF899_.wvu.FilterData">'Arbolado en Rivera'!$A$3:$G$4257</definedName>
  </definedNames>
  <calcPr/>
  <customWorkbookViews>
    <customWorkbookView activeSheetId="0" maximized="1" windowHeight="0" windowWidth="0" guid="{FF86F6B2-1634-4D32-977D-8950FC3EF899}" name="TODAS LAS ZONAS"/>
  </customWorkbookViews>
</workbook>
</file>

<file path=xl/sharedStrings.xml><?xml version="1.0" encoding="utf-8"?>
<sst xmlns="http://schemas.openxmlformats.org/spreadsheetml/2006/main" count="8412" uniqueCount="8391">
  <si>
    <t>Total de árboles</t>
  </si>
  <si>
    <t>Zona 1</t>
  </si>
  <si>
    <t>Zona 2</t>
  </si>
  <si>
    <t>Zona 3</t>
  </si>
  <si>
    <t>Zona 4</t>
  </si>
  <si>
    <t>Latitud</t>
  </si>
  <si>
    <t>Longitud</t>
  </si>
  <si>
    <t>Zona</t>
  </si>
  <si>
    <t>Manzana</t>
  </si>
  <si>
    <t>Nro de Árbol</t>
  </si>
  <si>
    <t>Google Maps</t>
  </si>
  <si>
    <t>Google Eart</t>
  </si>
  <si>
    <t>-30.9085623369631</t>
  </si>
  <si>
    <t>-55.5418202149917</t>
  </si>
  <si>
    <t>-30.9086786225937</t>
  </si>
  <si>
    <t>-55.5415908393606</t>
  </si>
  <si>
    <t>-30.9087625761143</t>
  </si>
  <si>
    <t>-55.5414192426538</t>
  </si>
  <si>
    <t>-3.0908807464794</t>
  </si>
  <si>
    <t>-55.5413455882343</t>
  </si>
  <si>
    <t>-30.9084599238673</t>
  </si>
  <si>
    <t>-55.5410184784325</t>
  </si>
  <si>
    <t>-30.9079826306537</t>
  </si>
  <si>
    <t>-55.5410682577867</t>
  </si>
  <si>
    <t>-30.9078322812076</t>
  </si>
  <si>
    <t>-55.5416879006129</t>
  </si>
  <si>
    <t>-3.0907949434123</t>
  </si>
  <si>
    <t>-55.5417827169845</t>
  </si>
  <si>
    <t>-30.9080100681708</t>
  </si>
  <si>
    <t>-55.5418156220984</t>
  </si>
  <si>
    <t>-30.9081135870265</t>
  </si>
  <si>
    <t>-55.5419103805931</t>
  </si>
  <si>
    <t>-30.9082121113853</t>
  </si>
  <si>
    <t>-55.5424420073895</t>
  </si>
  <si>
    <t>-30.9083080232214</t>
  </si>
  <si>
    <t>-55.5422930184486</t>
  </si>
  <si>
    <t>-30.9081344080317</t>
  </si>
  <si>
    <t>-55.5420404251968</t>
  </si>
  <si>
    <t>-3.0907749592464</t>
  </si>
  <si>
    <t>-55.5417715928406</t>
  </si>
  <si>
    <t>-3.0907480214178</t>
  </si>
  <si>
    <t>-55.5420297790972</t>
  </si>
  <si>
    <t>-30.9074482802175</t>
  </si>
  <si>
    <t>-55.5420887869302</t>
  </si>
  <si>
    <t>-30.9073537140691</t>
  </si>
  <si>
    <t>-55.5422311231855</t>
  </si>
  <si>
    <t>-30.9073077100211</t>
  </si>
  <si>
    <t>-55.5423590117613</t>
  </si>
  <si>
    <t>-30.9072961761128</t>
  </si>
  <si>
    <t>-55.5425670856449</t>
  </si>
  <si>
    <t>-30.9074627076052</t>
  </si>
  <si>
    <t>-55.5426823250918</t>
  </si>
  <si>
    <t>-30.9075273857691</t>
  </si>
  <si>
    <t>-55.5427303207558</t>
  </si>
  <si>
    <t>-30.9075822782725</t>
  </si>
  <si>
    <t>-55.5427740294405</t>
  </si>
  <si>
    <t>-30.9075354914976</t>
  </si>
  <si>
    <t>-55.5437551141324</t>
  </si>
  <si>
    <t>-30.9076562242556</t>
  </si>
  <si>
    <t>-55.5435237631524</t>
  </si>
  <si>
    <t>-30.9078120862629</t>
  </si>
  <si>
    <t>-55.5432170505174</t>
  </si>
  <si>
    <t>-30.9077172691285</t>
  </si>
  <si>
    <t>-5.5543002679369</t>
  </si>
  <si>
    <t>-30.9076517954781</t>
  </si>
  <si>
    <t>-55.5429494585556</t>
  </si>
  <si>
    <t>-3.0907544758822</t>
  </si>
  <si>
    <t>-55.5428859069824</t>
  </si>
  <si>
    <t>-30.9073148888486</t>
  </si>
  <si>
    <t>-55.5427119831792</t>
  </si>
  <si>
    <t>-30.9071059743995</t>
  </si>
  <si>
    <t>-55.5427194527044</t>
  </si>
  <si>
    <t>-30.9068740946408</t>
  </si>
  <si>
    <t>-55.5431574555906</t>
  </si>
  <si>
    <t>-30.9068413277749</t>
  </si>
  <si>
    <t>-55.5432232033536</t>
  </si>
  <si>
    <t>-30.9067932269615</t>
  </si>
  <si>
    <t>-55.5433067577572</t>
  </si>
  <si>
    <t>-30.9067659259172</t>
  </si>
  <si>
    <t>-55.5434602654541</t>
  </si>
  <si>
    <t>-30.9068299118868</t>
  </si>
  <si>
    <t>-55.5434995658306</t>
  </si>
  <si>
    <t>-30.9070328985863</t>
  </si>
  <si>
    <t>-55.5436463693993</t>
  </si>
  <si>
    <t>-30.9071088354935</t>
  </si>
  <si>
    <t>-55.5436987262569</t>
  </si>
  <si>
    <t>-30.9071502584214</t>
  </si>
  <si>
    <t>-55.5437317207205</t>
  </si>
  <si>
    <t>-30.9072288023408</t>
  </si>
  <si>
    <t>-55.5437843609142</t>
  </si>
  <si>
    <t>-30.9073004928676</t>
  </si>
  <si>
    <t>-55.5438249711472</t>
  </si>
  <si>
    <t>-30.9071056056609</t>
  </si>
  <si>
    <t>-55.5445685897008</t>
  </si>
  <si>
    <t>-30.9071297727334</t>
  </si>
  <si>
    <t>-55.5445367111796</t>
  </si>
  <si>
    <t>-30.9071733943285</t>
  </si>
  <si>
    <t>-55.5444300996043</t>
  </si>
  <si>
    <t>-30.9072143978296</t>
  </si>
  <si>
    <t>-55.5443573171663</t>
  </si>
  <si>
    <t>-30.9070738360768</t>
  </si>
  <si>
    <t>-55.5437918760122</t>
  </si>
  <si>
    <t>-30.9070262533773</t>
  </si>
  <si>
    <t>-55.5437583170688</t>
  </si>
  <si>
    <t>-30.9069785384216</t>
  </si>
  <si>
    <t>-55.5437182302132</t>
  </si>
  <si>
    <t>-30.9068490182866</t>
  </si>
  <si>
    <t>-55.5436226264196</t>
  </si>
  <si>
    <t>-30.9067491384722</t>
  </si>
  <si>
    <t>-55.5435661765314</t>
  </si>
  <si>
    <t>-30.9065389182527</t>
  </si>
  <si>
    <t>-5.5543764634981</t>
  </si>
  <si>
    <t>-30.9064708260981</t>
  </si>
  <si>
    <t>-55.5439270306378</t>
  </si>
  <si>
    <t>-30.9063766871876</t>
  </si>
  <si>
    <t>-55.5440925567203</t>
  </si>
  <si>
    <t>-30.9063286471819</t>
  </si>
  <si>
    <t>-55.5441819980959</t>
  </si>
  <si>
    <t>-3.0906305108685</t>
  </si>
  <si>
    <t>-55.5443622899591</t>
  </si>
  <si>
    <t>-30.9063607014925</t>
  </si>
  <si>
    <t>-55.5443985830834</t>
  </si>
  <si>
    <t>-30.9064684296088</t>
  </si>
  <si>
    <t>-55.5444848959363</t>
  </si>
  <si>
    <t>-3.0906548129111</t>
  </si>
  <si>
    <t>-5.5544538307502</t>
  </si>
  <si>
    <t>-30.9066962702298</t>
  </si>
  <si>
    <t>-5.5544640998411</t>
  </si>
  <si>
    <t>-30.9067750827534</t>
  </si>
  <si>
    <t>-55.5447095557594</t>
  </si>
  <si>
    <t>-30.9065143760065</t>
  </si>
  <si>
    <t>-55.5456879469385</t>
  </si>
  <si>
    <t>-30.9067071339585</t>
  </si>
  <si>
    <t>-55.5453101737368</t>
  </si>
  <si>
    <t>-30.9068304019994</t>
  </si>
  <si>
    <t>-55.5451009550144</t>
  </si>
  <si>
    <t>-30.9068652321899</t>
  </si>
  <si>
    <t>-5.5545043402873</t>
  </si>
  <si>
    <t>-30.9067899708162</t>
  </si>
  <si>
    <t>-55.5448793834167</t>
  </si>
  <si>
    <t>-30.9067355577984</t>
  </si>
  <si>
    <t>-55.5448361613182</t>
  </si>
  <si>
    <t>-30.9064273984714</t>
  </si>
  <si>
    <t>-55.5446259307892</t>
  </si>
  <si>
    <t>-30.9063713001184</t>
  </si>
  <si>
    <t>-55.5445787690684</t>
  </si>
  <si>
    <t>-30.9063040304978</t>
  </si>
  <si>
    <t>-5.5544531208111</t>
  </si>
  <si>
    <t>-30.9062328673733</t>
  </si>
  <si>
    <t>-5.5544484298214</t>
  </si>
  <si>
    <t>-30.9061643849681</t>
  </si>
  <si>
    <t>-55.5444905776153</t>
  </si>
  <si>
    <t>-30.9061399539583</t>
  </si>
  <si>
    <t>-55.5444996871527</t>
  </si>
  <si>
    <t>-30.9061182941135</t>
  </si>
  <si>
    <t>-55.5445663472231</t>
  </si>
  <si>
    <t>-30.9060834419565</t>
  </si>
  <si>
    <t>-5.5544619211356</t>
  </si>
  <si>
    <t>-30.9060576304923</t>
  </si>
  <si>
    <t>-55.5446626974414</t>
  </si>
  <si>
    <t>-30.9058359210348</t>
  </si>
  <si>
    <t>-55.5450853124537</t>
  </si>
  <si>
    <t>-30.9057784144434</t>
  </si>
  <si>
    <t>-55.5451903806213</t>
  </si>
  <si>
    <t>-3.0905778305195</t>
  </si>
  <si>
    <t>-55.5452808490344</t>
  </si>
  <si>
    <t>-3.0905851879685</t>
  </si>
  <si>
    <t>-55.5453377524178</t>
  </si>
  <si>
    <t>-30.9059148324354</t>
  </si>
  <si>
    <t>-5.5545378410436</t>
  </si>
  <si>
    <t>-30.9060556086761</t>
  </si>
  <si>
    <t>-55.5454749565226</t>
  </si>
  <si>
    <t>-30.9061152722388</t>
  </si>
  <si>
    <t>-55.5455346446913</t>
  </si>
  <si>
    <t>-30.9062393566237</t>
  </si>
  <si>
    <t>-55.5455905929223</t>
  </si>
  <si>
    <t>-30.9063151655113</t>
  </si>
  <si>
    <t>-55.5456584383578</t>
  </si>
  <si>
    <t>-30.9056064797171</t>
  </si>
  <si>
    <t>-55.5455440067214</t>
  </si>
  <si>
    <t>-30.9056896451178</t>
  </si>
  <si>
    <t>-55.5454074275334</t>
  </si>
  <si>
    <t>-30.9057452741714</t>
  </si>
  <si>
    <t>-55.5453859453561</t>
  </si>
  <si>
    <t>-30.9057951514457</t>
  </si>
  <si>
    <t>-55.5454320159901</t>
  </si>
  <si>
    <t>-30.9058100235644</t>
  </si>
  <si>
    <t>-55.5454487557114</t>
  </si>
  <si>
    <t>-30.9058701221712</t>
  </si>
  <si>
    <t>-55.5454854122774</t>
  </si>
  <si>
    <t>-3.0905949462765</t>
  </si>
  <si>
    <t>-55.5455248362094</t>
  </si>
  <si>
    <t>-30.9062548627498</t>
  </si>
  <si>
    <t>-55.5457498348248</t>
  </si>
  <si>
    <t>-30.9063076508241</t>
  </si>
  <si>
    <t>-55.5457941553358</t>
  </si>
  <si>
    <t>-30.9061182946333</t>
  </si>
  <si>
    <t>-55.5463967142229</t>
  </si>
  <si>
    <t>-30.9076479347842</t>
  </si>
  <si>
    <t>-55.5415039207327</t>
  </si>
  <si>
    <t>-30.9076976105712</t>
  </si>
  <si>
    <t>-5.5541409622316</t>
  </si>
  <si>
    <t>-30.9078793389034</t>
  </si>
  <si>
    <t>-55.5410609998854</t>
  </si>
  <si>
    <t>-30.9079185410384</t>
  </si>
  <si>
    <t>-5.5540987000298</t>
  </si>
  <si>
    <t>-0.3090799288893</t>
  </si>
  <si>
    <t>-55.5408303340199</t>
  </si>
  <si>
    <t>-30.9076651959219</t>
  </si>
  <si>
    <t>-0.5554045418706</t>
  </si>
  <si>
    <t>-3.0907536742154</t>
  </si>
  <si>
    <t>-5.5540363877482</t>
  </si>
  <si>
    <t>-3.0907133574127</t>
  </si>
  <si>
    <t>-55.5406673112119</t>
  </si>
  <si>
    <t>-30.9070732888236</t>
  </si>
  <si>
    <t>-55.5407894806845</t>
  </si>
  <si>
    <t>-3.0906982426122</t>
  </si>
  <si>
    <t>-55.5409209370329</t>
  </si>
  <si>
    <t>-30.9069453893603</t>
  </si>
  <si>
    <t>-5.5540992143515</t>
  </si>
  <si>
    <t>-30.9070558560666</t>
  </si>
  <si>
    <t>-55.5411452752246</t>
  </si>
  <si>
    <t>-30.9072305884691</t>
  </si>
  <si>
    <t>-55.5412632763912</t>
  </si>
  <si>
    <t>-30.9073082058847</t>
  </si>
  <si>
    <t>-55.5413254609809</t>
  </si>
  <si>
    <t>-3.0907376247694</t>
  </si>
  <si>
    <t>-55.5413846425436</t>
  </si>
  <si>
    <t>-30.9071660855945</t>
  </si>
  <si>
    <t>-55.5424374384029</t>
  </si>
  <si>
    <t>-30.9071989906934</t>
  </si>
  <si>
    <t>-55.5423655287161</t>
  </si>
  <si>
    <t>-30.9072826555699</t>
  </si>
  <si>
    <t>-55.5421998837116</t>
  </si>
  <si>
    <t>-30.9073185301377</t>
  </si>
  <si>
    <t>-55.5420835992101</t>
  </si>
  <si>
    <t>-30.9073788467952</t>
  </si>
  <si>
    <t>-55.5419768985263</t>
  </si>
  <si>
    <t>-30.9075560525513</t>
  </si>
  <si>
    <t>-55.5417071480027</t>
  </si>
  <si>
    <t>-30.9074808501054</t>
  </si>
  <si>
    <t>-55.5415616794236</t>
  </si>
  <si>
    <t>-30.9073794921217</t>
  </si>
  <si>
    <t>-55.5414928264528</t>
  </si>
  <si>
    <t>-30.9070542042801</t>
  </si>
  <si>
    <t>-55.5412822626966</t>
  </si>
  <si>
    <t>-30.9068328838872</t>
  </si>
  <si>
    <t>-55.5412185653706</t>
  </si>
  <si>
    <t>-3.0906678637395</t>
  </si>
  <si>
    <t>-55.5415173134342</t>
  </si>
  <si>
    <t>-30.9066044291266</t>
  </si>
  <si>
    <t>-55.5416577539524</t>
  </si>
  <si>
    <t>-30.9065538201557</t>
  </si>
  <si>
    <t>-55.5417060258737</t>
  </si>
  <si>
    <t>-30.9065049584438</t>
  </si>
  <si>
    <t>-55.5418302601226</t>
  </si>
  <si>
    <t>-30.9065464397735</t>
  </si>
  <si>
    <t>-55.5420415066904</t>
  </si>
  <si>
    <t>-30.9066131574446</t>
  </si>
  <si>
    <t>-55.5420912896984</t>
  </si>
  <si>
    <t>-30.9066752264756</t>
  </si>
  <si>
    <t>-55.5421384867914</t>
  </si>
  <si>
    <t>-3.0906774257639</t>
  </si>
  <si>
    <t>-55.5422233551054</t>
  </si>
  <si>
    <t>-3.0906825926326</t>
  </si>
  <si>
    <t>-55.5422493168622</t>
  </si>
  <si>
    <t>-30.9069066867295</t>
  </si>
  <si>
    <t>-55.5423129691166</t>
  </si>
  <si>
    <t>-30.9069854606946</t>
  </si>
  <si>
    <t>-55.5423642718497</t>
  </si>
  <si>
    <t>-30.9070624371477</t>
  </si>
  <si>
    <t>-5.5542423514123</t>
  </si>
  <si>
    <t>-30.9066972725002</t>
  </si>
  <si>
    <t>-55.5432744856964</t>
  </si>
  <si>
    <t>-30.9068451538416</t>
  </si>
  <si>
    <t>-55.5430246772378</t>
  </si>
  <si>
    <t>-30.9069075727804</t>
  </si>
  <si>
    <t>-55.5429079592886</t>
  </si>
  <si>
    <t>-30.9069515583664</t>
  </si>
  <si>
    <t>-55.5428279564859</t>
  </si>
  <si>
    <t>-3.0907060791779</t>
  </si>
  <si>
    <t>-55.5425211239155</t>
  </si>
  <si>
    <t>-30.9069730136566</t>
  </si>
  <si>
    <t>-55.5424571140141</t>
  </si>
  <si>
    <t>-30.9068944961302</t>
  </si>
  <si>
    <t>-55.5424105986205</t>
  </si>
  <si>
    <t>-30.9068068357037</t>
  </si>
  <si>
    <t>-55.5423456649393</t>
  </si>
  <si>
    <t>-30.9067138895122</t>
  </si>
  <si>
    <t>-55.5422869801626</t>
  </si>
  <si>
    <t>-30.9065634821413</t>
  </si>
  <si>
    <t>-55.5421814218969</t>
  </si>
  <si>
    <t>-30.9062741938428</t>
  </si>
  <si>
    <t>-55.5422340665248</t>
  </si>
  <si>
    <t>-30.9062488886759</t>
  </si>
  <si>
    <t>-55.5422920924501</t>
  </si>
  <si>
    <t>-3.0906222260404</t>
  </si>
  <si>
    <t>-5.5542351918879</t>
  </si>
  <si>
    <t>-30.9061916057822</t>
  </si>
  <si>
    <t>-55.5424262647073</t>
  </si>
  <si>
    <t>-30.9061099390615</t>
  </si>
  <si>
    <t>-55.5425574511662</t>
  </si>
  <si>
    <t>-30.9061427824322</t>
  </si>
  <si>
    <t>-55.5429807612145</t>
  </si>
  <si>
    <t>-30.9062478628464</t>
  </si>
  <si>
    <t>-55.5430561847217</t>
  </si>
  <si>
    <t>-30.9063571395208</t>
  </si>
  <si>
    <t>-55.5431326798814</t>
  </si>
  <si>
    <t>-3.0906502635596</t>
  </si>
  <si>
    <t>-55.5432631813071</t>
  </si>
  <si>
    <t>-30.9062791545662</t>
  </si>
  <si>
    <t>-55.5440271803468</t>
  </si>
  <si>
    <t>-30.9063855035837</t>
  </si>
  <si>
    <t>-55.5438481546002</t>
  </si>
  <si>
    <t>-30.9064973823536</t>
  </si>
  <si>
    <t>-5.5543394060849</t>
  </si>
  <si>
    <t>-30.9062358465223</t>
  </si>
  <si>
    <t>-5.5543182364987</t>
  </si>
  <si>
    <t>-30.9060929634433</t>
  </si>
  <si>
    <t>-55.5430848493164</t>
  </si>
  <si>
    <t>-30.9060332990143</t>
  </si>
  <si>
    <t>-55.5430300433685</t>
  </si>
  <si>
    <t>-30.9058092595023</t>
  </si>
  <si>
    <t>-55.5431276934193</t>
  </si>
  <si>
    <t>-30.9057532104055</t>
  </si>
  <si>
    <t>-55.5432493121191</t>
  </si>
  <si>
    <t>-30.9056373320574</t>
  </si>
  <si>
    <t>-55.5434485610865</t>
  </si>
  <si>
    <t>-30.9055332556947</t>
  </si>
  <si>
    <t>-55.5438083408984</t>
  </si>
  <si>
    <t>-30.9056768389922</t>
  </si>
  <si>
    <t>-55.5439027069254</t>
  </si>
  <si>
    <t>-3.0905723104062</t>
  </si>
  <si>
    <t>-55.5439273525261</t>
  </si>
  <si>
    <t>-30.9057621334676</t>
  </si>
  <si>
    <t>-55.5439631009108</t>
  </si>
  <si>
    <t>-30.9060066983428</t>
  </si>
  <si>
    <t>-55.5441361676045</t>
  </si>
  <si>
    <t>-30.9060694593091</t>
  </si>
  <si>
    <t>-55.5441853026489</t>
  </si>
  <si>
    <t>-3.0906136959424</t>
  </si>
  <si>
    <t>-55.5442297461175</t>
  </si>
  <si>
    <t>-30.9050505203466</t>
  </si>
  <si>
    <t>-55.5447826368956</t>
  </si>
  <si>
    <t>-30.9051037288871</t>
  </si>
  <si>
    <t>-55.5448195276637</t>
  </si>
  <si>
    <t>-30.9051553348284</t>
  </si>
  <si>
    <t>-55.5448564741357</t>
  </si>
  <si>
    <t>-30.9052832738456</t>
  </si>
  <si>
    <t>-5.5544935647806</t>
  </si>
  <si>
    <t>-30.9054673432448</t>
  </si>
  <si>
    <t>-55.5450605678712</t>
  </si>
  <si>
    <t>-30.9055298359688</t>
  </si>
  <si>
    <t>-55.5450986597358</t>
  </si>
  <si>
    <t>-30.9055910588519</t>
  </si>
  <si>
    <t>-55.5451470137842</t>
  </si>
  <si>
    <t>-30.9057475728556</t>
  </si>
  <si>
    <t>-55.5450855139851</t>
  </si>
  <si>
    <t>-30.9057885428456</t>
  </si>
  <si>
    <t>-55.5449993209547</t>
  </si>
  <si>
    <t>-30.9058751963081</t>
  </si>
  <si>
    <t>-55.5448722736586</t>
  </si>
  <si>
    <t>-30.9059111444821</t>
  </si>
  <si>
    <t>-55.5447990532352</t>
  </si>
  <si>
    <t>-30.9059471000542</t>
  </si>
  <si>
    <t>-5.5544735023191</t>
  </si>
  <si>
    <t>-30.9059764569029</t>
  </si>
  <si>
    <t>-55.5446720567796</t>
  </si>
  <si>
    <t>-30.9060390469646</t>
  </si>
  <si>
    <t>-5.5544562985648</t>
  </si>
  <si>
    <t>-30.9060643952479</t>
  </si>
  <si>
    <t>-55.5445204255835</t>
  </si>
  <si>
    <t>-30.9055661528126</t>
  </si>
  <si>
    <t>-55.5439665158217</t>
  </si>
  <si>
    <t>-30.9055200123711</t>
  </si>
  <si>
    <t>-55.5439260499274</t>
  </si>
  <si>
    <t>-30.9052892459124</t>
  </si>
  <si>
    <t>-55.5440852369797</t>
  </si>
  <si>
    <t>-3.0905233952046</t>
  </si>
  <si>
    <t>-55.5442267669496</t>
  </si>
  <si>
    <t>-3.0905168034248</t>
  </si>
  <si>
    <t>-55.5443403066076</t>
  </si>
  <si>
    <t>-30.9051339981951</t>
  </si>
  <si>
    <t>-55.5444047065325</t>
  </si>
  <si>
    <t>-30.9050944125149</t>
  </si>
  <si>
    <t>-55.5444698178377</t>
  </si>
  <si>
    <t>-30.9050330444944</t>
  </si>
  <si>
    <t>-55.5445903268797</t>
  </si>
  <si>
    <t>-30.9051087478662</t>
  </si>
  <si>
    <t>-55.5449413417364</t>
  </si>
  <si>
    <t>-30.9051747474747</t>
  </si>
  <si>
    <t>-55.5449922094491</t>
  </si>
  <si>
    <t>-30.9053827699247</t>
  </si>
  <si>
    <t>-55.5451064876404</t>
  </si>
  <si>
    <t>-30.9054256892652</t>
  </si>
  <si>
    <t>-55.5451422184561</t>
  </si>
  <si>
    <t>-30.9055322670694</t>
  </si>
  <si>
    <t>-55.5454667316567</t>
  </si>
  <si>
    <t>-30.9055060741693</t>
  </si>
  <si>
    <t>-55.5455062195995</t>
  </si>
  <si>
    <t>-30.9069224168798</t>
  </si>
  <si>
    <t>-55.5408510259735</t>
  </si>
  <si>
    <t>-0.3090714757785</t>
  </si>
  <si>
    <t>-55.5404144039185</t>
  </si>
  <si>
    <t>-30.9071969273133</t>
  </si>
  <si>
    <t>-55.5403312928597</t>
  </si>
  <si>
    <t>-30.9071638755838</t>
  </si>
  <si>
    <t>-55.5401024041676</t>
  </si>
  <si>
    <t>-30.9070876316905</t>
  </si>
  <si>
    <t>-55.5400351815124</t>
  </si>
  <si>
    <t>-30.9068307839872</t>
  </si>
  <si>
    <t>-55.5398599696736</t>
  </si>
  <si>
    <t>-30.9067627967378</t>
  </si>
  <si>
    <t>-55.5398179506156</t>
  </si>
  <si>
    <t>-30.9064873396353</t>
  </si>
  <si>
    <t>-55.5398317984674</t>
  </si>
  <si>
    <t>-3.0906374373242</t>
  </si>
  <si>
    <t>-55.5400419615494</t>
  </si>
  <si>
    <t>-30.9063210321238</t>
  </si>
  <si>
    <t>-55.5401355203231</t>
  </si>
  <si>
    <t>-30.9062510894431</t>
  </si>
  <si>
    <t>-55.5402706522377</t>
  </si>
  <si>
    <t>-30.9061868316596</t>
  </si>
  <si>
    <t>-55.5403574261216</t>
  </si>
  <si>
    <t>-30.9062899415339</t>
  </si>
  <si>
    <t>-55.5405821610872</t>
  </si>
  <si>
    <t>-30.9063479021584</t>
  </si>
  <si>
    <t>-55.5406281698954</t>
  </si>
  <si>
    <t>-30.9068081343182</t>
  </si>
  <si>
    <t>-55.5409725691468</t>
  </si>
  <si>
    <t>-30.9064341534845</t>
  </si>
  <si>
    <t>-55.5417419842569</t>
  </si>
  <si>
    <t>-30.9065442669551</t>
  </si>
  <si>
    <t>-55.5415307333633</t>
  </si>
  <si>
    <t>-30.9066041576293</t>
  </si>
  <si>
    <t>-55.5414236681312</t>
  </si>
  <si>
    <t>-30.9066277911094</t>
  </si>
  <si>
    <t>-55.5413632830472</t>
  </si>
  <si>
    <t>-30.9066954284352</t>
  </si>
  <si>
    <t>-55.5412219505367</t>
  </si>
  <si>
    <t>-30.9067524330098</t>
  </si>
  <si>
    <t>-55.5411485747382</t>
  </si>
  <si>
    <t>-30.9067261993937</t>
  </si>
  <si>
    <t>-55.5410303231378</t>
  </si>
  <si>
    <t>-30.9066703620544</t>
  </si>
  <si>
    <t>-55.5410002271298</t>
  </si>
  <si>
    <t>-30.9065880950757</t>
  </si>
  <si>
    <t>-55.5409500323479</t>
  </si>
  <si>
    <t>-30.9065039354715</t>
  </si>
  <si>
    <t>-55.5408848467456</t>
  </si>
  <si>
    <t>-30.9064227630845</t>
  </si>
  <si>
    <t>-55.5408223386003</t>
  </si>
  <si>
    <t>-30.9063513528304</t>
  </si>
  <si>
    <t>-55.5407593947535</t>
  </si>
  <si>
    <t>-30.9062731321728</t>
  </si>
  <si>
    <t>-55.5407171335977</t>
  </si>
  <si>
    <t>-30.9061173409309</t>
  </si>
  <si>
    <t>-55.5405819509031</t>
  </si>
  <si>
    <t>-3.0906050129764</t>
  </si>
  <si>
    <t>-55.5406336892631</t>
  </si>
  <si>
    <t>-30.9060086360089</t>
  </si>
  <si>
    <t>-55.5407128187484</t>
  </si>
  <si>
    <t>-30.9059146475233</t>
  </si>
  <si>
    <t>-55.5409223308808</t>
  </si>
  <si>
    <t>-30.9058419393883</t>
  </si>
  <si>
    <t>-55.5410380605273</t>
  </si>
  <si>
    <t>-30.9057343893045</t>
  </si>
  <si>
    <t>-55.5412283621021</t>
  </si>
  <si>
    <t>-30.9056994412895</t>
  </si>
  <si>
    <t>-55.5414169646723</t>
  </si>
  <si>
    <t>-30.9057596042767</t>
  </si>
  <si>
    <t>-55.5414612831513</t>
  </si>
  <si>
    <t>-30.9058081862748</t>
  </si>
  <si>
    <t>-55.5414937229422</t>
  </si>
  <si>
    <t>-30.9059367393323</t>
  </si>
  <si>
    <t>-55.5426889164893</t>
  </si>
  <si>
    <t>-30.9059788264766</t>
  </si>
  <si>
    <t>-55.5426082553031</t>
  </si>
  <si>
    <t>-30.9060410688649</t>
  </si>
  <si>
    <t>-55.5425053573636</t>
  </si>
  <si>
    <t>-30.9061926308327</t>
  </si>
  <si>
    <t>-55.5421709947648</t>
  </si>
  <si>
    <t>-30.9062865507183</t>
  </si>
  <si>
    <t>-55.5419663912964</t>
  </si>
  <si>
    <t>-30.9061897739122</t>
  </si>
  <si>
    <t>-55.5419064626484</t>
  </si>
  <si>
    <t>-30.9061333620005</t>
  </si>
  <si>
    <t>-55.5418706978256</t>
  </si>
  <si>
    <t>-30.9060759443797</t>
  </si>
  <si>
    <t>-55.5418307259309</t>
  </si>
  <si>
    <t>-30.9060188934631</t>
  </si>
  <si>
    <t>-55.5417862652407</t>
  </si>
  <si>
    <t>-30.9059201968462</t>
  </si>
  <si>
    <t>-55.5417264369138</t>
  </si>
  <si>
    <t>-0.3090571053517</t>
  </si>
  <si>
    <t>-55.5415801696805</t>
  </si>
  <si>
    <t>-30.9056732197711</t>
  </si>
  <si>
    <t>-55.5415336520318</t>
  </si>
  <si>
    <t>-3.0905601572058</t>
  </si>
  <si>
    <t>-55.5415058779452</t>
  </si>
  <si>
    <t>-30.9054080901318</t>
  </si>
  <si>
    <t>-55.5418511057006</t>
  </si>
  <si>
    <t>-30.9053368567014</t>
  </si>
  <si>
    <t>-55.5419904847643</t>
  </si>
  <si>
    <t>-30.9052096272547</t>
  </si>
  <si>
    <t>-55.5422466235474</t>
  </si>
  <si>
    <t>-30.9052341039823</t>
  </si>
  <si>
    <t>-55.5423599233299</t>
  </si>
  <si>
    <t>-30.9053573189994</t>
  </si>
  <si>
    <t>-55.5424395167475</t>
  </si>
  <si>
    <t>-30.9054669520482</t>
  </si>
  <si>
    <t>-55.5424997098385</t>
  </si>
  <si>
    <t>-30.9055760430366</t>
  </si>
  <si>
    <t>-55.5425995350711</t>
  </si>
  <si>
    <t>-30.9056510206845</t>
  </si>
  <si>
    <t>-55.5426449869553</t>
  </si>
  <si>
    <t>-30.9057669818182</t>
  </si>
  <si>
    <t>-55.5427322282652</t>
  </si>
  <si>
    <t>-30.9056305167776</t>
  </si>
  <si>
    <t>-55.5432594632674</t>
  </si>
  <si>
    <t>-30.9056689750018</t>
  </si>
  <si>
    <t>-55.5431781183231</t>
  </si>
  <si>
    <t>-30.9057226968924</t>
  </si>
  <si>
    <t>-55.5428134448025</t>
  </si>
  <si>
    <t>-30.9056840954301</t>
  </si>
  <si>
    <t>-55.5427838706629</t>
  </si>
  <si>
    <t>-30.9056231847204</t>
  </si>
  <si>
    <t>-55.5427449669821</t>
  </si>
  <si>
    <t>-3.0905576552958</t>
  </si>
  <si>
    <t>-55.5427115729586</t>
  </si>
  <si>
    <t>-30.9055288652254</t>
  </si>
  <si>
    <t>-5.5542681319269</t>
  </si>
  <si>
    <t>-30.9053946517649</t>
  </si>
  <si>
    <t>-55.5425913531961</t>
  </si>
  <si>
    <t>-30.9051918364551</t>
  </si>
  <si>
    <t>-55.5424485774027</t>
  </si>
  <si>
    <t>-30.9050591705561</t>
  </si>
  <si>
    <t>-55.5425021126981</t>
  </si>
  <si>
    <t>-30.9049744703999</t>
  </si>
  <si>
    <t>-55.5426460528014</t>
  </si>
  <si>
    <t>-30.9049485337524</t>
  </si>
  <si>
    <t>-55.5426874429198</t>
  </si>
  <si>
    <t>-30.9048308866265</t>
  </si>
  <si>
    <t>-55.5428958962636</t>
  </si>
  <si>
    <t>-30.9047722680471</t>
  </si>
  <si>
    <t>-55.5430138496469</t>
  </si>
  <si>
    <t>-30.9048100946359</t>
  </si>
  <si>
    <t>-55.5432848753061</t>
  </si>
  <si>
    <t>-30.9050311966242</t>
  </si>
  <si>
    <t>-5.5543447052536</t>
  </si>
  <si>
    <t>-0.3090512672296</t>
  </si>
  <si>
    <t>-55.5435170089781</t>
  </si>
  <si>
    <t>-30.9051879830672</t>
  </si>
  <si>
    <t>-5.5543555144343</t>
  </si>
  <si>
    <t>-30.9052421223797</t>
  </si>
  <si>
    <t>-55.5436008789186</t>
  </si>
  <si>
    <t>-30.9037334736476</t>
  </si>
  <si>
    <t>-55.5450153486376</t>
  </si>
  <si>
    <t>-30.9037909111107</t>
  </si>
  <si>
    <t>-55.5449158293535</t>
  </si>
  <si>
    <t>-30.9039287051349</t>
  </si>
  <si>
    <t>-55.5446435215858</t>
  </si>
  <si>
    <t>-30.9039505882959</t>
  </si>
  <si>
    <t>-55.5446074576412</t>
  </si>
  <si>
    <t>-30.9039919928929</t>
  </si>
  <si>
    <t>-55.5445124036435</t>
  </si>
  <si>
    <t>-30.9040514810347</t>
  </si>
  <si>
    <t>-5.5544392433398</t>
  </si>
  <si>
    <t>-30.9042667321262</t>
  </si>
  <si>
    <t>-55.5443335512771</t>
  </si>
  <si>
    <t>-30.9043425103827</t>
  </si>
  <si>
    <t>-55.5443874042899</t>
  </si>
  <si>
    <t>-30.9044025238136</t>
  </si>
  <si>
    <t>-5.5544434368195</t>
  </si>
  <si>
    <t>-30.9045372571739</t>
  </si>
  <si>
    <t>-55.5445208628237</t>
  </si>
  <si>
    <t>-30.9045963065033</t>
  </si>
  <si>
    <t>-55.5445580869602</t>
  </si>
  <si>
    <t>-3.0904745982872</t>
  </si>
  <si>
    <t>-55.5446960573869</t>
  </si>
  <si>
    <t>-30.9048070293893</t>
  </si>
  <si>
    <t>-55.5447275906498</t>
  </si>
  <si>
    <t>-30.9048767674103</t>
  </si>
  <si>
    <t>-55.5447619488076</t>
  </si>
  <si>
    <t>-30.9060986307168</t>
  </si>
  <si>
    <t>-55.5403555369007</t>
  </si>
  <si>
    <t>-30.9061362270462</t>
  </si>
  <si>
    <t>-55.5402894928206</t>
  </si>
  <si>
    <t>-30.9061737128308</t>
  </si>
  <si>
    <t>-55.5402103468574</t>
  </si>
  <si>
    <t>-30.9062626657419</t>
  </si>
  <si>
    <t>-55.5400593672128</t>
  </si>
  <si>
    <t>-30.9062909567593</t>
  </si>
  <si>
    <t>-55.5399728502007</t>
  </si>
  <si>
    <t>-30.9063350437917</t>
  </si>
  <si>
    <t>-55.5398914866894</t>
  </si>
  <si>
    <t>-30.9063676185956</t>
  </si>
  <si>
    <t>-5.5539527600018</t>
  </si>
  <si>
    <t>-30.9059283688007</t>
  </si>
  <si>
    <t>-55.5392127243041</t>
  </si>
  <si>
    <t>-30.9058451169246</t>
  </si>
  <si>
    <t>-55.5391462964251</t>
  </si>
  <si>
    <t>-30.9057916275691</t>
  </si>
  <si>
    <t>-55.5391130735863</t>
  </si>
  <si>
    <t>-0.3090554572835</t>
  </si>
  <si>
    <t>-55.5395525231297</t>
  </si>
  <si>
    <t>-30.9054119652755</t>
  </si>
  <si>
    <t>-55.5397902965138</t>
  </si>
  <si>
    <t>-30.9053739776893</t>
  </si>
  <si>
    <t>-55.5398784386627</t>
  </si>
  <si>
    <t>-30.9053901071008</t>
  </si>
  <si>
    <t>-55.5399600013538</t>
  </si>
  <si>
    <t>-30.9054333385751</t>
  </si>
  <si>
    <t>-55.5399988482415</t>
  </si>
  <si>
    <t>-30.9054860101883</t>
  </si>
  <si>
    <t>-55.5400317227954</t>
  </si>
  <si>
    <t>-30.9055715136713</t>
  </si>
  <si>
    <t>-55.5400953798356</t>
  </si>
  <si>
    <t>-30.9059089896194</t>
  </si>
  <si>
    <t>-55.5403326338356</t>
  </si>
  <si>
    <t>-30.9060164382167</t>
  </si>
  <si>
    <t>-55.5403859297841</t>
  </si>
  <si>
    <t>-30.9056639299044</t>
  </si>
  <si>
    <t>-55.5411515375432</t>
  </si>
  <si>
    <t>-30.9058643263916</t>
  </si>
  <si>
    <t>-55.5404195056708</t>
  </si>
  <si>
    <t>-30.9057803182211</t>
  </si>
  <si>
    <t>-55.5403514414298</t>
  </si>
  <si>
    <t>-30.9056926434287</t>
  </si>
  <si>
    <t>-55.5402959207906</t>
  </si>
  <si>
    <t>-30.9056251481755</t>
  </si>
  <si>
    <t>-55.5402397536244</t>
  </si>
  <si>
    <t>-30.9055648940415</t>
  </si>
  <si>
    <t>-55.5402035430294</t>
  </si>
  <si>
    <t>-30.9054254969717</t>
  </si>
  <si>
    <t>-55.5400933410481</t>
  </si>
  <si>
    <t>-30.9053745278616</t>
  </si>
  <si>
    <t>-55.5400552678471</t>
  </si>
  <si>
    <t>-30.9051846010083</t>
  </si>
  <si>
    <t>-55.5402435333672</t>
  </si>
  <si>
    <t>-30.9049673803104</t>
  </si>
  <si>
    <t>-55.5406190574741</t>
  </si>
  <si>
    <t>-30.9052746382386</t>
  </si>
  <si>
    <t>-5.5541094776567</t>
  </si>
  <si>
    <t>-30.9054183232992</t>
  </si>
  <si>
    <t>-55.5411771760885</t>
  </si>
  <si>
    <t>-30.9051399848699</t>
  </si>
  <si>
    <t>-55.5421527632331</t>
  </si>
  <si>
    <t>-30.9051793498489</t>
  </si>
  <si>
    <t>-55.5420824983456</t>
  </si>
  <si>
    <t>-30.9052039276235</t>
  </si>
  <si>
    <t>-55.5420035537721</t>
  </si>
  <si>
    <t>-30.9053500941998</t>
  </si>
  <si>
    <t>-55.5417197850295</t>
  </si>
  <si>
    <t>-30.9054446507661</t>
  </si>
  <si>
    <t>-55.5413866791678</t>
  </si>
  <si>
    <t>-30.9053686243651</t>
  </si>
  <si>
    <t>-55.5413290437413</t>
  </si>
  <si>
    <t>-30.9052612730484</t>
  </si>
  <si>
    <t>-5.5541260518388</t>
  </si>
  <si>
    <t>-30.9051985519487</t>
  </si>
  <si>
    <t>-55.5412097203144</t>
  </si>
  <si>
    <t>-30.9047404673893</t>
  </si>
  <si>
    <t>-55.5410787816866</t>
  </si>
  <si>
    <t>-30.9047175760065</t>
  </si>
  <si>
    <t>-55.5411325306665</t>
  </si>
  <si>
    <t>-30.9046821971386</t>
  </si>
  <si>
    <t>-55.5412092615617</t>
  </si>
  <si>
    <t>-30.9045818248201</t>
  </si>
  <si>
    <t>-55.5413746209062</t>
  </si>
  <si>
    <t>-30.9045498284703</t>
  </si>
  <si>
    <t>-55.5414614461382</t>
  </si>
  <si>
    <t>-30.9044570386678</t>
  </si>
  <si>
    <t>-55.5415908833544</t>
  </si>
  <si>
    <t>-30.9044132660658</t>
  </si>
  <si>
    <t>-5.5541681582919</t>
  </si>
  <si>
    <t>-30.9044694481377</t>
  </si>
  <si>
    <t>-55.5418272342287</t>
  </si>
  <si>
    <t>-30.9045438144544</t>
  </si>
  <si>
    <t>-55.5418664125918</t>
  </si>
  <si>
    <t>-30.9047700703388</t>
  </si>
  <si>
    <t>-55.5420156609027</t>
  </si>
  <si>
    <t>-30.9049010803558</t>
  </si>
  <si>
    <t>-55.5421076127647</t>
  </si>
  <si>
    <t>-30.9047191258822</t>
  </si>
  <si>
    <t>-55.5429617541547</t>
  </si>
  <si>
    <t>-30.9048309997995</t>
  </si>
  <si>
    <t>-55.5427552973799</t>
  </si>
  <si>
    <t>-30.9049192206868</t>
  </si>
  <si>
    <t>-55.5425694967673</t>
  </si>
  <si>
    <t>-30.9049627478608</t>
  </si>
  <si>
    <t>-55.5425165983874</t>
  </si>
  <si>
    <t>-30.9050420219357</t>
  </si>
  <si>
    <t>-55.5423656818809</t>
  </si>
  <si>
    <t>-3.0904909232427</t>
  </si>
  <si>
    <t>-55.5422284493577</t>
  </si>
  <si>
    <t>-3.0904829906965</t>
  </si>
  <si>
    <t>-5.5542189088396</t>
  </si>
  <si>
    <t>-30.9047411860254</t>
  </si>
  <si>
    <t>-55.5421211388411</t>
  </si>
  <si>
    <t>-30.9043959960227</t>
  </si>
  <si>
    <t>-5.5541851208749</t>
  </si>
  <si>
    <t>-3.0904314674594</t>
  </si>
  <si>
    <t>-55.5418776516648</t>
  </si>
  <si>
    <t>-30.9042837749579</t>
  </si>
  <si>
    <t>-55.5419447845243</t>
  </si>
  <si>
    <t>-30.9041168897273</t>
  </si>
  <si>
    <t>-55.5422359315958</t>
  </si>
  <si>
    <t>-30.9041010743295</t>
  </si>
  <si>
    <t>-55.5427828308487</t>
  </si>
  <si>
    <t>-30.9042841450238</t>
  </si>
  <si>
    <t>-55.5429187468875</t>
  </si>
  <si>
    <t>-30.9043164301473</t>
  </si>
  <si>
    <t>-55.5429367281264</t>
  </si>
  <si>
    <t>-30.9043554897188</t>
  </si>
  <si>
    <t>-55.5429648407775</t>
  </si>
  <si>
    <t>-30.9043287134649</t>
  </si>
  <si>
    <t>-55.5430833622782</t>
  </si>
  <si>
    <t>-30.9042947622983</t>
  </si>
  <si>
    <t>-55.5430427130328</t>
  </si>
  <si>
    <t>-30.9042107142048</t>
  </si>
  <si>
    <t>-55.5430131978059</t>
  </si>
  <si>
    <t>-30.9039864881068</t>
  </si>
  <si>
    <t>-55.5428664299396</t>
  </si>
  <si>
    <t>-30.9039238843078</t>
  </si>
  <si>
    <t>-55.5428236823679</t>
  </si>
  <si>
    <t>-30.9037740819769</t>
  </si>
  <si>
    <t>-55.5428751457931</t>
  </si>
  <si>
    <t>-30.9037326344909</t>
  </si>
  <si>
    <t>-55.5429537956005</t>
  </si>
  <si>
    <t>-30.9035016555571</t>
  </si>
  <si>
    <t>-5.5543381010809</t>
  </si>
  <si>
    <t>-30.9034635038154</t>
  </si>
  <si>
    <t>-55.5434880495688</t>
  </si>
  <si>
    <t>-30.9034371920426</t>
  </si>
  <si>
    <t>-55.5436235851232</t>
  </si>
  <si>
    <t>-30.9034772706099</t>
  </si>
  <si>
    <t>-55.5436573428606</t>
  </si>
  <si>
    <t>-30.9035221300649</t>
  </si>
  <si>
    <t>-55.5436790318857</t>
  </si>
  <si>
    <t>-30.9035599058351</t>
  </si>
  <si>
    <t>-5.5543708521359</t>
  </si>
  <si>
    <t>-30.9036906690202</t>
  </si>
  <si>
    <t>-55.5437877272325</t>
  </si>
  <si>
    <t>-30.9037365066353</t>
  </si>
  <si>
    <t>-55.5438315826274</t>
  </si>
  <si>
    <t>-30.9036855703475</t>
  </si>
  <si>
    <t>-55.5448862726465</t>
  </si>
  <si>
    <t>-30.9037851591917</t>
  </si>
  <si>
    <t>-55.5447123746647</t>
  </si>
  <si>
    <t>-30.9039068137378</t>
  </si>
  <si>
    <t>-55.5444463142144</t>
  </si>
  <si>
    <t>-30.9039863755868</t>
  </si>
  <si>
    <t>-55.5441209489927</t>
  </si>
  <si>
    <t>-3.0903906266257</t>
  </si>
  <si>
    <t>-55.5440581999956</t>
  </si>
  <si>
    <t>-30.9038147879052</t>
  </si>
  <si>
    <t>-55.5440060886097</t>
  </si>
  <si>
    <t>-30.9037294641053</t>
  </si>
  <si>
    <t>-55.5439448506212</t>
  </si>
  <si>
    <t>-30.9035670204376</t>
  </si>
  <si>
    <t>-55.5438304200754</t>
  </si>
  <si>
    <t>-30.9034738459597</t>
  </si>
  <si>
    <t>-5.5543758053095</t>
  </si>
  <si>
    <t>-30.9032648209029</t>
  </si>
  <si>
    <t>-55.5438705842896</t>
  </si>
  <si>
    <t>-30.9031321867305</t>
  </si>
  <si>
    <t>-5.5544111313636</t>
  </si>
  <si>
    <t>-30.9030706957733</t>
  </si>
  <si>
    <t>-55.5442358442992</t>
  </si>
  <si>
    <t>-30.9029700060409</t>
  </si>
  <si>
    <t>-55.5444200649392</t>
  </si>
  <si>
    <t>-30.9033865060893</t>
  </si>
  <si>
    <t>-55.5448286387854</t>
  </si>
  <si>
    <t>-30.9053601220487</t>
  </si>
  <si>
    <t>-55.5397034235913</t>
  </si>
  <si>
    <t>-30.9054000023043</t>
  </si>
  <si>
    <t>-55.5396352572232</t>
  </si>
  <si>
    <t>-30.9054687850875</t>
  </si>
  <si>
    <t>-55.5395051997123</t>
  </si>
  <si>
    <t>-30.9055017589884</t>
  </si>
  <si>
    <t>-55.5394538304954</t>
  </si>
  <si>
    <t>-30.9055553743806</t>
  </si>
  <si>
    <t>-55.5393405659298</t>
  </si>
  <si>
    <t>-30.9054903456613</t>
  </si>
  <si>
    <t>-55.5389004448409</t>
  </si>
  <si>
    <t>-30.9053588462555</t>
  </si>
  <si>
    <t>-55.5388160897694</t>
  </si>
  <si>
    <t>-30.9052523778597</t>
  </si>
  <si>
    <t>-55.5387357217085</t>
  </si>
  <si>
    <t>-30.9048416104368</t>
  </si>
  <si>
    <t>-55.5388149256693</t>
  </si>
  <si>
    <t>-30.9045731068168</t>
  </si>
  <si>
    <t>-55.5393398965533</t>
  </si>
  <si>
    <t>-30.9046554309334</t>
  </si>
  <si>
    <t>-55.5394547687761</t>
  </si>
  <si>
    <t>-30.9048511256733</t>
  </si>
  <si>
    <t>-55.5395848099566</t>
  </si>
  <si>
    <t>-30.9049650534079</t>
  </si>
  <si>
    <t>-55.5404606572872</t>
  </si>
  <si>
    <t>-30.9050779407045</t>
  </si>
  <si>
    <t>-55.5402320031408</t>
  </si>
  <si>
    <t>-30.9051327838222</t>
  </si>
  <si>
    <t>-55.5401499889573</t>
  </si>
  <si>
    <t>-30.9050368191053</t>
  </si>
  <si>
    <t>-5.5539832675776</t>
  </si>
  <si>
    <t>-30.9049650446156</t>
  </si>
  <si>
    <t>-55.5397877052387</t>
  </si>
  <si>
    <t>-30.9047467651177</t>
  </si>
  <si>
    <t>-55.5396241739542</t>
  </si>
  <si>
    <t>-30.9043532264327</t>
  </si>
  <si>
    <t>-55.5397665249431</t>
  </si>
  <si>
    <t>-30.9042615270054</t>
  </si>
  <si>
    <t>-55.5399379614439</t>
  </si>
  <si>
    <t>-30.9041469559614</t>
  </si>
  <si>
    <t>-5.5540144618786</t>
  </si>
  <si>
    <t>-30.9045256146764</t>
  </si>
  <si>
    <t>-55.5406071151513</t>
  </si>
  <si>
    <t>-30.9043612961341</t>
  </si>
  <si>
    <t>-55.5416140498916</t>
  </si>
  <si>
    <t>-3.0904416492246</t>
  </si>
  <si>
    <t>-55.5415121772057</t>
  </si>
  <si>
    <t>-30.9044375074736</t>
  </si>
  <si>
    <t>-55.5414754626226</t>
  </si>
  <si>
    <t>-30.9044557764356</t>
  </si>
  <si>
    <t>-55.5414230066052</t>
  </si>
  <si>
    <t>-30.9045895592694</t>
  </si>
  <si>
    <t>-55.5411616354195</t>
  </si>
  <si>
    <t>-30.9045937266384</t>
  </si>
  <si>
    <t>-55.5407655377893</t>
  </si>
  <si>
    <t>-30.9043402400069</t>
  </si>
  <si>
    <t>-55.5405891018383</t>
  </si>
  <si>
    <t>-30.9040864526718</t>
  </si>
  <si>
    <t>-55.5403998651235</t>
  </si>
  <si>
    <t>-30.9039606279111</t>
  </si>
  <si>
    <t>-55.5405192602538</t>
  </si>
  <si>
    <t>-30.9038553351549</t>
  </si>
  <si>
    <t>-5.5540706262972</t>
  </si>
  <si>
    <t>-30.9037248774904</t>
  </si>
  <si>
    <t>-5.5541271181173</t>
  </si>
  <si>
    <t>-30.9038290399571</t>
  </si>
  <si>
    <t>-5.5541337883376</t>
  </si>
  <si>
    <t>-30.9041054929728</t>
  </si>
  <si>
    <t>-5.5541538085413</t>
  </si>
  <si>
    <t>-30.9041754282199</t>
  </si>
  <si>
    <t>-55.5415942573733</t>
  </si>
  <si>
    <t>-30.9042664648748</t>
  </si>
  <si>
    <t>-55.5416518128623</t>
  </si>
  <si>
    <t>-30.9039481156916</t>
  </si>
  <si>
    <t>-55.5423430920321</t>
  </si>
  <si>
    <t>-3.0903997770787</t>
  </si>
  <si>
    <t>-55.5422482827677</t>
  </si>
  <si>
    <t>-30.9040835651218</t>
  </si>
  <si>
    <t>-55.5421120713012</t>
  </si>
  <si>
    <t>-30.9041351641465</t>
  </si>
  <si>
    <t>-55.5420231320605</t>
  </si>
  <si>
    <t>-3.0904203989649</t>
  </si>
  <si>
    <t>-55.5419010501337</t>
  </si>
  <si>
    <t>-30.9042557918236</t>
  </si>
  <si>
    <t>-55.5418313205167</t>
  </si>
  <si>
    <t>-30.9042442539515</t>
  </si>
  <si>
    <t>-55.5417476257556</t>
  </si>
  <si>
    <t>-30.9041888562651</t>
  </si>
  <si>
    <t>-55.5417127752977</t>
  </si>
  <si>
    <t>-3.0904078831548</t>
  </si>
  <si>
    <t>-55.5416473023974</t>
  </si>
  <si>
    <t>-30.9038214869356</t>
  </si>
  <si>
    <t>-55.5414810763546</t>
  </si>
  <si>
    <t>-30.9037634868338</t>
  </si>
  <si>
    <t>-55.5414269704628</t>
  </si>
  <si>
    <t>-30.9033654018921</t>
  </si>
  <si>
    <t>-55.5416136990112</t>
  </si>
  <si>
    <t>-30.9032015729671</t>
  </si>
  <si>
    <t>-55.5419145040312</t>
  </si>
  <si>
    <t>-3.0903211800722</t>
  </si>
  <si>
    <t>-55.5421840349196</t>
  </si>
  <si>
    <t>-30.9032944141527</t>
  </si>
  <si>
    <t>-55.5422271366941</t>
  </si>
  <si>
    <t>-30.9034087053907</t>
  </si>
  <si>
    <t>-55.5422988902268</t>
  </si>
  <si>
    <t>-30.9034503615007</t>
  </si>
  <si>
    <t>-55.5423300417974</t>
  </si>
  <si>
    <t>-3.0903514630312</t>
  </si>
  <si>
    <t>-55.5423564587366</t>
  </si>
  <si>
    <t>-30.9036528915907</t>
  </si>
  <si>
    <t>-55.5424753536404</t>
  </si>
  <si>
    <t>-30.9037205747196</t>
  </si>
  <si>
    <t>-55.5425106875653</t>
  </si>
  <si>
    <t>-30.9033521050337</t>
  </si>
  <si>
    <t>-55.5434835535927</t>
  </si>
  <si>
    <t>-30.9034063792362</t>
  </si>
  <si>
    <t>-55.5433748923063</t>
  </si>
  <si>
    <t>-30.9035173110155</t>
  </si>
  <si>
    <t>-55.5431985528175</t>
  </si>
  <si>
    <t>-30.9037218083958</t>
  </si>
  <si>
    <t>-5.5542798257938</t>
  </si>
  <si>
    <t>-30.9030163010041</t>
  </si>
  <si>
    <t>-55.5422931459431</t>
  </si>
  <si>
    <t>-30.9029778047813</t>
  </si>
  <si>
    <t>-55.5423618335823</t>
  </si>
  <si>
    <t>-30.9028159883525</t>
  </si>
  <si>
    <t>-55.5426767753358</t>
  </si>
  <si>
    <t>-30.9026834467219</t>
  </si>
  <si>
    <t>-55.5428944539438</t>
  </si>
  <si>
    <t>-30.9026435776479</t>
  </si>
  <si>
    <t>-55.5429587551105</t>
  </si>
  <si>
    <t>-30.9026481578459</t>
  </si>
  <si>
    <t>-55.5430628643197</t>
  </si>
  <si>
    <t>-3.0902685668526</t>
  </si>
  <si>
    <t>-5.5543087000884</t>
  </si>
  <si>
    <t>-30.9027330778345</t>
  </si>
  <si>
    <t>-55.5431221291269</t>
  </si>
  <si>
    <t>-30.9027753958771</t>
  </si>
  <si>
    <t>-55.5431570589019</t>
  </si>
  <si>
    <t>-30.9028259116762</t>
  </si>
  <si>
    <t>-55.5431848179794</t>
  </si>
  <si>
    <t>-30.9029416301144</t>
  </si>
  <si>
    <t>-55.5432624683374</t>
  </si>
  <si>
    <t>-30.9030455400482</t>
  </si>
  <si>
    <t>-55.5433245388036</t>
  </si>
  <si>
    <t>-30.9031238067988</t>
  </si>
  <si>
    <t>-55.5433795381298</t>
  </si>
  <si>
    <t>-30.9032912492092</t>
  </si>
  <si>
    <t>-55.5435087534884</t>
  </si>
  <si>
    <t>-30.9031982263258</t>
  </si>
  <si>
    <t>-55.5435745131138</t>
  </si>
  <si>
    <t>-30.9030103238033</t>
  </si>
  <si>
    <t>-55.5434406065449</t>
  </si>
  <si>
    <t>-30.9029486963701</t>
  </si>
  <si>
    <t>-55.5433857222129</t>
  </si>
  <si>
    <t>-30.9027896611826</t>
  </si>
  <si>
    <t>-55.5432685392315</t>
  </si>
  <si>
    <t>-30.9024964443423</t>
  </si>
  <si>
    <t>-55.5432698290881</t>
  </si>
  <si>
    <t>-30.9024451821033</t>
  </si>
  <si>
    <t>-55.5433474161151</t>
  </si>
  <si>
    <t>-30.9023399611837</t>
  </si>
  <si>
    <t>-55.5435735583197</t>
  </si>
  <si>
    <t>-30.9022474492314</t>
  </si>
  <si>
    <t>-55.5437447859891</t>
  </si>
  <si>
    <t>-30.9022174004591</t>
  </si>
  <si>
    <t>-55.5437861237448</t>
  </si>
  <si>
    <t>-30.9021764617787</t>
  </si>
  <si>
    <t>-55.5438510078228</t>
  </si>
  <si>
    <t>-30.9021714819084</t>
  </si>
  <si>
    <t>-55.5439555476467</t>
  </si>
  <si>
    <t>-30.9022773217732</t>
  </si>
  <si>
    <t>-55.5440534751683</t>
  </si>
  <si>
    <t>-30.9023417962279</t>
  </si>
  <si>
    <t>-55.5440935120504</t>
  </si>
  <si>
    <t>-30.9026982103171</t>
  </si>
  <si>
    <t>-5.5544743986383</t>
  </si>
  <si>
    <t>-30.9027198734165</t>
  </si>
  <si>
    <t>-55.5446667316024</t>
  </si>
  <si>
    <t>-3.0902763453827</t>
  </si>
  <si>
    <t>-55.5446079801904</t>
  </si>
  <si>
    <t>-3.0902349223211</t>
  </si>
  <si>
    <t>-55.5442005421021</t>
  </si>
  <si>
    <t>-30.9021901356545</t>
  </si>
  <si>
    <t>-55.5440993357623</t>
  </si>
  <si>
    <t>-30.9047594333469</t>
  </si>
  <si>
    <t>-55.5387665487494</t>
  </si>
  <si>
    <t>-30.9048718650363</t>
  </si>
  <si>
    <t>-55.5386133596576</t>
  </si>
  <si>
    <t>-30.9048877631886</t>
  </si>
  <si>
    <t>-55.5384739530947</t>
  </si>
  <si>
    <t>-30.9048198510127</t>
  </si>
  <si>
    <t>-55.5384180866443</t>
  </si>
  <si>
    <t>-30.9045082544073</t>
  </si>
  <si>
    <t>-55.5382104694265</t>
  </si>
  <si>
    <t>-3.0904419743296</t>
  </si>
  <si>
    <t>-55.5381491820805</t>
  </si>
  <si>
    <t>-30.9043710895315</t>
  </si>
  <si>
    <t>-55.5381032049806</t>
  </si>
  <si>
    <t>-30.9043063964064</t>
  </si>
  <si>
    <t>-55.5380707180625</t>
  </si>
  <si>
    <t>-30.9041551190189</t>
  </si>
  <si>
    <t>-55.5381309769155</t>
  </si>
  <si>
    <t>-30.9040319285188</t>
  </si>
  <si>
    <t>-55.5383318802582</t>
  </si>
  <si>
    <t>-30.9039823537806</t>
  </si>
  <si>
    <t>-55.5383717159934</t>
  </si>
  <si>
    <t>-30.9038678934465</t>
  </si>
  <si>
    <t>-55.5386231734106</t>
  </si>
  <si>
    <t>-30.9040380300183</t>
  </si>
  <si>
    <t>-55.5389867621223</t>
  </si>
  <si>
    <t>-30.9041533750787</t>
  </si>
  <si>
    <t>-55.5390872035305</t>
  </si>
  <si>
    <t>-30.9042741130955</t>
  </si>
  <si>
    <t>-55.5391494742533</t>
  </si>
  <si>
    <t>-30.9043858963054</t>
  </si>
  <si>
    <t>-55.5392390774177</t>
  </si>
  <si>
    <t>-30.9041940719613</t>
  </si>
  <si>
    <t>-55.5398918653551</t>
  </si>
  <si>
    <t>-30.9043480880134</t>
  </si>
  <si>
    <t>-55.5395820929481</t>
  </si>
  <si>
    <t>-30.9042555582107</t>
  </si>
  <si>
    <t>-5.5539253114277</t>
  </si>
  <si>
    <t>-30.9040474449771</t>
  </si>
  <si>
    <t>-55.5391014673086</t>
  </si>
  <si>
    <t>-30.9039146088045</t>
  </si>
  <si>
    <t>-55.5390026370184</t>
  </si>
  <si>
    <t>-30.9034256259568</t>
  </si>
  <si>
    <t>-5.5539484302353</t>
  </si>
  <si>
    <t>-30.9033477135695</t>
  </si>
  <si>
    <t>-55.5396472506684</t>
  </si>
  <si>
    <t>-30.9033977785875</t>
  </si>
  <si>
    <t>-55.5397947826143</t>
  </si>
  <si>
    <t>-30.9035298570783</t>
  </si>
  <si>
    <t>-55.5398647275713</t>
  </si>
  <si>
    <t>-30.9036922170269</t>
  </si>
  <si>
    <t>-55.5400048831511</t>
  </si>
  <si>
    <t>-30.9037687144042</t>
  </si>
  <si>
    <t>-55.5400540231878</t>
  </si>
  <si>
    <t>-30.9039722632113</t>
  </si>
  <si>
    <t>-55.5401894585791</t>
  </si>
  <si>
    <t>-30.9035755751228</t>
  </si>
  <si>
    <t>-55.5410598382624</t>
  </si>
  <si>
    <t>-30.9036796872359</t>
  </si>
  <si>
    <t>-55.5408434672363</t>
  </si>
  <si>
    <t>-3.0903733406014</t>
  </si>
  <si>
    <t>-5.5540761634766</t>
  </si>
  <si>
    <t>-3.0903801809394</t>
  </si>
  <si>
    <t>-55.5406105990454</t>
  </si>
  <si>
    <t>-3.0903736928207</t>
  </si>
  <si>
    <t>-55.5401578234296</t>
  </si>
  <si>
    <t>-30.9035803907235</t>
  </si>
  <si>
    <t>-55.5400592483037</t>
  </si>
  <si>
    <t>-30.9034730285332</t>
  </si>
  <si>
    <t>-55.5399916402168</t>
  </si>
  <si>
    <t>-30.9033373521162</t>
  </si>
  <si>
    <t>-55.5398665485639</t>
  </si>
  <si>
    <t>-30.9030761279584</t>
  </si>
  <si>
    <t>-55.5401325484633</t>
  </si>
  <si>
    <t>-30.9030398260381</t>
  </si>
  <si>
    <t>-55.5407958025151</t>
  </si>
  <si>
    <t>-30.9031159196487</t>
  </si>
  <si>
    <t>-5.5540841985577</t>
  </si>
  <si>
    <t>-30.9033527559365</t>
  </si>
  <si>
    <t>-55.5410217249092</t>
  </si>
  <si>
    <t>-30.9034768957778</t>
  </si>
  <si>
    <t>-55.5411030071081</t>
  </si>
  <si>
    <t>-30.9030728655791</t>
  </si>
  <si>
    <t>-55.5419475704084</t>
  </si>
  <si>
    <t>-30.9031426499662</t>
  </si>
  <si>
    <t>-55.5418565518897</t>
  </si>
  <si>
    <t>-30.9031820468896</t>
  </si>
  <si>
    <t>-55.5417755167017</t>
  </si>
  <si>
    <t>-30.9032298258693</t>
  </si>
  <si>
    <t>-5.5541680054566</t>
  </si>
  <si>
    <t>-30.9032810242142</t>
  </si>
  <si>
    <t>-55.5416237848488</t>
  </si>
  <si>
    <t>-3.0903307677808</t>
  </si>
  <si>
    <t>-55.5415318356761</t>
  </si>
  <si>
    <t>-30.9033918459076</t>
  </si>
  <si>
    <t>-55.5413866578831</t>
  </si>
  <si>
    <t>-30.9028890138837</t>
  </si>
  <si>
    <t>-55.5407855688435</t>
  </si>
  <si>
    <t>-30.9024886128444</t>
  </si>
  <si>
    <t>-55.5412601598113</t>
  </si>
  <si>
    <t>-30.9023820440549</t>
  </si>
  <si>
    <t>-5.5541580003238</t>
  </si>
  <si>
    <t>-30.9024629296681</t>
  </si>
  <si>
    <t>-55.5416283402638</t>
  </si>
  <si>
    <t>-30.9026224252644</t>
  </si>
  <si>
    <t>-55.5417533400068</t>
  </si>
  <si>
    <t>-3.0902744836358</t>
  </si>
  <si>
    <t>-55.5418501485526</t>
  </si>
  <si>
    <t>-30.9028720818583</t>
  </si>
  <si>
    <t>-55.5419335603016</t>
  </si>
  <si>
    <t>-30.9021687051545</t>
  </si>
  <si>
    <t>-55.5418650087584</t>
  </si>
  <si>
    <t>-30.9021055447989</t>
  </si>
  <si>
    <t>-55.5420004429963</t>
  </si>
  <si>
    <t>-30.9020140112634</t>
  </si>
  <si>
    <t>-55.5426093279781</t>
  </si>
  <si>
    <t>-30.9024423717326</t>
  </si>
  <si>
    <t>-55.5429175952142</t>
  </si>
  <si>
    <t>-30.9021350449623</t>
  </si>
  <si>
    <t>-55.5437515269222</t>
  </si>
  <si>
    <t>-30.9021767329656</t>
  </si>
  <si>
    <t>-55.5436577188435</t>
  </si>
  <si>
    <t>-3.0902209144374</t>
  </si>
  <si>
    <t>-55.5435930602165</t>
  </si>
  <si>
    <t>-30.9023297623017</t>
  </si>
  <si>
    <t>-5.5543381311488</t>
  </si>
  <si>
    <t>-30.9024001121228</t>
  </si>
  <si>
    <t>-55.5432733986538</t>
  </si>
  <si>
    <t>-30.9022903510723</t>
  </si>
  <si>
    <t>-55.5429020086487</t>
  </si>
  <si>
    <t>-3.0902052610761</t>
  </si>
  <si>
    <t>-55.5427497140009</t>
  </si>
  <si>
    <t>-30.9019101989464</t>
  </si>
  <si>
    <t>-55.5426618967513</t>
  </si>
  <si>
    <t>-30.9017064180163</t>
  </si>
  <si>
    <t>-55.5427401514255</t>
  </si>
  <si>
    <t>-30.9016598284227</t>
  </si>
  <si>
    <t>-55.5428398556522</t>
  </si>
  <si>
    <t>-30.9014156796772</t>
  </si>
  <si>
    <t>-55.5432801289721</t>
  </si>
  <si>
    <t>-30.9013990022236</t>
  </si>
  <si>
    <t>-55.5434351894742</t>
  </si>
  <si>
    <t>-30.9014496169458</t>
  </si>
  <si>
    <t>-55.5434698477272</t>
  </si>
  <si>
    <t>-30.9014848633065</t>
  </si>
  <si>
    <t>-55.5435096079607</t>
  </si>
  <si>
    <t>-30.9015314550518</t>
  </si>
  <si>
    <t>-55.5435346035214</t>
  </si>
  <si>
    <t>-30.9016114740163</t>
  </si>
  <si>
    <t>-55.5435958029097</t>
  </si>
  <si>
    <t>-30.9018596769871</t>
  </si>
  <si>
    <t>-55.5437523715697</t>
  </si>
  <si>
    <t>-30.9020166637439</t>
  </si>
  <si>
    <t>-55.5438593434756</t>
  </si>
  <si>
    <t>-3.0901654841268</t>
  </si>
  <si>
    <t>-55.5446448931117</t>
  </si>
  <si>
    <t>-30.9018278211945</t>
  </si>
  <si>
    <t>-55.5443079608928</t>
  </si>
  <si>
    <t>-30.9019506238991</t>
  </si>
  <si>
    <t>-55.5441129995618</t>
  </si>
  <si>
    <t>-30.9020089709869</t>
  </si>
  <si>
    <t>-55.5440603116944</t>
  </si>
  <si>
    <t>-30.9019288601759</t>
  </si>
  <si>
    <t>-55.5438931271956</t>
  </si>
  <si>
    <t>-30.9017236544621</t>
  </si>
  <si>
    <t>-55.5437595083251</t>
  </si>
  <si>
    <t>-30.9016382772794</t>
  </si>
  <si>
    <t>-55.5437007252447</t>
  </si>
  <si>
    <t>-30.9014459474304</t>
  </si>
  <si>
    <t>-55.5435813409999</t>
  </si>
  <si>
    <t>-30.9011468496243</t>
  </si>
  <si>
    <t>-55.5437920947915</t>
  </si>
  <si>
    <t>-30.9010959051618</t>
  </si>
  <si>
    <t>-5.5543872472504</t>
  </si>
  <si>
    <t>-30.9038796168926</t>
  </si>
  <si>
    <t>-55.5384620618007</t>
  </si>
  <si>
    <t>-30.9041096765148</t>
  </si>
  <si>
    <t>-5.5537987962516</t>
  </si>
  <si>
    <t>-3.0903394666377</t>
  </si>
  <si>
    <t>-55.5375160961699</t>
  </si>
  <si>
    <t>-3.0903336500299</t>
  </si>
  <si>
    <t>-55.5376206079836</t>
  </si>
  <si>
    <t>-30.9033120808698</t>
  </si>
  <si>
    <t>-55.5376566450844</t>
  </si>
  <si>
    <t>-30.9031421632927</t>
  </si>
  <si>
    <t>-55.5379773578621</t>
  </si>
  <si>
    <t>-30.9030346468542</t>
  </si>
  <si>
    <t>-55.5381735652584</t>
  </si>
  <si>
    <t>-30.9030582142611</t>
  </si>
  <si>
    <t>-0.5553829689086</t>
  </si>
  <si>
    <t>-30.9033665891237</t>
  </si>
  <si>
    <t>-55.5394139054604</t>
  </si>
  <si>
    <t>-30.9033764049885</t>
  </si>
  <si>
    <t>-55.5393680096893</t>
  </si>
  <si>
    <t>-30.9034141846981</t>
  </si>
  <si>
    <t>-55.5393243191598</t>
  </si>
  <si>
    <t>-30.9035406707211</t>
  </si>
  <si>
    <t>-55.5387753648007</t>
  </si>
  <si>
    <t>-30.9034765600363</t>
  </si>
  <si>
    <t>-5.5538720133291</t>
  </si>
  <si>
    <t>-30.9034219327027</t>
  </si>
  <si>
    <t>-55.5386738494156</t>
  </si>
  <si>
    <t>-30.9032680466689</t>
  </si>
  <si>
    <t>-5.5538561515388</t>
  </si>
  <si>
    <t>-30.9030421794828</t>
  </si>
  <si>
    <t>-55.5383935067334</t>
  </si>
  <si>
    <t>-30.9028084939139</t>
  </si>
  <si>
    <t>-55.5386403235495</t>
  </si>
  <si>
    <t>-30.9027410867723</t>
  </si>
  <si>
    <t>-5.5538750058081</t>
  </si>
  <si>
    <t>-30.9027172727426</t>
  </si>
  <si>
    <t>-5.5538805030917</t>
  </si>
  <si>
    <t>-30.9026311383269</t>
  </si>
  <si>
    <t>-55.5389224793881</t>
  </si>
  <si>
    <t>-30.9026172192486</t>
  </si>
  <si>
    <t>-55.5389806312985</t>
  </si>
  <si>
    <t>-30.9025754552564</t>
  </si>
  <si>
    <t>-55.5390645996353</t>
  </si>
  <si>
    <t>-30.9025566687343</t>
  </si>
  <si>
    <t>-55.5392030374377</t>
  </si>
  <si>
    <t>-30.9026873135681</t>
  </si>
  <si>
    <t>-55.5392788468216</t>
  </si>
  <si>
    <t>-30.9028007795953</t>
  </si>
  <si>
    <t>-55.5393658776701</t>
  </si>
  <si>
    <t>-30.9028878381728</t>
  </si>
  <si>
    <t>-55.5394227108547</t>
  </si>
  <si>
    <t>-30.9029818025511</t>
  </si>
  <si>
    <t>-55.5395174741139</t>
  </si>
  <si>
    <t>-30.9030686034228</t>
  </si>
  <si>
    <t>-5.5539553348655</t>
  </si>
  <si>
    <t>-30.9031739165389</t>
  </si>
  <si>
    <t>-55.5396356839257</t>
  </si>
  <si>
    <t>-30.9028000888138</t>
  </si>
  <si>
    <t>-55.5404898362116</t>
  </si>
  <si>
    <t>-30.9028411132399</t>
  </si>
  <si>
    <t>-55.5403932246258</t>
  </si>
  <si>
    <t>-30.9029607083602</t>
  </si>
  <si>
    <t>-55.5401636279019</t>
  </si>
  <si>
    <t>-30.9028797933636</t>
  </si>
  <si>
    <t>-55.5395298481824</t>
  </si>
  <si>
    <t>-30.9027867770977</t>
  </si>
  <si>
    <t>-55.5394659574288</t>
  </si>
  <si>
    <t>-3.0902590999383</t>
  </si>
  <si>
    <t>-55.5393199994532</t>
  </si>
  <si>
    <t>-30.9025016133665</t>
  </si>
  <si>
    <t>-55.5392824418645</t>
  </si>
  <si>
    <t>-30.9024271456743</t>
  </si>
  <si>
    <t>-55.5393398725779</t>
  </si>
  <si>
    <t>-30.9023760010127</t>
  </si>
  <si>
    <t>-55.5394180362661</t>
  </si>
  <si>
    <t>-30.9023314910852</t>
  </si>
  <si>
    <t>-55.5394944460225</t>
  </si>
  <si>
    <t>-30.9022929919433</t>
  </si>
  <si>
    <t>-55.5395764418546</t>
  </si>
  <si>
    <t>-30.9021681560675</t>
  </si>
  <si>
    <t>-55.5398009928314</t>
  </si>
  <si>
    <t>-30.9021319522287</t>
  </si>
  <si>
    <t>-55.5398840626006</t>
  </si>
  <si>
    <t>-30.9020505229438</t>
  </si>
  <si>
    <t>-55.5400343554885</t>
  </si>
  <si>
    <t>-30.9022296536721</t>
  </si>
  <si>
    <t>-55.5402089604185</t>
  </si>
  <si>
    <t>-3.0902306740981</t>
  </si>
  <si>
    <t>-55.5402527277438</t>
  </si>
  <si>
    <t>-30.9022961440698</t>
  </si>
  <si>
    <t>-55.5414203319484</t>
  </si>
  <si>
    <t>-30.9023607013153</t>
  </si>
  <si>
    <t>-55.5413062088555</t>
  </si>
  <si>
    <t>-30.9024882626124</t>
  </si>
  <si>
    <t>-55.5410477874026</t>
  </si>
  <si>
    <t>-30.9025513197417</t>
  </si>
  <si>
    <t>-55.5409560017832</t>
  </si>
  <si>
    <t>-30.9026484387965</t>
  </si>
  <si>
    <t>-55.5407642309465</t>
  </si>
  <si>
    <t>-30.9024822870426</t>
  </si>
  <si>
    <t>-0.0555404960557</t>
  </si>
  <si>
    <t>-3.0902414956376</t>
  </si>
  <si>
    <t>-55.5404623205987</t>
  </si>
  <si>
    <t>-30.9021444118091</t>
  </si>
  <si>
    <t>-55.5402679664092</t>
  </si>
  <si>
    <t>-30.9020734856255</t>
  </si>
  <si>
    <t>-0.0555402140062</t>
  </si>
  <si>
    <t>-30.9020182627137</t>
  </si>
  <si>
    <t>-55.5401712892078</t>
  </si>
  <si>
    <t>-30.9019226679829</t>
  </si>
  <si>
    <t>-55.5402659060448</t>
  </si>
  <si>
    <t>-30.9017053047596</t>
  </si>
  <si>
    <t>-55.5406747621145</t>
  </si>
  <si>
    <t>-3.0901666269077</t>
  </si>
  <si>
    <t>-55.5407417114323</t>
  </si>
  <si>
    <t>-30.9017528383348</t>
  </si>
  <si>
    <t>-55.5411512611621</t>
  </si>
  <si>
    <t>-30.9018008882797</t>
  </si>
  <si>
    <t>-55.5411898937168</t>
  </si>
  <si>
    <t>-30.9018711246798</t>
  </si>
  <si>
    <t>-55.5412254117508</t>
  </si>
  <si>
    <t>-30.9021978798699</t>
  </si>
  <si>
    <t>-55.5414434684857</t>
  </si>
  <si>
    <t>-30.9018080955379</t>
  </si>
  <si>
    <t>-55.5423410840961</t>
  </si>
  <si>
    <t>-30.9018332022765</t>
  </si>
  <si>
    <t>-55.5422353069332</t>
  </si>
  <si>
    <t>-30.9018912581068</t>
  </si>
  <si>
    <t>-55.5421822567834</t>
  </si>
  <si>
    <t>-30.9019216355971</t>
  </si>
  <si>
    <t>-55.5420965930842</t>
  </si>
  <si>
    <t>-30.9019682572635</t>
  </si>
  <si>
    <t>-55.5420508141841</t>
  </si>
  <si>
    <t>-30.9020332607359</t>
  </si>
  <si>
    <t>-55.5418945537269</t>
  </si>
  <si>
    <t>-30.9019183252779</t>
  </si>
  <si>
    <t>-5.5541412331933</t>
  </si>
  <si>
    <t>-30.9017006147533</t>
  </si>
  <si>
    <t>-55.5412586101812</t>
  </si>
  <si>
    <t>-30.9015528912066</t>
  </si>
  <si>
    <t>-55.5411465976641</t>
  </si>
  <si>
    <t>-30.9013911511194</t>
  </si>
  <si>
    <t>-55.5412508516116</t>
  </si>
  <si>
    <t>-30.9013054441722</t>
  </si>
  <si>
    <t>-55.5414234451095</t>
  </si>
  <si>
    <t>-30.9010802093436</t>
  </si>
  <si>
    <t>-55.5419469140898</t>
  </si>
  <si>
    <t>-30.9011776190759</t>
  </si>
  <si>
    <t>-55.5420127640376</t>
  </si>
  <si>
    <t>-30.9012955346869</t>
  </si>
  <si>
    <t>-55.5420863203445</t>
  </si>
  <si>
    <t>-30.9013584108793</t>
  </si>
  <si>
    <t>-55.5421322015792</t>
  </si>
  <si>
    <t>-30.9014487963209</t>
  </si>
  <si>
    <t>-55.5421859576441</t>
  </si>
  <si>
    <t>-3.0901532581208</t>
  </si>
  <si>
    <t>-55.5422592199248</t>
  </si>
  <si>
    <t>-30.9016556970047</t>
  </si>
  <si>
    <t>-55.5423594930492</t>
  </si>
  <si>
    <t>-30.9013857539518</t>
  </si>
  <si>
    <t>-55.5431477828208</t>
  </si>
  <si>
    <t>-30.9015291156478</t>
  </si>
  <si>
    <t>-55.5428256190046</t>
  </si>
  <si>
    <t>-30.9016024234247</t>
  </si>
  <si>
    <t>-55.5427200301705</t>
  </si>
  <si>
    <t>-30.9016298049702</t>
  </si>
  <si>
    <t>-55.5426398573767</t>
  </si>
  <si>
    <t>-30.9016913601602</t>
  </si>
  <si>
    <t>-55.5425772699879</t>
  </si>
  <si>
    <t>-30.9015639832184</t>
  </si>
  <si>
    <t>-55.5424102543612</t>
  </si>
  <si>
    <t>-30.9014576844646</t>
  </si>
  <si>
    <t>-55.5423250344137</t>
  </si>
  <si>
    <t>-30.9013174819635</t>
  </si>
  <si>
    <t>-55.5422467488746</t>
  </si>
  <si>
    <t>-30.9012158428027</t>
  </si>
  <si>
    <t>-55.5421501808645</t>
  </si>
  <si>
    <t>-30.9011264897174</t>
  </si>
  <si>
    <t>-5.5542095357829</t>
  </si>
  <si>
    <t>-30.9009977978099</t>
  </si>
  <si>
    <t>-55.5420660233869</t>
  </si>
  <si>
    <t>-30.9007988331606</t>
  </si>
  <si>
    <t>-55.5424378566196</t>
  </si>
  <si>
    <t>-3.0900747330556</t>
  </si>
  <si>
    <t>-55.5425293796176</t>
  </si>
  <si>
    <t>-30.9008188129076</t>
  </si>
  <si>
    <t>-0.5554301727586</t>
  </si>
  <si>
    <t>-30.9011739333327</t>
  </si>
  <si>
    <t>-55.5432502313648</t>
  </si>
  <si>
    <t>-30.9012373461805</t>
  </si>
  <si>
    <t>-55.5432863474526</t>
  </si>
  <si>
    <t>-30.9009784401968</t>
  </si>
  <si>
    <t>-55.5438908112847</t>
  </si>
  <si>
    <t>-30.9010159301989</t>
  </si>
  <si>
    <t>-55.5438098409405</t>
  </si>
  <si>
    <t>-30.9010661601938</t>
  </si>
  <si>
    <t>-55.5437282722097</t>
  </si>
  <si>
    <t>-30.9011284112498</t>
  </si>
  <si>
    <t>-55.5436110083281</t>
  </si>
  <si>
    <t>-30.9010547954593</t>
  </si>
  <si>
    <t>-55.5432905493962</t>
  </si>
  <si>
    <t>-30.9009535123055</t>
  </si>
  <si>
    <t>-55.5432182340427</t>
  </si>
  <si>
    <t>-30.9006076139134</t>
  </si>
  <si>
    <t>-55.5429837046285</t>
  </si>
  <si>
    <t>-30.9004569920979</t>
  </si>
  <si>
    <t>-55.5430496091677</t>
  </si>
  <si>
    <t>-30.9004092773196</t>
  </si>
  <si>
    <t>-55.5431530408174</t>
  </si>
  <si>
    <t>-30.9003067299395</t>
  </si>
  <si>
    <t>-55.5433277057102</t>
  </si>
  <si>
    <t>-30.9001927282029</t>
  </si>
  <si>
    <t>-55.5435254095072</t>
  </si>
  <si>
    <t>-30.9001408090291</t>
  </si>
  <si>
    <t>-55.5436073502946</t>
  </si>
  <si>
    <t>-30.9002014206773</t>
  </si>
  <si>
    <t>-55.5438102241546</t>
  </si>
  <si>
    <t>-30.9003200251517</t>
  </si>
  <si>
    <t>-55.5439228635196</t>
  </si>
  <si>
    <t>-30.9004147540826</t>
  </si>
  <si>
    <t>-55.5439661617162</t>
  </si>
  <si>
    <t>-30.9006313235958</t>
  </si>
  <si>
    <t>-55.5441230420559</t>
  </si>
  <si>
    <t>-30.9007023719299</t>
  </si>
  <si>
    <t>-55.5441793384086</t>
  </si>
  <si>
    <t>-30.9029656608156</t>
  </si>
  <si>
    <t>-55.5381174739293</t>
  </si>
  <si>
    <t>-30.9030633537783</t>
  </si>
  <si>
    <t>-55.5379298050188</t>
  </si>
  <si>
    <t>-30.9028132077807</t>
  </si>
  <si>
    <t>-5.5537008126342</t>
  </si>
  <si>
    <t>-30.9023031021822</t>
  </si>
  <si>
    <t>-55.5377675486998</t>
  </si>
  <si>
    <t>-30.9023617778439</t>
  </si>
  <si>
    <t>-55.5378077672697</t>
  </si>
  <si>
    <t>-30.9025205039907</t>
  </si>
  <si>
    <t>-55.5379364231284</t>
  </si>
  <si>
    <t>-30.9026737494578</t>
  </si>
  <si>
    <t>-0.5553802513803</t>
  </si>
  <si>
    <t>-30.9027503706994</t>
  </si>
  <si>
    <t>-55.5380752572969</t>
  </si>
  <si>
    <t>-30.9024774535861</t>
  </si>
  <si>
    <t>-55.5390636484312</t>
  </si>
  <si>
    <t>-30.9024959976073</t>
  </si>
  <si>
    <t>-55.5389974367764</t>
  </si>
  <si>
    <t>-30.9025377199487</t>
  </si>
  <si>
    <t>-55.5389336708346</t>
  </si>
  <si>
    <t>-30.9026314697198</t>
  </si>
  <si>
    <t>-5.5538752861521</t>
  </si>
  <si>
    <t>-30.9026884330403</t>
  </si>
  <si>
    <t>-5.5538634584179</t>
  </si>
  <si>
    <t>-30.9027487051983</t>
  </si>
  <si>
    <t>-55.5385211785942</t>
  </si>
  <si>
    <t>-30.9028199302534</t>
  </si>
  <si>
    <t>-55.5382549164136</t>
  </si>
  <si>
    <t>-30.9027428370726</t>
  </si>
  <si>
    <t>-55.5381972474516</t>
  </si>
  <si>
    <t>-30.9023311254922</t>
  </si>
  <si>
    <t>-5.5537901443501</t>
  </si>
  <si>
    <t>-30.9021306394606</t>
  </si>
  <si>
    <t>-55.5378746720144</t>
  </si>
  <si>
    <t>-30.9020836965456</t>
  </si>
  <si>
    <t>-55.5379448176492</t>
  </si>
  <si>
    <t>-30.9019749537226</t>
  </si>
  <si>
    <t>-55.5381616320245</t>
  </si>
  <si>
    <t>-30.9019309750523</t>
  </si>
  <si>
    <t>-55.5382182612969</t>
  </si>
  <si>
    <t>-30.9018675940777</t>
  </si>
  <si>
    <t>-55.5383415077857</t>
  </si>
  <si>
    <t>-30.9018262101946</t>
  </si>
  <si>
    <t>-55.5384208561766</t>
  </si>
  <si>
    <t>-30.9017409294975</t>
  </si>
  <si>
    <t>-55.5385332131168</t>
  </si>
  <si>
    <t>-30.9018871161218</t>
  </si>
  <si>
    <t>-55.5387158918604</t>
  </si>
  <si>
    <t>-30.9020145709715</t>
  </si>
  <si>
    <t>-55.5388043783239</t>
  </si>
  <si>
    <t>-30.9020686022361</t>
  </si>
  <si>
    <t>-55.5388505259191</t>
  </si>
  <si>
    <t>-30.9022840998387</t>
  </si>
  <si>
    <t>-55.5389911653987</t>
  </si>
  <si>
    <t>-30.9023392217684</t>
  </si>
  <si>
    <t>-5.5539029170312</t>
  </si>
  <si>
    <t>-30.9023927489249</t>
  </si>
  <si>
    <t>-55.5390659847576</t>
  </si>
  <si>
    <t>-30.9020138397592</t>
  </si>
  <si>
    <t>-55.5399065892918</t>
  </si>
  <si>
    <t>-30.9020776793623</t>
  </si>
  <si>
    <t>-55.5397964802692</t>
  </si>
  <si>
    <t>-30.9021996795404</t>
  </si>
  <si>
    <t>-5.5539559598932</t>
  </si>
  <si>
    <t>-30.9022787356864</t>
  </si>
  <si>
    <t>-55.5393778717501</t>
  </si>
  <si>
    <t>-30.9023403640079</t>
  </si>
  <si>
    <t>-55.5392846695893</t>
  </si>
  <si>
    <t>-30.9023492193064</t>
  </si>
  <si>
    <t>-55.5391606720855</t>
  </si>
  <si>
    <t>-30.9023059917539</t>
  </si>
  <si>
    <t>-0.5553911770987</t>
  </si>
  <si>
    <t>-3.0902262492776</t>
  </si>
  <si>
    <t>-55.5390934740265</t>
  </si>
  <si>
    <t>-30.9022136146435</t>
  </si>
  <si>
    <t>-0.5553903700089</t>
  </si>
  <si>
    <t>-30.9019213075477</t>
  </si>
  <si>
    <t>-55.5388593832133</t>
  </si>
  <si>
    <t>-30.9016385482311</t>
  </si>
  <si>
    <t>-55.5387917240969</t>
  </si>
  <si>
    <t>-30.9015352373003</t>
  </si>
  <si>
    <t>-55.5390161209917</t>
  </si>
  <si>
    <t>-30.9013575744303</t>
  </si>
  <si>
    <t>-55.5395866235824</t>
  </si>
  <si>
    <t>-3.0901426605857</t>
  </si>
  <si>
    <t>-55.5396379239574</t>
  </si>
  <si>
    <t>-3.0901633497186</t>
  </si>
  <si>
    <t>-55.5397844930678</t>
  </si>
  <si>
    <t>-30.9018518434791</t>
  </si>
  <si>
    <t>-5.5539947490072</t>
  </si>
  <si>
    <t>-30.9019166756694</t>
  </si>
  <si>
    <t>-55.5399810412266</t>
  </si>
  <si>
    <t>-30.9019793922054</t>
  </si>
  <si>
    <t>-5.5539990605076</t>
  </si>
  <si>
    <t>-30.9015278415359</t>
  </si>
  <si>
    <t>-55.5407921437677</t>
  </si>
  <si>
    <t>-30.9015717578221</t>
  </si>
  <si>
    <t>-55.5407084816835</t>
  </si>
  <si>
    <t>-30.9016356336902</t>
  </si>
  <si>
    <t>-55.5405975030008</t>
  </si>
  <si>
    <t>-30.9016736708362</t>
  </si>
  <si>
    <t>-55.5405264340184</t>
  </si>
  <si>
    <t>-3.0901717326611</t>
  </si>
  <si>
    <t>-55.5404608341506</t>
  </si>
  <si>
    <t>-30.9017430392233</t>
  </si>
  <si>
    <t>-55.5404143054618</t>
  </si>
  <si>
    <t>-30.9018202440561</t>
  </si>
  <si>
    <t>-55.5400266691614</t>
  </si>
  <si>
    <t>-30.9017479364425</t>
  </si>
  <si>
    <t>-55.5399857204751</t>
  </si>
  <si>
    <t>-30.9011705536877</t>
  </si>
  <si>
    <t>-55.5396671350235</t>
  </si>
  <si>
    <t>-30.9011374307161</t>
  </si>
  <si>
    <t>-55.5397434598302</t>
  </si>
  <si>
    <t>-30.9011001895947</t>
  </si>
  <si>
    <t>-55.5397928019003</t>
  </si>
  <si>
    <t>-30.9010646422396</t>
  </si>
  <si>
    <t>-55.5398540948834</t>
  </si>
  <si>
    <t>-30.9010491315738</t>
  </si>
  <si>
    <t>-55.5399211185105</t>
  </si>
  <si>
    <t>-30.9008613109668</t>
  </si>
  <si>
    <t>-55.5402954521159</t>
  </si>
  <si>
    <t>-30.9010945986135</t>
  </si>
  <si>
    <t>-55.5406403752008</t>
  </si>
  <si>
    <t>-30.9011988804168</t>
  </si>
  <si>
    <t>-55.5407335549162</t>
  </si>
  <si>
    <t>-30.9013076663237</t>
  </si>
  <si>
    <t>-5.5540807888803</t>
  </si>
  <si>
    <t>-30.9014004945583</t>
  </si>
  <si>
    <t>-55.5408495487172</t>
  </si>
  <si>
    <t>-30.9010619229417</t>
  </si>
  <si>
    <t>-55.5417048729515</t>
  </si>
  <si>
    <t>-30.9011236353207</t>
  </si>
  <si>
    <t>-55.5415790285508</t>
  </si>
  <si>
    <t>-30.9012897016578</t>
  </si>
  <si>
    <t>-55.5412536497989</t>
  </si>
  <si>
    <t>-30.9013591421014</t>
  </si>
  <si>
    <t>-55.5411621457353</t>
  </si>
  <si>
    <t>-30.9013429249957</t>
  </si>
  <si>
    <t>-55.5409886992976</t>
  </si>
  <si>
    <t>-0.3090102528128</t>
  </si>
  <si>
    <t>-55.5407569898825</t>
  </si>
  <si>
    <t>-30.9004848893337</t>
  </si>
  <si>
    <t>-55.5410155165824</t>
  </si>
  <si>
    <t>-3.0900334628806</t>
  </si>
  <si>
    <t>-55.5412922810727</t>
  </si>
  <si>
    <t>-30.9006926934901</t>
  </si>
  <si>
    <t>-5.5541659611762</t>
  </si>
  <si>
    <t>-30.9005523937325</t>
  </si>
  <si>
    <t>-55.5426595109627</t>
  </si>
  <si>
    <t>-30.9006987245029</t>
  </si>
  <si>
    <t>-55.5423670497946</t>
  </si>
  <si>
    <t>-30.9007530108523</t>
  </si>
  <si>
    <t>-55.5422860310134</t>
  </si>
  <si>
    <t>-30.9007316534445</t>
  </si>
  <si>
    <t>-55.5417941580084</t>
  </si>
  <si>
    <t>-30.9005980205587</t>
  </si>
  <si>
    <t>-55.5417095176489</t>
  </si>
  <si>
    <t>-30.9004755191971</t>
  </si>
  <si>
    <t>-5.5541624112458</t>
  </si>
  <si>
    <t>-30.9004281990633</t>
  </si>
  <si>
    <t>-55.5415850919365</t>
  </si>
  <si>
    <t>-30.8999419856801</t>
  </si>
  <si>
    <t>-5.5542017620993</t>
  </si>
  <si>
    <t>-30.8998875151561</t>
  </si>
  <si>
    <t>-55.5423478241849</t>
  </si>
  <si>
    <t>-30.8999275772658</t>
  </si>
  <si>
    <t>-55.5423922898504</t>
  </si>
  <si>
    <t>-30.9000641168067</t>
  </si>
  <si>
    <t>-55.5424767038438</t>
  </si>
  <si>
    <t>-30.9001695548425</t>
  </si>
  <si>
    <t>-0.0055542532895</t>
  </si>
  <si>
    <t>-30.9002272693687</t>
  </si>
  <si>
    <t>-55.5425818282632</t>
  </si>
  <si>
    <t>-3.0900292049608</t>
  </si>
  <si>
    <t>-55.5426225522118</t>
  </si>
  <si>
    <t>-30.9003423724801</t>
  </si>
  <si>
    <t>-55.5426626989965</t>
  </si>
  <si>
    <t>-30.9004569502131</t>
  </si>
  <si>
    <t>-5.5542748706017</t>
  </si>
  <si>
    <t>-30.9000557152023</t>
  </si>
  <si>
    <t>-5.5543596908436</t>
  </si>
  <si>
    <t>-30.9000818271328</t>
  </si>
  <si>
    <t>-55.5435383029935</t>
  </si>
  <si>
    <t>-30.9001199773017</t>
  </si>
  <si>
    <t>-55.5434508454055</t>
  </si>
  <si>
    <t>-30.9001522224157</t>
  </si>
  <si>
    <t>-55.5433893970433</t>
  </si>
  <si>
    <t>-30.9001949240365</t>
  </si>
  <si>
    <t>-55.5433208050701</t>
  </si>
  <si>
    <t>-30.9002463323139</t>
  </si>
  <si>
    <t>-55.5432493406334</t>
  </si>
  <si>
    <t>-30.9004071155209</t>
  </si>
  <si>
    <t>-55.5428444748594</t>
  </si>
  <si>
    <t>-3.0899822779156</t>
  </si>
  <si>
    <t>-55.5424258122958</t>
  </si>
  <si>
    <t>-30.8996143338304</t>
  </si>
  <si>
    <t>-55.5426010715545</t>
  </si>
  <si>
    <t>-30.8995674604156</t>
  </si>
  <si>
    <t>-55.5426926172519</t>
  </si>
  <si>
    <t>-30.8994455883459</t>
  </si>
  <si>
    <t>-55.5429195015559</t>
  </si>
  <si>
    <t>-30.8993140688432</t>
  </si>
  <si>
    <t>-55.5431160372795</t>
  </si>
  <si>
    <t>-30.8993379956749</t>
  </si>
  <si>
    <t>-55.5431853408385</t>
  </si>
  <si>
    <t>-30.8994064983025</t>
  </si>
  <si>
    <t>-55.5432540811909</t>
  </si>
  <si>
    <t>-30.8994758466852</t>
  </si>
  <si>
    <t>-55.5432969824009</t>
  </si>
  <si>
    <t>-30.8995330622534</t>
  </si>
  <si>
    <t>-55.5433476496418</t>
  </si>
  <si>
    <t>-30.8996261072775</t>
  </si>
  <si>
    <t>-55.5433999588933</t>
  </si>
  <si>
    <t>-30.8997202863523</t>
  </si>
  <si>
    <t>-5.5543472141518</t>
  </si>
  <si>
    <t>-30.8998016895989</t>
  </si>
  <si>
    <t>-55.5435343040881</t>
  </si>
  <si>
    <t>-3.0899889889631</t>
  </si>
  <si>
    <t>-5.5543592441913</t>
  </si>
  <si>
    <t>-30.8999841344258</t>
  </si>
  <si>
    <t>-5.5543648682277</t>
  </si>
  <si>
    <t>-30.9021762674063</t>
  </si>
  <si>
    <t>-5.5537622753463</t>
  </si>
  <si>
    <t>-3.0902212067572</t>
  </si>
  <si>
    <t>-55.5375527496267</t>
  </si>
  <si>
    <t>-30.9023223167147</t>
  </si>
  <si>
    <t>-55.5373118355414</t>
  </si>
  <si>
    <t>-30.9018546749789</t>
  </si>
  <si>
    <t>-55.5363451041953</t>
  </si>
  <si>
    <t>-30.9017442745536</t>
  </si>
  <si>
    <t>-55.5365325594379</t>
  </si>
  <si>
    <t>-3.0901685023776</t>
  </si>
  <si>
    <t>-55.5366290654682</t>
  </si>
  <si>
    <t>-30.9016730670086</t>
  </si>
  <si>
    <t>-55.5367253533342</t>
  </si>
  <si>
    <t>-30.9016260787651</t>
  </si>
  <si>
    <t>-55.5367973234866</t>
  </si>
  <si>
    <t>-30.9015853098035</t>
  </si>
  <si>
    <t>-55.5368692099804</t>
  </si>
  <si>
    <t>-30.9015001505067</t>
  </si>
  <si>
    <t>-5.5537026114976</t>
  </si>
  <si>
    <t>-30.9014652963008</t>
  </si>
  <si>
    <t>-55.5371523228686</t>
  </si>
  <si>
    <t>-30.9015133027059</t>
  </si>
  <si>
    <t>-55.5371756858227</t>
  </si>
  <si>
    <t>-30.9015613942655</t>
  </si>
  <si>
    <t>-55.5372097916469</t>
  </si>
  <si>
    <t>-30.9016223934471</t>
  </si>
  <si>
    <t>-5.5537262070003</t>
  </si>
  <si>
    <t>-30.9016794482238</t>
  </si>
  <si>
    <t>-5.5537301026472</t>
  </si>
  <si>
    <t>-30.9018047616059</t>
  </si>
  <si>
    <t>-55.5373881838921</t>
  </si>
  <si>
    <t>-30.9018577928966</t>
  </si>
  <si>
    <t>-55.5374258032133</t>
  </si>
  <si>
    <t>-30.9019099109738</t>
  </si>
  <si>
    <t>-55.5374610686707</t>
  </si>
  <si>
    <t>-30.9020077082275</t>
  </si>
  <si>
    <t>-55.5375416211463</t>
  </si>
  <si>
    <t>-30.9020892073062</t>
  </si>
  <si>
    <t>-55.5375953967828</t>
  </si>
  <si>
    <t>-30.9017074998574</t>
  </si>
  <si>
    <t>-5.5538428704668</t>
  </si>
  <si>
    <t>-30.9017615569737</t>
  </si>
  <si>
    <t>-55.5383344186894</t>
  </si>
  <si>
    <t>-30.9018476710668</t>
  </si>
  <si>
    <t>-55.5381746722807</t>
  </si>
  <si>
    <t>-30.9019021352963</t>
  </si>
  <si>
    <t>-55.5380620486078</t>
  </si>
  <si>
    <t>-30.9019588303878</t>
  </si>
  <si>
    <t>-55.5379658094094</t>
  </si>
  <si>
    <t>-30.9020515487951</t>
  </si>
  <si>
    <t>-55.5378004895683</t>
  </si>
  <si>
    <t>-30.9020675828078</t>
  </si>
  <si>
    <t>-55.5377185531946</t>
  </si>
  <si>
    <t>-30.9019591977997</t>
  </si>
  <si>
    <t>-55.5376431714601</t>
  </si>
  <si>
    <t>-30.9016335288475</t>
  </si>
  <si>
    <t>-55.5374029474778</t>
  </si>
  <si>
    <t>-3.0901532812417</t>
  </si>
  <si>
    <t>-55.5373348023231</t>
  </si>
  <si>
    <t>-3.0901424908621</t>
  </si>
  <si>
    <t>-55.5372489659906</t>
  </si>
  <si>
    <t>-30.9013328900568</t>
  </si>
  <si>
    <t>-55.5373209630592</t>
  </si>
  <si>
    <t>-30.9013040562886</t>
  </si>
  <si>
    <t>-55.5373672095465</t>
  </si>
  <si>
    <t>-30.9012719403002</t>
  </si>
  <si>
    <t>-55.5374329374221</t>
  </si>
  <si>
    <t>-0.3090104884942</t>
  </si>
  <si>
    <t>-55.5378483826037</t>
  </si>
  <si>
    <t>-30.9009993290485</t>
  </si>
  <si>
    <t>-55.5379139085722</t>
  </si>
  <si>
    <t>-30.9009664405982</t>
  </si>
  <si>
    <t>-5.5537987787949</t>
  </si>
  <si>
    <t>-30.9010130491897</t>
  </si>
  <si>
    <t>-55.5380965329706</t>
  </si>
  <si>
    <t>-30.9010803894025</t>
  </si>
  <si>
    <t>-55.5381436764969</t>
  </si>
  <si>
    <t>-30.9011666582945</t>
  </si>
  <si>
    <t>-55.5382042712273</t>
  </si>
  <si>
    <t>-0.3090123349069</t>
  </si>
  <si>
    <t>-55.5382495359816</t>
  </si>
  <si>
    <t>-30.9015508619723</t>
  </si>
  <si>
    <t>-55.5384781866218</t>
  </si>
  <si>
    <t>-30.9015978466333</t>
  </si>
  <si>
    <t>-55.5385056096479</t>
  </si>
  <si>
    <t>-30.9013060652023</t>
  </si>
  <si>
    <t>-55.5392124515717</t>
  </si>
  <si>
    <t>-3.0901351607812</t>
  </si>
  <si>
    <t>-55.5391656980794</t>
  </si>
  <si>
    <t>-30.9014291633602</t>
  </si>
  <si>
    <t>-55.5389750789521</t>
  </si>
  <si>
    <t>-30.9015101556958</t>
  </si>
  <si>
    <t>-55.5388420254968</t>
  </si>
  <si>
    <t>-30.9013813802759</t>
  </si>
  <si>
    <t>-55.5384718576937</t>
  </si>
  <si>
    <t>-30.9012780204064</t>
  </si>
  <si>
    <t>-55.5383856667004</t>
  </si>
  <si>
    <t>-30.9010577710448</t>
  </si>
  <si>
    <t>-55.5382399683222</t>
  </si>
  <si>
    <t>-30.9010088252327</t>
  </si>
  <si>
    <t>-55.5381937862968</t>
  </si>
  <si>
    <t>-3.0900823542087</t>
  </si>
  <si>
    <t>-55.5382562306067</t>
  </si>
  <si>
    <t>-30.9007527939941</t>
  </si>
  <si>
    <t>-55.5383932477125</t>
  </si>
  <si>
    <t>-30.9007025863489</t>
  </si>
  <si>
    <t>-55.5384878294332</t>
  </si>
  <si>
    <t>-3.0900652950682</t>
  </si>
  <si>
    <t>-55.5386032432771</t>
  </si>
  <si>
    <t>-30.9005280634462</t>
  </si>
  <si>
    <t>-55.5388339057183</t>
  </si>
  <si>
    <t>-30.9005945428607</t>
  </si>
  <si>
    <t>-55.5390433076613</t>
  </si>
  <si>
    <t>-30.9006869812603</t>
  </si>
  <si>
    <t>-55.5391134892403</t>
  </si>
  <si>
    <t>-30.9007510740951</t>
  </si>
  <si>
    <t>-5.5539152038327</t>
  </si>
  <si>
    <t>-30.9008639796082</t>
  </si>
  <si>
    <t>-55.5392353574245</t>
  </si>
  <si>
    <t>-30.9010309183245</t>
  </si>
  <si>
    <t>-55.5393382263867</t>
  </si>
  <si>
    <t>-30.9011024331981</t>
  </si>
  <si>
    <t>-55.5393901891775</t>
  </si>
  <si>
    <t>-30.9007368838627</t>
  </si>
  <si>
    <t>-5.5540283321444</t>
  </si>
  <si>
    <t>-30.9010752242575</t>
  </si>
  <si>
    <t>-55.5396605405385</t>
  </si>
  <si>
    <t>-30.9010834895092</t>
  </si>
  <si>
    <t>-55.5394839716835</t>
  </si>
  <si>
    <t>-3.0900826942565</t>
  </si>
  <si>
    <t>-55.5393056862897</t>
  </si>
  <si>
    <t>-30.9005686806024</t>
  </si>
  <si>
    <t>-55.5391604587614</t>
  </si>
  <si>
    <t>-3.0900492270274</t>
  </si>
  <si>
    <t>-55.5391001719088</t>
  </si>
  <si>
    <t>-30.9002987195356</t>
  </si>
  <si>
    <t>-55.5392796543089</t>
  </si>
  <si>
    <t>-30.9002183486138</t>
  </si>
  <si>
    <t>-55.5394344424728</t>
  </si>
  <si>
    <t>-30.9001596521565</t>
  </si>
  <si>
    <t>-55.5395454752952</t>
  </si>
  <si>
    <t>-30.9001301311004</t>
  </si>
  <si>
    <t>-55.5396113824194</t>
  </si>
  <si>
    <t>-30.9000890698024</t>
  </si>
  <si>
    <t>-55.5396774596172</t>
  </si>
  <si>
    <t>-30.9000611437303</t>
  </si>
  <si>
    <t>-55.5397473938854</t>
  </si>
  <si>
    <t>-30.9000246713337</t>
  </si>
  <si>
    <t>-55.5398050847498</t>
  </si>
  <si>
    <t>-30.9000760255131</t>
  </si>
  <si>
    <t>-55.5399532531723</t>
  </si>
  <si>
    <t>-30.9001529067848</t>
  </si>
  <si>
    <t>-55.5399943347356</t>
  </si>
  <si>
    <t>-3.0900215802662</t>
  </si>
  <si>
    <t>-55.5400421916428</t>
  </si>
  <si>
    <t>-30.9002870857884</t>
  </si>
  <si>
    <t>-55.5400885137726</t>
  </si>
  <si>
    <t>-30.9003578483828</t>
  </si>
  <si>
    <t>-55.5401358863141</t>
  </si>
  <si>
    <t>-30.9005262739409</t>
  </si>
  <si>
    <t>-55.5402373646918</t>
  </si>
  <si>
    <t>-30.9006483322524</t>
  </si>
  <si>
    <t>-55.5403147050468</t>
  </si>
  <si>
    <t>-3.0899808087968</t>
  </si>
  <si>
    <t>-55.5420387643365</t>
  </si>
  <si>
    <t>-30.8999076558609</t>
  </si>
  <si>
    <t>-55.5418681884091</t>
  </si>
  <si>
    <t>-30.8999561735876</t>
  </si>
  <si>
    <t>-55.5417738039687</t>
  </si>
  <si>
    <t>-30.9001127958718</t>
  </si>
  <si>
    <t>-55.5415177895694</t>
  </si>
  <si>
    <t>-30.8999978980679</t>
  </si>
  <si>
    <t>-5.5541293263021</t>
  </si>
  <si>
    <t>-30.8999285961299</t>
  </si>
  <si>
    <t>-55.5412412519249</t>
  </si>
  <si>
    <t>-30.8996221184731</t>
  </si>
  <si>
    <t>-55.5410172880143</t>
  </si>
  <si>
    <t>-30.8995450099101</t>
  </si>
  <si>
    <t>-55.5409459067957</t>
  </si>
  <si>
    <t>-30.8993679296502</t>
  </si>
  <si>
    <t>-55.5410206354865</t>
  </si>
  <si>
    <t>-30.8993538113655</t>
  </si>
  <si>
    <t>-55.5428983809807</t>
  </si>
  <si>
    <t>-30.8994718198101</t>
  </si>
  <si>
    <t>-5.5542657875662</t>
  </si>
  <si>
    <t>-30.8995345677224</t>
  </si>
  <si>
    <t>-55.5425151804646</t>
  </si>
  <si>
    <t>-30.8995950054744</t>
  </si>
  <si>
    <t>-5.5542385261588</t>
  </si>
  <si>
    <t>-30.8988482702087</t>
  </si>
  <si>
    <t>-55.5419937079268</t>
  </si>
  <si>
    <t>-30.8987509886421</t>
  </si>
  <si>
    <t>-55.5421641677721</t>
  </si>
  <si>
    <t>-30.8987195564006</t>
  </si>
  <si>
    <t>-5.5542262734812</t>
  </si>
  <si>
    <t>-30.8986401730833</t>
  </si>
  <si>
    <t>-55.5424126983571</t>
  </si>
  <si>
    <t>-30.8985833676843</t>
  </si>
  <si>
    <t>-55.5426687926474</t>
  </si>
  <si>
    <t>-3.0898788948376</t>
  </si>
  <si>
    <t>-55.5428040889904</t>
  </si>
  <si>
    <t>-30.8989446458185</t>
  </si>
  <si>
    <t>-55.5429037260542</t>
  </si>
  <si>
    <t>-30.8990590203809</t>
  </si>
  <si>
    <t>-55.5429910045694</t>
  </si>
  <si>
    <t>-30.9014807336292</t>
  </si>
  <si>
    <t>-55.5368482930629</t>
  </si>
  <si>
    <t>-3.0901523438319</t>
  </si>
  <si>
    <t>-55.5367667682808</t>
  </si>
  <si>
    <t>-0.3090164227398</t>
  </si>
  <si>
    <t>-55.5365752331978</t>
  </si>
  <si>
    <t>-30.9017375486207</t>
  </si>
  <si>
    <t>-55.5363728045927</t>
  </si>
  <si>
    <t>-30.9015783971215</t>
  </si>
  <si>
    <t>-55.5361266078975</t>
  </si>
  <si>
    <t>-3.0901503205584</t>
  </si>
  <si>
    <t>-5.5536067090054</t>
  </si>
  <si>
    <t>-30.9013054755393</t>
  </si>
  <si>
    <t>-55.5358990117957</t>
  </si>
  <si>
    <t>-30.9011579579155</t>
  </si>
  <si>
    <t>-55.5358236750451</t>
  </si>
  <si>
    <t>-30.9009304457051</t>
  </si>
  <si>
    <t>-55.5360250954764</t>
  </si>
  <si>
    <t>-30.9007123150005</t>
  </si>
  <si>
    <t>-55.5364450249713</t>
  </si>
  <si>
    <t>-30.9007036385183</t>
  </si>
  <si>
    <t>-55.5366279743852</t>
  </si>
  <si>
    <t>-30.9008765973324</t>
  </si>
  <si>
    <t>-55.5367460009435</t>
  </si>
  <si>
    <t>-30.9010598371553</t>
  </si>
  <si>
    <t>-55.5368690605533</t>
  </si>
  <si>
    <t>-30.9011120568808</t>
  </si>
  <si>
    <t>-55.5369099482777</t>
  </si>
  <si>
    <t>-30.9011584869332</t>
  </si>
  <si>
    <t>-55.5369661147976</t>
  </si>
  <si>
    <t>-30.9012496035664</t>
  </si>
  <si>
    <t>-55.5370176071885</t>
  </si>
  <si>
    <t>-30.9013191023008</t>
  </si>
  <si>
    <t>-55.5370588028139</t>
  </si>
  <si>
    <t>-30.9009070153585</t>
  </si>
  <si>
    <t>-55.5379346505037</t>
  </si>
  <si>
    <t>-30.9009476877002</t>
  </si>
  <si>
    <t>-55.5378598111314</t>
  </si>
  <si>
    <t>-30.9009886242744</t>
  </si>
  <si>
    <t>-55.5377635875441</t>
  </si>
  <si>
    <t>-30.9011005027918</t>
  </si>
  <si>
    <t>-55.5375705124406</t>
  </si>
  <si>
    <t>-30.9011834462686</t>
  </si>
  <si>
    <t>-55.5370873346694</t>
  </si>
  <si>
    <t>-30.9010289614825</t>
  </si>
  <si>
    <t>-55.5369740496212</t>
  </si>
  <si>
    <t>-30.9006635913785</t>
  </si>
  <si>
    <t>-55.5366994296446</t>
  </si>
  <si>
    <t>-30.9005682567828</t>
  </si>
  <si>
    <t>-55.5367016130111</t>
  </si>
  <si>
    <t>-30.9004149497189</t>
  </si>
  <si>
    <t>-55.5370139611324</t>
  </si>
  <si>
    <t>-30.9003145632443</t>
  </si>
  <si>
    <t>-55.5371745628525</t>
  </si>
  <si>
    <t>-30.9002778276937</t>
  </si>
  <si>
    <t>-55.5372535742724</t>
  </si>
  <si>
    <t>-30.9002321150548</t>
  </si>
  <si>
    <t>-5.5537342553153</t>
  </si>
  <si>
    <t>-30.9001868527502</t>
  </si>
  <si>
    <t>-55.5374231654187</t>
  </si>
  <si>
    <t>-30.9001927612191</t>
  </si>
  <si>
    <t>-55.5374984572069</t>
  </si>
  <si>
    <t>-30.9002537819603</t>
  </si>
  <si>
    <t>-5.5537536583957</t>
  </si>
  <si>
    <t>-30.9003828731479</t>
  </si>
  <si>
    <t>-55.5376650032598</t>
  </si>
  <si>
    <t>-0.0309005556015</t>
  </si>
  <si>
    <t>-55.5377564895419</t>
  </si>
  <si>
    <t>-30.9006452678358</t>
  </si>
  <si>
    <t>-55.5378423107615</t>
  </si>
  <si>
    <t>-30.9007673425454</t>
  </si>
  <si>
    <t>-55.5379100066576</t>
  </si>
  <si>
    <t>-30.9004758463218</t>
  </si>
  <si>
    <t>-5.5538762793004</t>
  </si>
  <si>
    <t>-30.9005859163165</t>
  </si>
  <si>
    <t>-55.5385405943094</t>
  </si>
  <si>
    <t>-3.0900617323037</t>
  </si>
  <si>
    <t>-55.5384791694661</t>
  </si>
  <si>
    <t>-30.9007825854524</t>
  </si>
  <si>
    <t>-55.5381811188563</t>
  </si>
  <si>
    <t>-30.9007562158458</t>
  </si>
  <si>
    <t>-0.5553802672416</t>
  </si>
  <si>
    <t>-30.9006977520202</t>
  </si>
  <si>
    <t>-55.5379833917985</t>
  </si>
  <si>
    <t>-30.9006572770824</t>
  </si>
  <si>
    <t>-55.5379484395831</t>
  </si>
  <si>
    <t>-30.9005955331456</t>
  </si>
  <si>
    <t>-55.5379112472073</t>
  </si>
  <si>
    <t>-30.9005277084808</t>
  </si>
  <si>
    <t>-55.5378610656793</t>
  </si>
  <si>
    <t>-3.0900442276238</t>
  </si>
  <si>
    <t>-55.5377995087028</t>
  </si>
  <si>
    <t>-30.9003455097264</t>
  </si>
  <si>
    <t>-55.5377287227599</t>
  </si>
  <si>
    <t>-30.9001023211415</t>
  </si>
  <si>
    <t>-55.5376119293821</t>
  </si>
  <si>
    <t>-30.9000169282832</t>
  </si>
  <si>
    <t>-55.5377873484812</t>
  </si>
  <si>
    <t>-30.8999251335378</t>
  </si>
  <si>
    <t>-55.5379489329881</t>
  </si>
  <si>
    <t>-30.8998420621342</t>
  </si>
  <si>
    <t>-55.5381027416182</t>
  </si>
  <si>
    <t>-30.8997220013523</t>
  </si>
  <si>
    <t>-55.5383236330599</t>
  </si>
  <si>
    <t>-30.8998290904766</t>
  </si>
  <si>
    <t>-55.5384856835822</t>
  </si>
  <si>
    <t>-30.8998900272877</t>
  </si>
  <si>
    <t>-55.5385360657719</t>
  </si>
  <si>
    <t>-30.9001343877392</t>
  </si>
  <si>
    <t>-55.5387103302341</t>
  </si>
  <si>
    <t>-30.9001525032218</t>
  </si>
  <si>
    <t>-55.5393652745115</t>
  </si>
  <si>
    <t>-30.9002894677535</t>
  </si>
  <si>
    <t>-55.5390964914278</t>
  </si>
  <si>
    <t>-30.9001834697374</t>
  </si>
  <si>
    <t>-55.5388765596125</t>
  </si>
  <si>
    <t>-30.9000775505214</t>
  </si>
  <si>
    <t>-55.5387884997875</t>
  </si>
  <si>
    <t>-30.8998374180654</t>
  </si>
  <si>
    <t>-55.5386262358135</t>
  </si>
  <si>
    <t>-30.8997642775274</t>
  </si>
  <si>
    <t>-55.5385667532391</t>
  </si>
  <si>
    <t>-30.8995105963195</t>
  </si>
  <si>
    <t>-55.5387440307554</t>
  </si>
  <si>
    <t>-30.8992647726406</t>
  </si>
  <si>
    <t>-5.5539169601898</t>
  </si>
  <si>
    <t>-30.8992562033563</t>
  </si>
  <si>
    <t>-55.5393254681837</t>
  </si>
  <si>
    <t>-30.8995858054087</t>
  </si>
  <si>
    <t>-55.5395644721655</t>
  </si>
  <si>
    <t>-30.8994687083075</t>
  </si>
  <si>
    <t>-55.5406272251591</t>
  </si>
  <si>
    <t>-30.8993224358535</t>
  </si>
  <si>
    <t>-55.5395477368057</t>
  </si>
  <si>
    <t>-30.8989160195171</t>
  </si>
  <si>
    <t>-55.5398399834184</t>
  </si>
  <si>
    <t>-30.8987652368054</t>
  </si>
  <si>
    <t>-55.5401106629414</t>
  </si>
  <si>
    <t>-30.8991723118289</t>
  </si>
  <si>
    <t>-55.5405712893108</t>
  </si>
  <si>
    <t>-30.8989800127958</t>
  </si>
  <si>
    <t>-55.5415821211935</t>
  </si>
  <si>
    <t>-30.8991211148638</t>
  </si>
  <si>
    <t>-55.5412836418502</t>
  </si>
  <si>
    <t>-3.0899184718355</t>
  </si>
  <si>
    <t>-55.5411783641668</t>
  </si>
  <si>
    <t>-30.8992947044136</t>
  </si>
  <si>
    <t>-55.5409709121789</t>
  </si>
  <si>
    <t>-30.8992879907925</t>
  </si>
  <si>
    <t>-55.5407662905886</t>
  </si>
  <si>
    <t>-30.8992022615502</t>
  </si>
  <si>
    <t>-55.5407199892122</t>
  </si>
  <si>
    <t>-30.8990398746707</t>
  </si>
  <si>
    <t>-55.5406070945383</t>
  </si>
  <si>
    <t>-30.8983712514167</t>
  </si>
  <si>
    <t>-55.5408726624898</t>
  </si>
  <si>
    <t>-30.8983380365911</t>
  </si>
  <si>
    <t>-55.5409390658516</t>
  </si>
  <si>
    <t>-30.8982592957036</t>
  </si>
  <si>
    <t>-55.5410928272012</t>
  </si>
  <si>
    <t>-30.8982841984857</t>
  </si>
  <si>
    <t>-55.5412047278847</t>
  </si>
  <si>
    <t>-30.8985013959956</t>
  </si>
  <si>
    <t>-55.5413523935319</t>
  </si>
  <si>
    <t>-30.8987722272045</t>
  </si>
  <si>
    <t>-55.5415441848993</t>
  </si>
  <si>
    <t>-30.8988417828387</t>
  </si>
  <si>
    <t>-55.5415912209923</t>
  </si>
  <si>
    <t>-30.8978705455035</t>
  </si>
  <si>
    <t>-55.5421608286773</t>
  </si>
  <si>
    <t>-30.8981726086042</t>
  </si>
  <si>
    <t>-55.5423702417183</t>
  </si>
  <si>
    <t>-30.8982548012276</t>
  </si>
  <si>
    <t>-55.5424155347397</t>
  </si>
  <si>
    <t>-30.8984710249479</t>
  </si>
  <si>
    <t>-55.5425166848929</t>
  </si>
  <si>
    <t>-30.8984955283851</t>
  </si>
  <si>
    <t>-55.5424455910643</t>
  </si>
  <si>
    <t>-30.8985469111315</t>
  </si>
  <si>
    <t>-55.5423976349703</t>
  </si>
  <si>
    <t>-30.8985904581126</t>
  </si>
  <si>
    <t>-55.5422823215695</t>
  </si>
  <si>
    <t>-30.8986369391589</t>
  </si>
  <si>
    <t>-55.5421984870431</t>
  </si>
  <si>
    <t>-30.8987859025406</t>
  </si>
  <si>
    <t>-55.5419173595468</t>
  </si>
  <si>
    <t>-30.8988174182227</t>
  </si>
  <si>
    <t>-55.5418609325364</t>
  </si>
  <si>
    <t>-30.8988591655099</t>
  </si>
  <si>
    <t>-55.5417858677233</t>
  </si>
  <si>
    <t>-30.8984402163921</t>
  </si>
  <si>
    <t>-55.5414314085893</t>
  </si>
  <si>
    <t>-30.8983097532202</t>
  </si>
  <si>
    <t>-55.5413330252179</t>
  </si>
  <si>
    <t>-30.8981107392081</t>
  </si>
  <si>
    <t>-55.5413705181441</t>
  </si>
  <si>
    <t>-30.8980695284718</t>
  </si>
  <si>
    <t>-55.5414437253582</t>
  </si>
  <si>
    <t>-30.8979630628458</t>
  </si>
  <si>
    <t>-55.5416409333335</t>
  </si>
  <si>
    <t>-30.8979213020731</t>
  </si>
  <si>
    <t>-55.5417048358892</t>
  </si>
  <si>
    <t>-30.8977949518116</t>
  </si>
  <si>
    <t>-55.5419658525365</t>
  </si>
  <si>
    <t>-30.9006041569498</t>
  </si>
  <si>
    <t>-55.5364623390118</t>
  </si>
  <si>
    <t>-30.9007036655686</t>
  </si>
  <si>
    <t>-55.5362660651799</t>
  </si>
  <si>
    <t>-30.9007445565416</t>
  </si>
  <si>
    <t>-55.5361836496907</t>
  </si>
  <si>
    <t>-30.9008207136681</t>
  </si>
  <si>
    <t>-55.5360592922928</t>
  </si>
  <si>
    <t>-3.0900872656184</t>
  </si>
  <si>
    <t>-55.5359413280977</t>
  </si>
  <si>
    <t>-30.9008234050176</t>
  </si>
  <si>
    <t>-0.5553557778185</t>
  </si>
  <si>
    <t>-3.0900723640044</t>
  </si>
  <si>
    <t>-55.5355054407966</t>
  </si>
  <si>
    <t>-30.9006436148234</t>
  </si>
  <si>
    <t>-55.5354530583077</t>
  </si>
  <si>
    <t>-30.9005484117239</t>
  </si>
  <si>
    <t>-55.5353726733088</t>
  </si>
  <si>
    <t>-0.3090043170657</t>
  </si>
  <si>
    <t>-55.5352909457594</t>
  </si>
  <si>
    <t>-30.9002402128052</t>
  </si>
  <si>
    <t>-55.5352983969685</t>
  </si>
  <si>
    <t>-30.9002042561617</t>
  </si>
  <si>
    <t>-55.5353429337761</t>
  </si>
  <si>
    <t>-30.9000594467374</t>
  </si>
  <si>
    <t>-55.5356344298151</t>
  </si>
  <si>
    <t>-30.9000284238521</t>
  </si>
  <si>
    <t>-55.5357065209031</t>
  </si>
  <si>
    <t>-3.0899886309486</t>
  </si>
  <si>
    <t>-5.5535989784461</t>
  </si>
  <si>
    <t>-30.9000256073316</t>
  </si>
  <si>
    <t>-55.5361230573551</t>
  </si>
  <si>
    <t>-30.9000887025078</t>
  </si>
  <si>
    <t>-55.5361840771204</t>
  </si>
  <si>
    <t>-3.0900289799228</t>
  </si>
  <si>
    <t>-55.5363164036982</t>
  </si>
  <si>
    <t>-30.9003643296102</t>
  </si>
  <si>
    <t>-55.5363553247754</t>
  </si>
  <si>
    <t>-30.9004189039707</t>
  </si>
  <si>
    <t>-55.5364081502521</t>
  </si>
  <si>
    <t>-30.9004691078066</t>
  </si>
  <si>
    <t>-55.5364405844181</t>
  </si>
  <si>
    <t>-30.9005386712548</t>
  </si>
  <si>
    <t>-55.5364840278589</t>
  </si>
  <si>
    <t>-30.9001734164615</t>
  </si>
  <si>
    <t>-55.5372539649552</t>
  </si>
  <si>
    <t>-30.9004264389962</t>
  </si>
  <si>
    <t>-55.5368046340356</t>
  </si>
  <si>
    <t>-30.9004779405411</t>
  </si>
  <si>
    <t>-55.5365780622079</t>
  </si>
  <si>
    <t>-30.9004391237017</t>
  </si>
  <si>
    <t>-55.5365333944267</t>
  </si>
  <si>
    <t>-30.9003203957027</t>
  </si>
  <si>
    <t>-55.5364603054125</t>
  </si>
  <si>
    <t>-30.9002710576673</t>
  </si>
  <si>
    <t>-55.5364273465068</t>
  </si>
  <si>
    <t>-30.9001037371291</t>
  </si>
  <si>
    <t>-55.5363055464618</t>
  </si>
  <si>
    <t>-30.8997804920528</t>
  </si>
  <si>
    <t>-55.5362177370382</t>
  </si>
  <si>
    <t>-30.8996494337954</t>
  </si>
  <si>
    <t>-55.5364646140425</t>
  </si>
  <si>
    <t>-30.8995986549443</t>
  </si>
  <si>
    <t>-55.5365403015198</t>
  </si>
  <si>
    <t>-30.8994754846354</t>
  </si>
  <si>
    <t>-55.5369995698896</t>
  </si>
  <si>
    <t>-30.8997900640579</t>
  </si>
  <si>
    <t>-55.5372128555641</t>
  </si>
  <si>
    <t>-30.8999432662654</t>
  </si>
  <si>
    <t>-55.5373241867563</t>
  </si>
  <si>
    <t>-30.8998182005339</t>
  </si>
  <si>
    <t>-55.5379224482169</t>
  </si>
  <si>
    <t>-30.8999637066583</t>
  </si>
  <si>
    <t>-55.5376444453943</t>
  </si>
  <si>
    <t>-30.8996552496854</t>
  </si>
  <si>
    <t>-55.5372481958952</t>
  </si>
  <si>
    <t>-30.8996100239802</t>
  </si>
  <si>
    <t>-55.5371931464848</t>
  </si>
  <si>
    <t>-3.0899313415645</t>
  </si>
  <si>
    <t>-55.5370432107576</t>
  </si>
  <si>
    <t>-30.8991147116568</t>
  </si>
  <si>
    <t>-55.5374007594628</t>
  </si>
  <si>
    <t>-30.8990805833504</t>
  </si>
  <si>
    <t>-5.5537459823603</t>
  </si>
  <si>
    <t>-30.8989673983597</t>
  </si>
  <si>
    <t>-55.5377027831212</t>
  </si>
  <si>
    <t>-30.8989617798864</t>
  </si>
  <si>
    <t>-55.5378615181134</t>
  </si>
  <si>
    <t>-30.8991724541508</t>
  </si>
  <si>
    <t>-55.5380234132211</t>
  </si>
  <si>
    <t>-30.8992144018269</t>
  </si>
  <si>
    <t>-55.5380456153405</t>
  </si>
  <si>
    <t>-30.8992936856524</t>
  </si>
  <si>
    <t>-55.5380941901075</t>
  </si>
  <si>
    <t>-30.8993442552542</t>
  </si>
  <si>
    <t>-55.5381267341861</t>
  </si>
  <si>
    <t>-3.0899221103242</t>
  </si>
  <si>
    <t>-55.5390721162179</t>
  </si>
  <si>
    <t>-30.8992616375582</t>
  </si>
  <si>
    <t>-55.5389927467123</t>
  </si>
  <si>
    <t>-30.8993758580146</t>
  </si>
  <si>
    <t>-55.5387799993628</t>
  </si>
  <si>
    <t>-30.8994238118334</t>
  </si>
  <si>
    <t>-55.5386726844683</t>
  </si>
  <si>
    <t>-30.8987975361879</t>
  </si>
  <si>
    <t>-0.5553800571306</t>
  </si>
  <si>
    <t>-30.8987742826128</t>
  </si>
  <si>
    <t>-55.5380725115072</t>
  </si>
  <si>
    <t>-30.8989167802536</t>
  </si>
  <si>
    <t>-55.5390814830066</t>
  </si>
  <si>
    <t>-30.8987119143654</t>
  </si>
  <si>
    <t>-55.5400394678676</t>
  </si>
  <si>
    <t>-30.8988170029399</t>
  </si>
  <si>
    <t>-55.5398281914165</t>
  </si>
  <si>
    <t>-30.8989211205757</t>
  </si>
  <si>
    <t>-55.5396316528002</t>
  </si>
  <si>
    <t>-30.8989699577238</t>
  </si>
  <si>
    <t>-55.5395476791854</t>
  </si>
  <si>
    <t>-30.8990417877654</t>
  </si>
  <si>
    <t>-55.5394379017683</t>
  </si>
  <si>
    <t>-30.8988841251627</t>
  </si>
  <si>
    <t>-55.5392458034092</t>
  </si>
  <si>
    <t>-30.8985845789926</t>
  </si>
  <si>
    <t>-5.5539020296944</t>
  </si>
  <si>
    <t>-30.8981113301166</t>
  </si>
  <si>
    <t>-55.5393183202477</t>
  </si>
  <si>
    <t>-30.8980053913792</t>
  </si>
  <si>
    <t>-55.5395160857896</t>
  </si>
  <si>
    <t>-30.8979932243046</t>
  </si>
  <si>
    <t>-55.5397515248566</t>
  </si>
  <si>
    <t>-30.8980324971186</t>
  </si>
  <si>
    <t>-55.5397757129651</t>
  </si>
  <si>
    <t>-30.8981053908302</t>
  </si>
  <si>
    <t>-55.5398131814535</t>
  </si>
  <si>
    <t>-3.0898199140465</t>
  </si>
  <si>
    <t>-55.5398770860477</t>
  </si>
  <si>
    <t>-30.8984337039189</t>
  </si>
  <si>
    <t>-55.5400461322357</t>
  </si>
  <si>
    <t>-30.8984687179404</t>
  </si>
  <si>
    <t>-55.5400741466021</t>
  </si>
  <si>
    <t>-30.8985209682643</t>
  </si>
  <si>
    <t>-55.5401070534485</t>
  </si>
  <si>
    <t>-30.8981683018628</t>
  </si>
  <si>
    <t>-55.5410737858627</t>
  </si>
  <si>
    <t>-30.8982200094259</t>
  </si>
  <si>
    <t>-55.5409583969448</t>
  </si>
  <si>
    <t>-30.8983241388049</t>
  </si>
  <si>
    <t>-55.5407711764507</t>
  </si>
  <si>
    <t>-30.8985280607716</t>
  </si>
  <si>
    <t>-55.5403771063762</t>
  </si>
  <si>
    <t>-30.8985527158475</t>
  </si>
  <si>
    <t>-55.5402229394982</t>
  </si>
  <si>
    <t>-30.8984886530854</t>
  </si>
  <si>
    <t>-55.5401961947276</t>
  </si>
  <si>
    <t>-30.8984421539642</t>
  </si>
  <si>
    <t>-55.5401585538413</t>
  </si>
  <si>
    <t>-30.8978408447885</t>
  </si>
  <si>
    <t>-55.5398331492407</t>
  </si>
  <si>
    <t>-30.8975821281769</t>
  </si>
  <si>
    <t>-55.5403580931201</t>
  </si>
  <si>
    <t>-30.8974783729345</t>
  </si>
  <si>
    <t>-5.5540531246774</t>
  </si>
  <si>
    <t>-30.8975478828478</t>
  </si>
  <si>
    <t>-55.5406858415484</t>
  </si>
  <si>
    <t>-30.8976241747511</t>
  </si>
  <si>
    <t>-55.5407232694226</t>
  </si>
  <si>
    <t>-30.8976715334368</t>
  </si>
  <si>
    <t>-55.5407630372519</t>
  </si>
  <si>
    <t>-30.8978001702351</t>
  </si>
  <si>
    <t>-5.5540851559951</t>
  </si>
  <si>
    <t>-30.8980241931231</t>
  </si>
  <si>
    <t>-55.5410074041033</t>
  </si>
  <si>
    <t>-30.8977098323667</t>
  </si>
  <si>
    <t>-55.5419379726466</t>
  </si>
  <si>
    <t>-30.8977304544947</t>
  </si>
  <si>
    <t>-55.5418936245621</t>
  </si>
  <si>
    <t>-30.8977579481356</t>
  </si>
  <si>
    <t>-55.5418479477575</t>
  </si>
  <si>
    <t>-30.8977952425105</t>
  </si>
  <si>
    <t>-5.5541812626742</t>
  </si>
  <si>
    <t>-30.8978938164879</t>
  </si>
  <si>
    <t>-55.5415946031383</t>
  </si>
  <si>
    <t>-30.8979107080996</t>
  </si>
  <si>
    <t>-55.5415515016737</t>
  </si>
  <si>
    <t>-30.8979588529936</t>
  </si>
  <si>
    <t>-55.5414541692595</t>
  </si>
  <si>
    <t>-30.8979981246765</t>
  </si>
  <si>
    <t>-55.5413497459045</t>
  </si>
  <si>
    <t>-30.8980688866958</t>
  </si>
  <si>
    <t>-55.5412593826228</t>
  </si>
  <si>
    <t>-30.8980172644362</t>
  </si>
  <si>
    <t>-55.5411293065341</t>
  </si>
  <si>
    <t>-30.8979529051311</t>
  </si>
  <si>
    <t>-5.5541082071278</t>
  </si>
  <si>
    <t>-30.8974666285866</t>
  </si>
  <si>
    <t>-55.5407460755374</t>
  </si>
  <si>
    <t>-30.8973302216526</t>
  </si>
  <si>
    <t>-55.5408226919036</t>
  </si>
  <si>
    <t>-30.8972171118245</t>
  </si>
  <si>
    <t>-55.5410393285147</t>
  </si>
  <si>
    <t>-30.8991185273018</t>
  </si>
  <si>
    <t>-55.5354067809209</t>
  </si>
  <si>
    <t>-30.8992627663952</t>
  </si>
  <si>
    <t>-55.5351300070335</t>
  </si>
  <si>
    <t>-30.8993007165468</t>
  </si>
  <si>
    <t>-55.5350487530961</t>
  </si>
  <si>
    <t>-30.8998243707252</t>
  </si>
  <si>
    <t>-55.5348442015356</t>
  </si>
  <si>
    <t>-30.8999887271415</t>
  </si>
  <si>
    <t>-55.5349860175962</t>
  </si>
  <si>
    <t>-30.9001494910488</t>
  </si>
  <si>
    <t>-55.5350796502981</t>
  </si>
  <si>
    <t>-30.9001931999452</t>
  </si>
  <si>
    <t>-55.5352153001735</t>
  </si>
  <si>
    <t>-3.0900125083475</t>
  </si>
  <si>
    <t>-55.5353351457291</t>
  </si>
  <si>
    <t>-0.3090002739567</t>
  </si>
  <si>
    <t>-55.5355092746382</t>
  </si>
  <si>
    <t>-30.8999580929387</t>
  </si>
  <si>
    <t>-55.5356157719271</t>
  </si>
  <si>
    <t>-3.0899923335301</t>
  </si>
  <si>
    <t>-55.5357023826731</t>
  </si>
  <si>
    <t>-30.8998849478153</t>
  </si>
  <si>
    <t>-55.5357824611749</t>
  </si>
  <si>
    <t>-30.8998517313611</t>
  </si>
  <si>
    <t>-55.5358507610829</t>
  </si>
  <si>
    <t>-30.8998046099616</t>
  </si>
  <si>
    <t>-5.5535928193997</t>
  </si>
  <si>
    <t>-30.8997442166078</t>
  </si>
  <si>
    <t>-55.5359113913063</t>
  </si>
  <si>
    <t>-30.8996841400908</t>
  </si>
  <si>
    <t>-55.5358918692092</t>
  </si>
  <si>
    <t>-3.0899585985188</t>
  </si>
  <si>
    <t>-5.5535832362631</t>
  </si>
  <si>
    <t>-30.8993771809669</t>
  </si>
  <si>
    <t>-5.5535694627268</t>
  </si>
  <si>
    <t>-30.8992510644691</t>
  </si>
  <si>
    <t>-55.5355752495292</t>
  </si>
  <si>
    <t>-30.8991444988936</t>
  </si>
  <si>
    <t>-55.5355117403194</t>
  </si>
  <si>
    <t>-30.8986458727635</t>
  </si>
  <si>
    <t>-55.5363072733032</t>
  </si>
  <si>
    <t>-30.8987198591351</t>
  </si>
  <si>
    <t>-55.5361691359901</t>
  </si>
  <si>
    <t>-30.8987417328002</t>
  </si>
  <si>
    <t>-55.5360960035778</t>
  </si>
  <si>
    <t>-30.8988394409903</t>
  </si>
  <si>
    <t>-55.5359478615424</t>
  </si>
  <si>
    <t>-30.8988649762234</t>
  </si>
  <si>
    <t>-55.5358741915437</t>
  </si>
  <si>
    <t>-30.8989412545956</t>
  </si>
  <si>
    <t>-55.5357222761619</t>
  </si>
  <si>
    <t>-30.8993855389561</t>
  </si>
  <si>
    <t>-55.5357843964096</t>
  </si>
  <si>
    <t>-30.8994320830532</t>
  </si>
  <si>
    <t>-55.5358200493181</t>
  </si>
  <si>
    <t>-30.8994698381431</t>
  </si>
  <si>
    <t>-55.5358824207205</t>
  </si>
  <si>
    <t>-30.8995161161859</t>
  </si>
  <si>
    <t>-55.5359156178134</t>
  </si>
  <si>
    <t>-30.8995816437679</t>
  </si>
  <si>
    <t>-55.5359273132256</t>
  </si>
  <si>
    <t>-3.0899667827062</t>
  </si>
  <si>
    <t>-55.5359940727543</t>
  </si>
  <si>
    <t>-30.8997110449716</t>
  </si>
  <si>
    <t>-55.5360244853794</t>
  </si>
  <si>
    <t>-30.8996828066695</t>
  </si>
  <si>
    <t>-55.5361705267261</t>
  </si>
  <si>
    <t>-30.8996693462714</t>
  </si>
  <si>
    <t>-55.5362159603479</t>
  </si>
  <si>
    <t>-3.0899592635948</t>
  </si>
  <si>
    <t>-55.5363443643395</t>
  </si>
  <si>
    <t>-30.8995637699041</t>
  </si>
  <si>
    <t>-55.5364051697746</t>
  </si>
  <si>
    <t>-30.8995295526835</t>
  </si>
  <si>
    <t>-55.5364505755152</t>
  </si>
  <si>
    <t>-30.8995026840696</t>
  </si>
  <si>
    <t>-55.5365076915064</t>
  </si>
  <si>
    <t>-30.8994395609662</t>
  </si>
  <si>
    <t>-55.5366278137268</t>
  </si>
  <si>
    <t>-30.8993935564574</t>
  </si>
  <si>
    <t>-55.5367084877386</t>
  </si>
  <si>
    <t>-30.8993312874459</t>
  </si>
  <si>
    <t>-55.5368351734478</t>
  </si>
  <si>
    <t>-30.8992462474534</t>
  </si>
  <si>
    <t>-55.5368169692202</t>
  </si>
  <si>
    <t>-30.8991743877247</t>
  </si>
  <si>
    <t>-55.5367662457434</t>
  </si>
  <si>
    <t>-30.8991175275474</t>
  </si>
  <si>
    <t>-55.5367111694036</t>
  </si>
  <si>
    <t>-0.3089900739035</t>
  </si>
  <si>
    <t>-55.5366443176832</t>
  </si>
  <si>
    <t>-30.8988921923372</t>
  </si>
  <si>
    <t>-55.5365559588614</t>
  </si>
  <si>
    <t>-30.8988277640357</t>
  </si>
  <si>
    <t>-55.5365192895829</t>
  </si>
  <si>
    <t>-30.8985999992021</t>
  </si>
  <si>
    <t>-55.5375949088732</t>
  </si>
  <si>
    <t>-30.8984459312735</t>
  </si>
  <si>
    <t>-55.5366306758604</t>
  </si>
  <si>
    <t>-3.0898459950825</t>
  </si>
  <si>
    <t>-5.5536595391157</t>
  </si>
  <si>
    <t>-30.8984925490229</t>
  </si>
  <si>
    <t>-55.5365628341683</t>
  </si>
  <si>
    <t>-30.8985104435364</t>
  </si>
  <si>
    <t>-55.5365268838399</t>
  </si>
  <si>
    <t>-30.8986125880957</t>
  </si>
  <si>
    <t>-55.5364871665514</t>
  </si>
  <si>
    <t>-30.8986361246489</t>
  </si>
  <si>
    <t>-55.5365077520177</t>
  </si>
  <si>
    <t>-30.8986644549758</t>
  </si>
  <si>
    <t>-55.5365273467064</t>
  </si>
  <si>
    <t>-30.8990062010701</t>
  </si>
  <si>
    <t>-55.5367696283028</t>
  </si>
  <si>
    <t>-30.8990318467959</t>
  </si>
  <si>
    <t>-55.5368028434873</t>
  </si>
  <si>
    <t>-30.8991003685532</t>
  </si>
  <si>
    <t>-55.5368407189866</t>
  </si>
  <si>
    <t>-30.8992074997515</t>
  </si>
  <si>
    <t>-55.5369182489475</t>
  </si>
  <si>
    <t>-30.8992498154256</t>
  </si>
  <si>
    <t>-55.5369896458995</t>
  </si>
  <si>
    <t>-30.8992311684242</t>
  </si>
  <si>
    <t>-55.5370424888258</t>
  </si>
  <si>
    <t>-30.8991923733739</t>
  </si>
  <si>
    <t>-55.5371048339746</t>
  </si>
  <si>
    <t>-30.8991676513289</t>
  </si>
  <si>
    <t>-55.5371408561324</t>
  </si>
  <si>
    <t>-30.8991230350277</t>
  </si>
  <si>
    <t>-55.5372274818883</t>
  </si>
  <si>
    <t>-3.0899095688601</t>
  </si>
  <si>
    <t>-55.5372942594293</t>
  </si>
  <si>
    <t>-30.8989660222569</t>
  </si>
  <si>
    <t>-55.5375333869465</t>
  </si>
  <si>
    <t>-30.8989415403517</t>
  </si>
  <si>
    <t>-55.5375817879763</t>
  </si>
  <si>
    <t>-3.0898905563957</t>
  </si>
  <si>
    <t>-55.5376327496054</t>
  </si>
  <si>
    <t>-30.8988845223396</t>
  </si>
  <si>
    <t>-55.5376936170822</t>
  </si>
  <si>
    <t>-30.8978213878141</t>
  </si>
  <si>
    <t>-55.5378815983536</t>
  </si>
  <si>
    <t>-30.8982908806922</t>
  </si>
  <si>
    <t>-55.5375149218382</t>
  </si>
  <si>
    <t>-30.8985693232319</t>
  </si>
  <si>
    <t>-55.5377229044773</t>
  </si>
  <si>
    <t>-30.8987288357909</t>
  </si>
  <si>
    <t>-55.5379126881168</t>
  </si>
  <si>
    <t>-30.8987294971539</t>
  </si>
  <si>
    <t>-55.5379716884469</t>
  </si>
  <si>
    <t>-30.8972896502978</t>
  </si>
  <si>
    <t>-55.5392003359218</t>
  </si>
  <si>
    <t>-30.8974586254541</t>
  </si>
  <si>
    <t>-55.5393184021817</t>
  </si>
  <si>
    <t>-30.8976626755872</t>
  </si>
  <si>
    <t>-55.5394858623086</t>
  </si>
  <si>
    <t>-30.8977832569225</t>
  </si>
  <si>
    <t>-55.5395537839099</t>
  </si>
  <si>
    <t>-30.8978977748816</t>
  </si>
  <si>
    <t>-55.5395250873687</t>
  </si>
  <si>
    <t>-0.3089720011116</t>
  </si>
  <si>
    <t>-5.5539287761384</t>
  </si>
  <si>
    <t>-30.8972337829006</t>
  </si>
  <si>
    <t>-55.5393284620067</t>
  </si>
  <si>
    <t>-30.8973076179056</t>
  </si>
  <si>
    <t>-55.5393588240591</t>
  </si>
  <si>
    <t>-30.8976901340647</t>
  </si>
  <si>
    <t>-55.5399363732784</t>
  </si>
  <si>
    <t>-30.8972945806288</t>
  </si>
  <si>
    <t>-55.5405000705481</t>
  </si>
  <si>
    <t>-30.8972200285037</t>
  </si>
  <si>
    <t>-55.5404426357243</t>
  </si>
  <si>
    <t>-30.8969234643524</t>
  </si>
  <si>
    <t>-55.5402210109314</t>
  </si>
  <si>
    <t>-30.8963594061273</t>
  </si>
  <si>
    <t>-55.5410719747362</t>
  </si>
  <si>
    <t>-30.8964080224016</t>
  </si>
  <si>
    <t>-55.5411064834186</t>
  </si>
  <si>
    <t>-30.8964373755891</t>
  </si>
  <si>
    <t>-55.5411551762125</t>
  </si>
  <si>
    <t>-30.8965003591061</t>
  </si>
  <si>
    <t>-55.5411752526253</t>
  </si>
  <si>
    <t>-30.8966018831785</t>
  </si>
  <si>
    <t>-55.5412525676193</t>
  </si>
  <si>
    <t>-30.8967626825968</t>
  </si>
  <si>
    <t>-55.5413512600351</t>
  </si>
  <si>
    <t>-3.0897229323636</t>
  </si>
  <si>
    <t>-55.5407773038706</t>
  </si>
  <si>
    <t>-30.8972645279557</t>
  </si>
  <si>
    <t>-5.5540726310351</t>
  </si>
  <si>
    <t>-30.8968985342964</t>
  </si>
  <si>
    <t>-55.5403285936311</t>
  </si>
  <si>
    <t>-30.8964131194391</t>
  </si>
  <si>
    <t>-55.5405351591686</t>
  </si>
  <si>
    <t>-3.0896356071356</t>
  </si>
  <si>
    <t>-55.5405933663536</t>
  </si>
  <si>
    <t>-30.8964608884073</t>
  </si>
  <si>
    <t>-55.5400177724684</t>
  </si>
  <si>
    <t>-3.0896382073898</t>
  </si>
  <si>
    <t>-55.5399623563855</t>
  </si>
  <si>
    <t>-30.8959824700939</t>
  </si>
  <si>
    <t>-5.5539667563207</t>
  </si>
  <si>
    <t>-30.8957061253092</t>
  </si>
  <si>
    <t>-55.5397995383739</t>
  </si>
  <si>
    <t>-30.8956694474419</t>
  </si>
  <si>
    <t>-55.5398756114676</t>
  </si>
  <si>
    <t>-30.8956252327795</t>
  </si>
  <si>
    <t>-5.5539955566932</t>
  </si>
  <si>
    <t>-30.8955898763763</t>
  </si>
  <si>
    <t>-55.5405384285285</t>
  </si>
  <si>
    <t>-30.8957049527095</t>
  </si>
  <si>
    <t>-55.5405880340023</t>
  </si>
  <si>
    <t>-30.8958884445048</t>
  </si>
  <si>
    <t>-55.5407239257782</t>
  </si>
  <si>
    <t>-30.8960589727538</t>
  </si>
  <si>
    <t>-55.5408440783611</t>
  </si>
  <si>
    <t>-30.8961490775822</t>
  </si>
  <si>
    <t>-55.5408290258412</t>
  </si>
  <si>
    <t>-30.8961634434846</t>
  </si>
  <si>
    <t>-55.5407541260222</t>
  </si>
  <si>
    <t>-30.8962062349824</t>
  </si>
  <si>
    <t>-5.5540721880676</t>
  </si>
  <si>
    <t>-30.8962577638991</t>
  </si>
  <si>
    <t>-55.5406329876787</t>
  </si>
  <si>
    <t>-30.8963982943858</t>
  </si>
  <si>
    <t>-55.5387137746236</t>
  </si>
  <si>
    <t>-30.8964829106729</t>
  </si>
  <si>
    <t>-55.5387804182816</t>
  </si>
  <si>
    <t>-30.8967283977023</t>
  </si>
  <si>
    <t>-55.5389572648396</t>
  </si>
  <si>
    <t>-30.8968843579261</t>
  </si>
  <si>
    <t>-55.5393981307237</t>
  </si>
  <si>
    <t>-0.3089658806882</t>
  </si>
  <si>
    <t>-55.5399743206763</t>
  </si>
  <si>
    <t>-30.8964896014276</t>
  </si>
  <si>
    <t>-55.5399009675515</t>
  </si>
  <si>
    <t>-30.8961250624666</t>
  </si>
  <si>
    <t>-55.5396302097219</t>
  </si>
  <si>
    <t>-30.8960437638141</t>
  </si>
  <si>
    <t>-55.5395877633479</t>
  </si>
  <si>
    <t>-30.8959597047258</t>
  </si>
  <si>
    <t>-55.5393456717798</t>
  </si>
  <si>
    <t>-30.8960736953033</t>
  </si>
  <si>
    <t>-55.5391167912065</t>
  </si>
  <si>
    <t>-30.8961390166818</t>
  </si>
  <si>
    <t>-55.5389877795353</t>
  </si>
  <si>
    <t>-30.8962142188988</t>
  </si>
  <si>
    <t>-55.5388615483696</t>
  </si>
  <si>
    <t>-30.8964626012366</t>
  </si>
  <si>
    <t>-5.5538626617819</t>
  </si>
  <si>
    <t>-30.8965446189862</t>
  </si>
  <si>
    <t>-55.5386850099032</t>
  </si>
  <si>
    <t>-3.0896828355727</t>
  </si>
  <si>
    <t>-55.5388977491593</t>
  </si>
  <si>
    <t>-30.8968764406173</t>
  </si>
  <si>
    <t>-5.5538949707548</t>
  </si>
  <si>
    <t>-30.8969406450004</t>
  </si>
  <si>
    <t>-55.5389796793526</t>
  </si>
  <si>
    <t>-30.8970086943143</t>
  </si>
  <si>
    <t>-55.5390323463274</t>
  </si>
  <si>
    <t>-30.8972179414473</t>
  </si>
  <si>
    <t>-5.5538795279808</t>
  </si>
  <si>
    <t>-30.8972380946243</t>
  </si>
  <si>
    <t>-55.5387387561222</t>
  </si>
  <si>
    <t>-30.8972622018724</t>
  </si>
  <si>
    <t>-55.5386929178202</t>
  </si>
  <si>
    <t>-30.8973054825383</t>
  </si>
  <si>
    <t>-55.5386134142694</t>
  </si>
  <si>
    <t>-30.8978742785496</t>
  </si>
  <si>
    <t>-55.5372296209453</t>
  </si>
  <si>
    <t>-30.8978130778811</t>
  </si>
  <si>
    <t>-55.5371826522195</t>
  </si>
  <si>
    <t>-30.8977758243543</t>
  </si>
  <si>
    <t>-55.5371387784613</t>
  </si>
  <si>
    <t>-30.8976993907593</t>
  </si>
  <si>
    <t>-55.5370900828042</t>
  </si>
  <si>
    <t>-30.8976060447126</t>
  </si>
  <si>
    <t>-55.5370329687333</t>
  </si>
  <si>
    <t>-30.8974781170179</t>
  </si>
  <si>
    <t>-55.5369390903648</t>
  </si>
  <si>
    <t>-30.8974002164777</t>
  </si>
  <si>
    <t>-55.5368883965872</t>
  </si>
  <si>
    <t>-30.8969835301764</t>
  </si>
  <si>
    <t>-55.5374018777374</t>
  </si>
  <si>
    <t>-30.8969577814029</t>
  </si>
  <si>
    <t>-55.5374591353061</t>
  </si>
  <si>
    <t>-30.8969318614729</t>
  </si>
  <si>
    <t>-55.5375051170701</t>
  </si>
  <si>
    <t>-30.8968957440172</t>
  </si>
  <si>
    <t>-55.5375627035909</t>
  </si>
  <si>
    <t>-30.8969503529115</t>
  </si>
  <si>
    <t>-55.5376814422364</t>
  </si>
  <si>
    <t>-30.8979365247093</t>
  </si>
  <si>
    <t>-55.5374225903332</t>
  </si>
  <si>
    <t>-30.8978089958384</t>
  </si>
  <si>
    <t>-5.5535927781608</t>
  </si>
  <si>
    <t>-30.8982188415444</t>
  </si>
  <si>
    <t>-55.5362273635869</t>
  </si>
  <si>
    <t>-30.8982263468621</t>
  </si>
  <si>
    <t>-55.5368865159951</t>
  </si>
  <si>
    <t>-30.8980146178878</t>
  </si>
  <si>
    <t>-55.5371913696195</t>
  </si>
  <si>
    <t>-3.0897963249291</t>
  </si>
  <si>
    <t>-55.5371454767079</t>
  </si>
  <si>
    <t>-3.0897746548529</t>
  </si>
  <si>
    <t>-55.5369831526619</t>
  </si>
  <si>
    <t>-30.8976493498301</t>
  </si>
  <si>
    <t>-55.5369286107194</t>
  </si>
  <si>
    <t>-30.8976059943484</t>
  </si>
  <si>
    <t>-55.5362292930463</t>
  </si>
  <si>
    <t>-30.8988967802284</t>
  </si>
  <si>
    <t>-55.5354411890879</t>
  </si>
  <si>
    <t>-30.8987268779951</t>
  </si>
  <si>
    <t>-55.5353168640542</t>
  </si>
  <si>
    <t>-30.8981437920385</t>
  </si>
  <si>
    <t>-55.5352160424994</t>
  </si>
  <si>
    <t>-3.0897962579011</t>
  </si>
  <si>
    <t>-55.5355506626906</t>
  </si>
  <si>
    <t>-30.8984471531176</t>
  </si>
  <si>
    <t>-5.5536238993896</t>
  </si>
  <si>
    <t>-30.8985433860614</t>
  </si>
  <si>
    <t>-55.5362969065373</t>
  </si>
  <si>
    <t>-30.8986046267538</t>
  </si>
  <si>
    <t>-55.5362017012846</t>
  </si>
  <si>
    <t>-30.8986431542149</t>
  </si>
  <si>
    <t>-55.5361057335285</t>
  </si>
  <si>
    <t>-30.8986968357314</t>
  </si>
  <si>
    <t>-5.5536006622107</t>
  </si>
  <si>
    <t>-30.8988599883304</t>
  </si>
  <si>
    <t>-55.5356806125588</t>
  </si>
  <si>
    <t>-30.8988771793001</t>
  </si>
  <si>
    <t>-55.5341865359679</t>
  </si>
  <si>
    <t>-30.8989422008512</t>
  </si>
  <si>
    <t>-55.5342301144277</t>
  </si>
  <si>
    <t>-30.8990121797176</t>
  </si>
  <si>
    <t>-55.5342816265292</t>
  </si>
  <si>
    <t>-30.8991251556663</t>
  </si>
  <si>
    <t>-55.5343500525238</t>
  </si>
  <si>
    <t>-30.8992218666684</t>
  </si>
  <si>
    <t>-55.5344356158961</t>
  </si>
  <si>
    <t>-30.8992972706257</t>
  </si>
  <si>
    <t>-55.5348582939105</t>
  </si>
  <si>
    <t>-30.8992429207418</t>
  </si>
  <si>
    <t>-55.5349703365172</t>
  </si>
  <si>
    <t>-30.8991176606271</t>
  </si>
  <si>
    <t>-55.5352094102902</t>
  </si>
  <si>
    <t>-30.8990876677845</t>
  </si>
  <si>
    <t>-55.5352810521249</t>
  </si>
  <si>
    <t>-3.0898990655785</t>
  </si>
  <si>
    <t>-55.5353753890523</t>
  </si>
  <si>
    <t>-30.8989171176309</t>
  </si>
  <si>
    <t>-55.5353269063079</t>
  </si>
  <si>
    <t>-30.8987819190639</t>
  </si>
  <si>
    <t>-55.5352320015739</t>
  </si>
  <si>
    <t>-30.8987081633881</t>
  </si>
  <si>
    <t>-0.5553517730235</t>
  </si>
  <si>
    <t>-30.8984262186529</t>
  </si>
  <si>
    <t>-55.5346837605438</t>
  </si>
  <si>
    <t>-30.8980717932903</t>
  </si>
  <si>
    <t>-55.5347201371306</t>
  </si>
  <si>
    <t>-30.8979441775746</t>
  </si>
  <si>
    <t>-55.5346226718623</t>
  </si>
  <si>
    <t>-30.8978062827663</t>
  </si>
  <si>
    <t>-55.5345443988156</t>
  </si>
  <si>
    <t>-30.8976954454774</t>
  </si>
  <si>
    <t>-55.5344515662382</t>
  </si>
  <si>
    <t>-30.8975790002801</t>
  </si>
  <si>
    <t>-5.5534371099059</t>
  </si>
  <si>
    <t>-30.8975139191876</t>
  </si>
  <si>
    <t>-55.5343075800125</t>
  </si>
  <si>
    <t>-30.8975066967548</t>
  </si>
  <si>
    <t>-55.5341988989073</t>
  </si>
  <si>
    <t>-30.8975587718317</t>
  </si>
  <si>
    <t>-55.5341534305832</t>
  </si>
  <si>
    <t>-30.8977557840184</t>
  </si>
  <si>
    <t>-55.5341439800061</t>
  </si>
  <si>
    <t>-30.8978421999712</t>
  </si>
  <si>
    <t>-55.5341345631295</t>
  </si>
  <si>
    <t>-30.8983565060304</t>
  </si>
  <si>
    <t>-5.5534112265423</t>
  </si>
  <si>
    <t>-30.8984224753414</t>
  </si>
  <si>
    <t>-55.5341178627253</t>
  </si>
  <si>
    <t>-30.8983917986173</t>
  </si>
  <si>
    <t>-5.5534543384848</t>
  </si>
  <si>
    <t>-30.8983545765672</t>
  </si>
  <si>
    <t>-55.5346163530518</t>
  </si>
  <si>
    <t>-30.8976032502176</t>
  </si>
  <si>
    <t>-55.5356559330046</t>
  </si>
  <si>
    <t>-30.8973640633851</t>
  </si>
  <si>
    <t>-55.5354837131276</t>
  </si>
  <si>
    <t>-30.8972664050307</t>
  </si>
  <si>
    <t>-55.5347036060514</t>
  </si>
  <si>
    <t>-30.8974564500204</t>
  </si>
  <si>
    <t>-55.5343867290987</t>
  </si>
  <si>
    <t>-30.8975321940784</t>
  </si>
  <si>
    <t>-55.5344207788466</t>
  </si>
  <si>
    <t>-30.8975826561179</t>
  </si>
  <si>
    <t>-55.5344560309318</t>
  </si>
  <si>
    <t>-30.8977586815096</t>
  </si>
  <si>
    <t>-55.5346220390392</t>
  </si>
  <si>
    <t>-3.0897835842508</t>
  </si>
  <si>
    <t>-55.5346789952664</t>
  </si>
  <si>
    <t>-30.8978970432966</t>
  </si>
  <si>
    <t>-55.5347320625235</t>
  </si>
  <si>
    <t>-30.8979380202661</t>
  </si>
  <si>
    <t>-55.5347729263218</t>
  </si>
  <si>
    <t>-3.0898030554729</t>
  </si>
  <si>
    <t>-55.5348256229602</t>
  </si>
  <si>
    <t>-30.8981201938317</t>
  </si>
  <si>
    <t>-55.5348999097782</t>
  </si>
  <si>
    <t>-30.8981461341677</t>
  </si>
  <si>
    <t>-55.5350055604747</t>
  </si>
  <si>
    <t>-30.8980657889298</t>
  </si>
  <si>
    <t>-5.5535117173157</t>
  </si>
  <si>
    <t>-30.8980336359404</t>
  </si>
  <si>
    <t>-55.5351996348498</t>
  </si>
  <si>
    <t>-30.8979776531613</t>
  </si>
  <si>
    <t>-55.5352931614346</t>
  </si>
  <si>
    <t>-30.8978695933645</t>
  </si>
  <si>
    <t>-55.5355124608961</t>
  </si>
  <si>
    <t>-3.0896562067953</t>
  </si>
  <si>
    <t>-55.5360403340452</t>
  </si>
  <si>
    <t>-30.8966599947885</t>
  </si>
  <si>
    <t>-0.0555358337787</t>
  </si>
  <si>
    <t>-30.8968852646629</t>
  </si>
  <si>
    <t>-55.5353831819498</t>
  </si>
  <si>
    <t>-30.8969421159855</t>
  </si>
  <si>
    <t>-55.5352997666516</t>
  </si>
  <si>
    <t>-30.8975161517748</t>
  </si>
  <si>
    <t>-55.5361583178206</t>
  </si>
  <si>
    <t>-30.8972547674617</t>
  </si>
  <si>
    <t>-55.5366253882645</t>
  </si>
  <si>
    <t>-30.8964012435919</t>
  </si>
  <si>
    <t>-55.5373354601504</t>
  </si>
  <si>
    <t>-30.8956804939312</t>
  </si>
  <si>
    <t>-55.5379907853632</t>
  </si>
  <si>
    <t>-30.8959507650838</t>
  </si>
  <si>
    <t>-55.5374417268602</t>
  </si>
  <si>
    <t>-30.8960086732351</t>
  </si>
  <si>
    <t>-55.5373606951136</t>
  </si>
  <si>
    <t>-30.8965378051648</t>
  </si>
  <si>
    <t>-5.5537537847828</t>
  </si>
  <si>
    <t>-3.0896321875264</t>
  </si>
  <si>
    <t>-55.5384382019302</t>
  </si>
  <si>
    <t>-30.8962550623162</t>
  </si>
  <si>
    <t>-5.5538496312835</t>
  </si>
  <si>
    <t>-30.8961556190949</t>
  </si>
  <si>
    <t>-55.5384575615177</t>
  </si>
  <si>
    <t>-30.8960963912901</t>
  </si>
  <si>
    <t>-55.5383657903694</t>
  </si>
  <si>
    <t>-30.8958863760344</t>
  </si>
  <si>
    <t>-55.5381987182518</t>
  </si>
  <si>
    <t>-30.8958233640451</t>
  </si>
  <si>
    <t>-5.5538130516691</t>
  </si>
  <si>
    <t>-30.8957226747434</t>
  </si>
  <si>
    <t>-55.5380920500257</t>
  </si>
  <si>
    <t>-30.8956942428537</t>
  </si>
  <si>
    <t>-55.5393413671516</t>
  </si>
  <si>
    <t>-30.8955832610492</t>
  </si>
  <si>
    <t>-55.5392664233278</t>
  </si>
  <si>
    <t>-3.0895326613357</t>
  </si>
  <si>
    <t>-55.5386500520819</t>
  </si>
  <si>
    <t>-30.8953798174934</t>
  </si>
  <si>
    <t>-55.5385361083628</t>
  </si>
  <si>
    <t>-30.8954424228303</t>
  </si>
  <si>
    <t>-55.5384015442807</t>
  </si>
  <si>
    <t>-30.8956991177174</t>
  </si>
  <si>
    <t>-55.5382139025218</t>
  </si>
  <si>
    <t>-3.0895768704798</t>
  </si>
  <si>
    <t>-55.5382661581234</t>
  </si>
  <si>
    <t>-30.8959889861714</t>
  </si>
  <si>
    <t>-55.5384257046004</t>
  </si>
  <si>
    <t>-30.8960641189631</t>
  </si>
  <si>
    <t>-55.5389165377045</t>
  </si>
  <si>
    <t>-3.0895965771624</t>
  </si>
  <si>
    <t>-55.5391095901734</t>
  </si>
  <si>
    <t>-30.8959016441648</t>
  </si>
  <si>
    <t>-55.5392270293214</t>
  </si>
  <si>
    <t>-30.8959016441649</t>
  </si>
  <si>
    <t>-55.5397009817358</t>
  </si>
  <si>
    <t>-30.8959016441650</t>
  </si>
  <si>
    <t>-55.5400927948178</t>
  </si>
  <si>
    <t>-30.8959016441651</t>
  </si>
  <si>
    <t>-55.5402313660069</t>
  </si>
  <si>
    <t>-30.8959016441652</t>
  </si>
  <si>
    <t>-55.5402724846683</t>
  </si>
  <si>
    <t>-30.8959016441653</t>
  </si>
  <si>
    <t>-55.5403068374629</t>
  </si>
  <si>
    <t>-30.8959016441654</t>
  </si>
  <si>
    <t>-55.5402678705696</t>
  </si>
  <si>
    <t>-30.8959016441655</t>
  </si>
  <si>
    <t>-55.5402201920356</t>
  </si>
  <si>
    <t>-30.8959016441656</t>
  </si>
  <si>
    <t>-55.5401630058676</t>
  </si>
  <si>
    <t>-30.8959016441657</t>
  </si>
  <si>
    <t>-55.5401112176754</t>
  </si>
  <si>
    <t>-30.8959016441658</t>
  </si>
  <si>
    <t>-55.5477018452598</t>
  </si>
  <si>
    <t>Entre F. Rivera y Atilio Paiva, Entre Pte. Viera y 33 Orientales</t>
  </si>
  <si>
    <t>-30.8959016441659</t>
  </si>
  <si>
    <t>-0.5554131620649</t>
  </si>
  <si>
    <t>-30.8959016441660</t>
  </si>
  <si>
    <t>-55.5340165279831</t>
  </si>
  <si>
    <t>-30.8959016441661</t>
  </si>
  <si>
    <t>-55.5340763571212</t>
  </si>
  <si>
    <t>-30.8959016441662</t>
  </si>
  <si>
    <t>-55.5369647109911</t>
  </si>
  <si>
    <t>-30.8959016441663</t>
  </si>
  <si>
    <t>-55.5372280297546</t>
  </si>
  <si>
    <t>-30.8959016441664</t>
  </si>
  <si>
    <t>-5.5538072420344</t>
  </si>
  <si>
    <t>-30.8959016441665</t>
  </si>
  <si>
    <t>-55.5398445266338</t>
  </si>
  <si>
    <t>-30.8959016441666</t>
  </si>
  <si>
    <t>-30.8959016441667</t>
  </si>
  <si>
    <t>-55.5399252769206</t>
  </si>
  <si>
    <t>-30.8959016441668</t>
  </si>
  <si>
    <t>-55.5416650969446</t>
  </si>
  <si>
    <t>-30.90468629709240</t>
  </si>
  <si>
    <t>-55.53571491044030</t>
  </si>
  <si>
    <t>-30.9064815770558</t>
  </si>
  <si>
    <t>-55.53646837592570</t>
  </si>
  <si>
    <t>-30.8989372455973</t>
  </si>
  <si>
    <t>-55.53398530115300</t>
  </si>
  <si>
    <t>-30.8990334327316</t>
  </si>
  <si>
    <t>-5.55339488303046</t>
  </si>
  <si>
    <t>-30.8990819620036</t>
  </si>
  <si>
    <t>-55.53392041220600</t>
  </si>
  <si>
    <t>-30.8991885258283</t>
  </si>
  <si>
    <t>-55.53387627550960</t>
  </si>
  <si>
    <t>-30.8992581453983</t>
  </si>
  <si>
    <t>-55.53387023103710</t>
  </si>
  <si>
    <t>-30.8995799572807</t>
  </si>
  <si>
    <t>-55.53374147008430</t>
  </si>
  <si>
    <t>-30.8997385866581</t>
  </si>
  <si>
    <t>-55.53369901481780</t>
  </si>
  <si>
    <t>-30.8998648104601</t>
  </si>
  <si>
    <t>-55.53378821701340</t>
  </si>
  <si>
    <t>-30.8998313095349</t>
  </si>
  <si>
    <t>-55.53384989830680</t>
  </si>
  <si>
    <t>-30.8997412735980</t>
  </si>
  <si>
    <t>-55.53401660354640</t>
  </si>
  <si>
    <t>-30.8992139899230</t>
  </si>
  <si>
    <t>-5.55342936607591</t>
  </si>
  <si>
    <t>-30.8991548053222</t>
  </si>
  <si>
    <t>-55.53424617767250</t>
  </si>
  <si>
    <t>-3.0899097320087</t>
  </si>
  <si>
    <t>-5.55342227986551</t>
  </si>
  <si>
    <t>-30.8996203609508</t>
  </si>
  <si>
    <t>-55.53456009913630</t>
  </si>
  <si>
    <t>-30.8996894185907</t>
  </si>
  <si>
    <t>-55.53462815482860</t>
  </si>
  <si>
    <t>-30.8997682468138</t>
  </si>
  <si>
    <t>-55.53468224924470</t>
  </si>
  <si>
    <t>-30.8998169924762</t>
  </si>
  <si>
    <t>-55.53482349216060</t>
  </si>
  <si>
    <t>-30.8998669244549</t>
  </si>
  <si>
    <t>-55.53474576951020</t>
  </si>
  <si>
    <t>-30.8999387115476</t>
  </si>
  <si>
    <t>-55.53481596337640</t>
  </si>
  <si>
    <t>-30.9000238908336</t>
  </si>
  <si>
    <t>-55.53486635528200</t>
  </si>
  <si>
    <t>-30.9000859823417</t>
  </si>
  <si>
    <t>-55.53490541918500</t>
  </si>
  <si>
    <t>-30.9003358294108</t>
  </si>
  <si>
    <t>-55.53493596923700</t>
  </si>
  <si>
    <t>-30.9003999839047</t>
  </si>
  <si>
    <t>-55.53480220960240</t>
  </si>
  <si>
    <t>-30.9005010986868</t>
  </si>
  <si>
    <t>-55.53461062120040</t>
  </si>
  <si>
    <t>-30.9005846267495</t>
  </si>
  <si>
    <t>-55.53446067624960</t>
  </si>
  <si>
    <t>-30.9006249670605</t>
  </si>
  <si>
    <t>-55.53439646884900</t>
  </si>
  <si>
    <t>-30.9006203883280</t>
  </si>
  <si>
    <t>-55.53417733815180</t>
  </si>
  <si>
    <t>-30.9005773986567</t>
  </si>
  <si>
    <t>-5.55341463671785</t>
  </si>
  <si>
    <t>-30.9005283702258</t>
  </si>
  <si>
    <t>-55.53411084733550</t>
  </si>
  <si>
    <t>-30.9002851765083</t>
  </si>
  <si>
    <t>-55.53392462974250</t>
  </si>
  <si>
    <t>-30.9002310217010</t>
  </si>
  <si>
    <t>-5.55338884129568</t>
  </si>
  <si>
    <t>-30.9001805057903</t>
  </si>
  <si>
    <t>-55.53385023224280</t>
  </si>
  <si>
    <t>-3.0900076947722</t>
  </si>
  <si>
    <t>-5.55337693417234</t>
  </si>
  <si>
    <t>-30.8998840550216</t>
  </si>
  <si>
    <t>-55.53391753874430</t>
  </si>
  <si>
    <t>-30.8998348299795</t>
  </si>
  <si>
    <t>-55.53402446560000</t>
  </si>
  <si>
    <t>-3.0899745259886</t>
  </si>
  <si>
    <t>-55.53420290886430</t>
  </si>
  <si>
    <t>-30.8996589598665</t>
  </si>
  <si>
    <t>-55.53434136806080</t>
  </si>
  <si>
    <t>-30.8996082376585</t>
  </si>
  <si>
    <t>-55.53445415139560</t>
  </si>
  <si>
    <t>-30.9001055718303</t>
  </si>
  <si>
    <t>-55.53368387669200</t>
  </si>
  <si>
    <t>-30.9001291689304</t>
  </si>
  <si>
    <t>-55.53373596875390</t>
  </si>
  <si>
    <t>-30.9001892052469</t>
  </si>
  <si>
    <t>-55.53372533598000</t>
  </si>
  <si>
    <t>-30.9002866770460</t>
  </si>
  <si>
    <t>-55.53380469146190</t>
  </si>
  <si>
    <t>-30.9004114243123</t>
  </si>
  <si>
    <t>-55.53389639198290</t>
  </si>
  <si>
    <t>-3.0900458560832</t>
  </si>
  <si>
    <t>-55.53393598067590</t>
  </si>
  <si>
    <t>-30.9005132259954</t>
  </si>
  <si>
    <t>-55.53398134496490</t>
  </si>
  <si>
    <t>-3.0900644573898</t>
  </si>
  <si>
    <t>-55.53407059276860</t>
  </si>
  <si>
    <t>-30.9006991367742</t>
  </si>
  <si>
    <t>-55.53413145488460</t>
  </si>
  <si>
    <t>-0.0309008855690</t>
  </si>
  <si>
    <t>-55.53384330856190</t>
  </si>
  <si>
    <t>-30.9009993666202</t>
  </si>
  <si>
    <t>-55.53369887713300</t>
  </si>
  <si>
    <t>-30.9010371748546</t>
  </si>
  <si>
    <t>-55.53361103360600</t>
  </si>
  <si>
    <t>-30.9011086072997</t>
  </si>
  <si>
    <t>-55.53348862227710</t>
  </si>
  <si>
    <t>-30.9011440659971</t>
  </si>
  <si>
    <t>-5.55334364098739</t>
  </si>
  <si>
    <t>-30.9011563451087</t>
  </si>
  <si>
    <t>-55.53338328872050</t>
  </si>
  <si>
    <t>-30.9009281518271</t>
  </si>
  <si>
    <t>-55.53328637159420</t>
  </si>
  <si>
    <t>-30.9008656506900</t>
  </si>
  <si>
    <t>-55.53329459312480</t>
  </si>
  <si>
    <t>-30.9008306664637</t>
  </si>
  <si>
    <t>-55.53332867445710</t>
  </si>
  <si>
    <t>-30.9007546903254</t>
  </si>
  <si>
    <t>-55.53334615558190</t>
  </si>
  <si>
    <t>-3.0900485515120</t>
  </si>
  <si>
    <t>-55.53340106410400</t>
  </si>
  <si>
    <t>-3.0900346197646</t>
  </si>
  <si>
    <t>-55.53346356131910</t>
  </si>
  <si>
    <t>-30.9002191869734</t>
  </si>
  <si>
    <t>-55.53350316509070</t>
  </si>
  <si>
    <t>-30.9001162929936</t>
  </si>
  <si>
    <t>-55.53353424805690</t>
  </si>
  <si>
    <t>-30.9003877459551</t>
  </si>
  <si>
    <t>-55.53512766094240</t>
  </si>
  <si>
    <t>-30.9004593959172</t>
  </si>
  <si>
    <t>-55.53517812945400</t>
  </si>
  <si>
    <t>-30.9005377399076</t>
  </si>
  <si>
    <t>-5.55352267710577</t>
  </si>
  <si>
    <t>-30.9007474083579</t>
  </si>
  <si>
    <t>-55.53537590481680</t>
  </si>
  <si>
    <t>-30.9008230596776</t>
  </si>
  <si>
    <t>-55.53543202385510</t>
  </si>
  <si>
    <t>-30.9012787631910</t>
  </si>
  <si>
    <t>-55.53517314569230</t>
  </si>
  <si>
    <t>-30.9013307849283</t>
  </si>
  <si>
    <t>-55.53508833360000</t>
  </si>
  <si>
    <t>-30.9013818893699</t>
  </si>
  <si>
    <t>-55.53498379886560</t>
  </si>
  <si>
    <t>-30.9014307852628</t>
  </si>
  <si>
    <t>-5.55348939650334</t>
  </si>
  <si>
    <t>-30.9014654382774</t>
  </si>
  <si>
    <t>-55.53481353850030</t>
  </si>
  <si>
    <t>-30.9012570144572</t>
  </si>
  <si>
    <t>-55.53462593933370</t>
  </si>
  <si>
    <t>-30.9011797542511</t>
  </si>
  <si>
    <t>-5.55345594019502</t>
  </si>
  <si>
    <t>-30.9010272854022</t>
  </si>
  <si>
    <t>-55.53447125151990</t>
  </si>
  <si>
    <t>-30.9009633174730</t>
  </si>
  <si>
    <t>-5.55344236092771</t>
  </si>
  <si>
    <t>-30.9008965097628</t>
  </si>
  <si>
    <t>-55.53436854595870</t>
  </si>
  <si>
    <t>-30.9007029408866</t>
  </si>
  <si>
    <t>-55.53443271273060</t>
  </si>
  <si>
    <t>-30.9006112488718</t>
  </si>
  <si>
    <t>-55.53458389223590</t>
  </si>
  <si>
    <t>-3.0900473968425</t>
  </si>
  <si>
    <t>-55.53486659494860</t>
  </si>
  <si>
    <t>-3.0900404162132</t>
  </si>
  <si>
    <t>-55.53500299072830</t>
  </si>
  <si>
    <t>-30.9010180457372</t>
  </si>
  <si>
    <t>-55.53433314324120</t>
  </si>
  <si>
    <t>-30.9015571459588</t>
  </si>
  <si>
    <t>-55.53466133172310</t>
  </si>
  <si>
    <t>-30.9016202290050</t>
  </si>
  <si>
    <t>-55.53453659426460</t>
  </si>
  <si>
    <t>-30.9017446696584</t>
  </si>
  <si>
    <t>-55.53430436038400</t>
  </si>
  <si>
    <t>-30.9015517992289</t>
  </si>
  <si>
    <t>-55.53356913638000</t>
  </si>
  <si>
    <t>-30.9011477495854</t>
  </si>
  <si>
    <t>-55.53356018837350</t>
  </si>
  <si>
    <t>-30.9011154813068</t>
  </si>
  <si>
    <t>-55.53363883499330</t>
  </si>
  <si>
    <t>-30.9010505202163</t>
  </si>
  <si>
    <t>-55.53375735749580</t>
  </si>
  <si>
    <t>-30.9009669094715</t>
  </si>
  <si>
    <t>-55.53392329300760</t>
  </si>
  <si>
    <t>-30.9012374500851</t>
  </si>
  <si>
    <t>-55.53321898007680</t>
  </si>
  <si>
    <t>-30.9013279899005</t>
  </si>
  <si>
    <t>-55.53324203951020</t>
  </si>
  <si>
    <t>-30.9015357792097</t>
  </si>
  <si>
    <t>-5.55334333366719</t>
  </si>
  <si>
    <t>-30.9016181271913</t>
  </si>
  <si>
    <t>-55.53350294640070</t>
  </si>
  <si>
    <t>-30.9016684701374</t>
  </si>
  <si>
    <t>-55.53352092552690</t>
  </si>
  <si>
    <t>-30.9017593968861</t>
  </si>
  <si>
    <t>-55.53360344329820</t>
  </si>
  <si>
    <t>-30.9017903466187</t>
  </si>
  <si>
    <t>-55.53364332279510</t>
  </si>
  <si>
    <t>-30.9018347548460</t>
  </si>
  <si>
    <t>-55.53367199709160</t>
  </si>
  <si>
    <t>-30.9020892077087</t>
  </si>
  <si>
    <t>-55.53367695127200</t>
  </si>
  <si>
    <t>-30.9021392051064</t>
  </si>
  <si>
    <t>-55.53362274481660</t>
  </si>
  <si>
    <t>-30.9021703739883</t>
  </si>
  <si>
    <t>-55.53355584428920</t>
  </si>
  <si>
    <t>-30.9022688610170</t>
  </si>
  <si>
    <t>-55.53332120148750</t>
  </si>
  <si>
    <t>-30.9023464836447</t>
  </si>
  <si>
    <t>-55.53320707847770</t>
  </si>
  <si>
    <t>-30.9023503631869</t>
  </si>
  <si>
    <t>-55.53306637034750</t>
  </si>
  <si>
    <t>-30.9020275343548</t>
  </si>
  <si>
    <t>-55.53296389601130</t>
  </si>
  <si>
    <t>-30.9019607466866</t>
  </si>
  <si>
    <t>-55.53294376461820</t>
  </si>
  <si>
    <t>-30.9017248623366</t>
  </si>
  <si>
    <t>-55.53304404434100</t>
  </si>
  <si>
    <t>-30.9016788870265</t>
  </si>
  <si>
    <t>-55.53301292929060</t>
  </si>
  <si>
    <t>-30.9014326525930</t>
  </si>
  <si>
    <t>-55.53306887353250</t>
  </si>
  <si>
    <t>-30.9011537573977</t>
  </si>
  <si>
    <t>-55.53568847246110</t>
  </si>
  <si>
    <t>-30.9011998513331</t>
  </si>
  <si>
    <t>-55.53571539785280</t>
  </si>
  <si>
    <t>-30.9012744773496</t>
  </si>
  <si>
    <t>-55.53577649040420</t>
  </si>
  <si>
    <t>-30.9015504630374</t>
  </si>
  <si>
    <t>-55.53597809669910</t>
  </si>
  <si>
    <t>-30.9015983787743</t>
  </si>
  <si>
    <t>-55.53601324819100</t>
  </si>
  <si>
    <t>-30.9016604268627</t>
  </si>
  <si>
    <t>-55.53606549369640</t>
  </si>
  <si>
    <t>-30.9017621457535</t>
  </si>
  <si>
    <t>-55.53613767593530</t>
  </si>
  <si>
    <t>-30.9018794039102</t>
  </si>
  <si>
    <t>-55.53610317446100</t>
  </si>
  <si>
    <t>-30.9019416617857</t>
  </si>
  <si>
    <t>-5.55359534170244</t>
  </si>
  <si>
    <t>-30.9019824326505</t>
  </si>
  <si>
    <t>-55.53588066760430</t>
  </si>
  <si>
    <t>-30.9020121287085</t>
  </si>
  <si>
    <t>-55.53583869968080</t>
  </si>
  <si>
    <t>-30.9020318989179</t>
  </si>
  <si>
    <t>-55.53577853122810</t>
  </si>
  <si>
    <t>-30.9021461468448</t>
  </si>
  <si>
    <t>-55.53560646434550</t>
  </si>
  <si>
    <t>-30.9021832147054</t>
  </si>
  <si>
    <t>-55.53551989949640</t>
  </si>
  <si>
    <t>-30.9019233794942</t>
  </si>
  <si>
    <t>-55.53511426525970</t>
  </si>
  <si>
    <t>-30.9013348864798</t>
  </si>
  <si>
    <t>-55.53527134872260</t>
  </si>
  <si>
    <t>-30.9016337834650</t>
  </si>
  <si>
    <t>-5.55347908389955</t>
  </si>
  <si>
    <t>-30.9017183432981</t>
  </si>
  <si>
    <t>-55.53484632143340</t>
  </si>
  <si>
    <t>-30.9019512599652</t>
  </si>
  <si>
    <t>-55.53501077069720</t>
  </si>
  <si>
    <t>-30.9020286836222</t>
  </si>
  <si>
    <t>-55.53506747210950</t>
  </si>
  <si>
    <t>-30.9024387235591</t>
  </si>
  <si>
    <t>-55.53501294043720</t>
  </si>
  <si>
    <t>-30.9026524100417</t>
  </si>
  <si>
    <t>-55.53462852236140</t>
  </si>
  <si>
    <t>-30.9027208070647</t>
  </si>
  <si>
    <t>-55.53442133625630</t>
  </si>
  <si>
    <t>-30.9026608109494</t>
  </si>
  <si>
    <t>-55.53437083613030</t>
  </si>
  <si>
    <t>-30.9024764083451</t>
  </si>
  <si>
    <t>-55.53424692912650</t>
  </si>
  <si>
    <t>-30.9020978667264</t>
  </si>
  <si>
    <t>-55.53397429728030</t>
  </si>
  <si>
    <t>-30.9017964483805</t>
  </si>
  <si>
    <t>-55.53438204858730</t>
  </si>
  <si>
    <t>-30.9017591752035</t>
  </si>
  <si>
    <t>-55.53446543215670</t>
  </si>
  <si>
    <t>-30.9016947045508</t>
  </si>
  <si>
    <t>-55.53457434041340</t>
  </si>
  <si>
    <t>-30.9022922300580</t>
  </si>
  <si>
    <t>-55.53399797490750</t>
  </si>
  <si>
    <t>-30.9023259943741</t>
  </si>
  <si>
    <t>-55.53402020750110</t>
  </si>
  <si>
    <t>-30.9023574902790</t>
  </si>
  <si>
    <t>-55.53404447605070</t>
  </si>
  <si>
    <t>-30.9026603000558</t>
  </si>
  <si>
    <t>-5.55342567786747</t>
  </si>
  <si>
    <t>-30.9027187882233</t>
  </si>
  <si>
    <t>-55.53430192913010</t>
  </si>
  <si>
    <t>-30.9029209091265</t>
  </si>
  <si>
    <t>-55.53414220176360</t>
  </si>
  <si>
    <t>-30.9029749704165</t>
  </si>
  <si>
    <t>-55.53404885647680</t>
  </si>
  <si>
    <t>-30.9030428449553</t>
  </si>
  <si>
    <t>-55.53400337699240</t>
  </si>
  <si>
    <t>-30.9030233921981</t>
  </si>
  <si>
    <t>-55.53388558018760</t>
  </si>
  <si>
    <t>-30.9030743513230</t>
  </si>
  <si>
    <t>-55.53383797962180</t>
  </si>
  <si>
    <t>-30.9032420009391</t>
  </si>
  <si>
    <t>-55.53332801370990</t>
  </si>
  <si>
    <t>-30.9031174308100</t>
  </si>
  <si>
    <t>-55.53337564820180</t>
  </si>
  <si>
    <t>-0.0309029533331</t>
  </si>
  <si>
    <t>-55.53337630573540</t>
  </si>
  <si>
    <t>-30.9028932470433</t>
  </si>
  <si>
    <t>-55.53341380530570</t>
  </si>
  <si>
    <t>-30.9028436991991</t>
  </si>
  <si>
    <t>-55.53333999183560</t>
  </si>
  <si>
    <t>-30.9027590263292</t>
  </si>
  <si>
    <t>-55.53332204280720</t>
  </si>
  <si>
    <t>-30.9027047487311</t>
  </si>
  <si>
    <t>-55.53330423300720</t>
  </si>
  <si>
    <t>-30.9026638255105</t>
  </si>
  <si>
    <t>-55.53327588667680</t>
  </si>
  <si>
    <t>-30.9026035546457</t>
  </si>
  <si>
    <t>-55.53323288296810</t>
  </si>
  <si>
    <t>-30.9019236039818</t>
  </si>
  <si>
    <t>-55.53625067600470</t>
  </si>
  <si>
    <t>-30.9019803376194</t>
  </si>
  <si>
    <t>-5.55362647719311</t>
  </si>
  <si>
    <t>-30.9020209948050</t>
  </si>
  <si>
    <t>-55.53628855679810</t>
  </si>
  <si>
    <t>-30.9020594594968</t>
  </si>
  <si>
    <t>-55.53632976897470</t>
  </si>
  <si>
    <t>-30.9021025899540</t>
  </si>
  <si>
    <t>-55.53634910314220</t>
  </si>
  <si>
    <t>-30.9026381674408</t>
  </si>
  <si>
    <t>-55.53666514156840</t>
  </si>
  <si>
    <t>-30.9027605688917</t>
  </si>
  <si>
    <t>-55.53653341181320</t>
  </si>
  <si>
    <t>-30.9028189841485</t>
  </si>
  <si>
    <t>-55.53635467129450</t>
  </si>
  <si>
    <t>-30.9028827184038</t>
  </si>
  <si>
    <t>-55.53624512219990</t>
  </si>
  <si>
    <t>-30.9029108330423</t>
  </si>
  <si>
    <t>-55.53612825585370</t>
  </si>
  <si>
    <t>-30.9029449918188</t>
  </si>
  <si>
    <t>-55.53607855045880</t>
  </si>
  <si>
    <t>-30.9029765237334</t>
  </si>
  <si>
    <t>-55.53603434408990</t>
  </si>
  <si>
    <t>-30.9030172025173</t>
  </si>
  <si>
    <t>-55.53596918141870</t>
  </si>
  <si>
    <t>-3.0902849207616</t>
  </si>
  <si>
    <t>-5.55358374682701</t>
  </si>
  <si>
    <t>-30.9027879033912</t>
  </si>
  <si>
    <t>-5.55357907860375</t>
  </si>
  <si>
    <t>-30.9027169164131</t>
  </si>
  <si>
    <t>-5.55357231541004</t>
  </si>
  <si>
    <t>-30.9024391503168</t>
  </si>
  <si>
    <t>-55.53547100815390</t>
  </si>
  <si>
    <t>-30.9023892570341</t>
  </si>
  <si>
    <t>-55.53533953076450</t>
  </si>
  <si>
    <t>-30.9025159598769</t>
  </si>
  <si>
    <t>-55.53540393841230</t>
  </si>
  <si>
    <t>-30.9025591646103</t>
  </si>
  <si>
    <t>-55.53543096156330</t>
  </si>
  <si>
    <t>-30.9026066734707</t>
  </si>
  <si>
    <t>-5.55354700539401</t>
  </si>
  <si>
    <t>-30.9029986963538</t>
  </si>
  <si>
    <t>-55.53576525297650</t>
  </si>
  <si>
    <t>-30.9031459544548</t>
  </si>
  <si>
    <t>-55.53575499422810</t>
  </si>
  <si>
    <t>-30.9031701799341</t>
  </si>
  <si>
    <t>-55.53570545239730</t>
  </si>
  <si>
    <t>-30.9028763875403</t>
  </si>
  <si>
    <t>-5.55345470259584</t>
  </si>
  <si>
    <t>-30.9027743410903</t>
  </si>
  <si>
    <t>-55.53459939348760</t>
  </si>
  <si>
    <t>-30.9025353449701</t>
  </si>
  <si>
    <t>-55.53504289452810</t>
  </si>
  <si>
    <t>-30.9024372115612</t>
  </si>
  <si>
    <t>-55.53522806624330</t>
  </si>
  <si>
    <t>-30.9041022839217</t>
  </si>
  <si>
    <t>-55.53653403551330</t>
  </si>
  <si>
    <t>-30.9041481986942</t>
  </si>
  <si>
    <t>-55.53656116395940</t>
  </si>
  <si>
    <t>-30.9041827711384</t>
  </si>
  <si>
    <t>-55.53658401445800</t>
  </si>
  <si>
    <t>-30.9042323630693</t>
  </si>
  <si>
    <t>-55.53663000801660</t>
  </si>
  <si>
    <t>-30.9042705864009</t>
  </si>
  <si>
    <t>-55.53664683143940</t>
  </si>
  <si>
    <t>-30.9043065477333</t>
  </si>
  <si>
    <t>-55.53666561061610</t>
  </si>
  <si>
    <t>-30.9044836641009</t>
  </si>
  <si>
    <t>-55.53680875500530</t>
  </si>
  <si>
    <t>-30.9045938355249</t>
  </si>
  <si>
    <t>-5.55368804943153</t>
  </si>
  <si>
    <t>-30.9050341234015</t>
  </si>
  <si>
    <t>-55.53627782748810</t>
  </si>
  <si>
    <t>-30.9046287790342</t>
  </si>
  <si>
    <t>-55.53579647680090</t>
  </si>
  <si>
    <t>-30.9045534120138</t>
  </si>
  <si>
    <t>-55.53573483143410</t>
  </si>
  <si>
    <t>-30.9039912835896</t>
  </si>
  <si>
    <t>-55.53636263251740</t>
  </si>
  <si>
    <t>-30.9039096622479</t>
  </si>
  <si>
    <t>-55.53430359511810</t>
  </si>
  <si>
    <t>-30.9039560144070</t>
  </si>
  <si>
    <t>-55.53420735542380</t>
  </si>
  <si>
    <t>-30.9040139945875</t>
  </si>
  <si>
    <t>-55.53409130050760</t>
  </si>
  <si>
    <t>-30.9040631825268</t>
  </si>
  <si>
    <t>-55.53399749481480</t>
  </si>
  <si>
    <t>-30.9034775340311</t>
  </si>
  <si>
    <t>-55.53342620270240</t>
  </si>
  <si>
    <t>-30.9033586133241</t>
  </si>
  <si>
    <t>-55.53352338960580</t>
  </si>
  <si>
    <t>-30.9030931738311</t>
  </si>
  <si>
    <t>-55.53398125006620</t>
  </si>
  <si>
    <t>-30.9037437140557</t>
  </si>
  <si>
    <t>-55.53350935578970</t>
  </si>
  <si>
    <t>-30.9037923809011</t>
  </si>
  <si>
    <t>-55.53354822607980</t>
  </si>
  <si>
    <t>-3.0903849010596</t>
  </si>
  <si>
    <t>-55.53359508040600</t>
  </si>
  <si>
    <t>-30.9039212058482</t>
  </si>
  <si>
    <t>-55.53362678493340</t>
  </si>
  <si>
    <t>-30.9040018083477</t>
  </si>
  <si>
    <t>-55.53369428679040</t>
  </si>
  <si>
    <t>-30.9045892875805</t>
  </si>
  <si>
    <t>-55.53268843341240</t>
  </si>
  <si>
    <t>-30.9044113484631</t>
  </si>
  <si>
    <t>-55.53256575997640</t>
  </si>
  <si>
    <t>-30.9041568265424</t>
  </si>
  <si>
    <t>-55.53239852513870</t>
  </si>
  <si>
    <t>-30.9039043584315</t>
  </si>
  <si>
    <t>-55.53248290370850</t>
  </si>
  <si>
    <t>-30.9036622806869</t>
  </si>
  <si>
    <t>-55.53291198731870</t>
  </si>
  <si>
    <t>-30.9040758302957</t>
  </si>
  <si>
    <t>-55.53221067444760</t>
  </si>
  <si>
    <t>-30.9042043990612</t>
  </si>
  <si>
    <t>-55.53229614633870</t>
  </si>
  <si>
    <t>-30.9042692521574</t>
  </si>
  <si>
    <t>-5.55323442506737</t>
  </si>
  <si>
    <t>-30.9046038446500</t>
  </si>
  <si>
    <t>-55.53260796464430</t>
  </si>
  <si>
    <t>-30.9046516296585</t>
  </si>
  <si>
    <t>-55.53262790580630</t>
  </si>
  <si>
    <t>-30.9047008019959</t>
  </si>
  <si>
    <t>-55.53265803157370</t>
  </si>
  <si>
    <t>-30.9049147764696</t>
  </si>
  <si>
    <t>-55.53232134005410</t>
  </si>
  <si>
    <t>-30.9049937157625</t>
  </si>
  <si>
    <t>-55.53227736809000</t>
  </si>
  <si>
    <t>-30.9050465601884</t>
  </si>
  <si>
    <t>-5.55321522328727</t>
  </si>
  <si>
    <t>-30.9050287474872</t>
  </si>
  <si>
    <t>-55.53200293489190</t>
  </si>
  <si>
    <t>-30.9049773458027</t>
  </si>
  <si>
    <t>-55.53197143978720</t>
  </si>
  <si>
    <t>-30.9048909827257</t>
  </si>
  <si>
    <t>-55.53188810971040</t>
  </si>
  <si>
    <t>-30.9046851795023</t>
  </si>
  <si>
    <t>-55.53172999620910</t>
  </si>
  <si>
    <t>-3.0904512971206</t>
  </si>
  <si>
    <t>-55.53151021317340</t>
  </si>
  <si>
    <t>-30.9046081487237</t>
  </si>
  <si>
    <t>-55.53155885282430</t>
  </si>
  <si>
    <t>-3.0904688040719</t>
  </si>
  <si>
    <t>-55.53161195770890</t>
  </si>
  <si>
    <t>-30.9047938129774</t>
  </si>
  <si>
    <t>-55.53169668885270</t>
  </si>
  <si>
    <t>-30.9049255281162</t>
  </si>
  <si>
    <t>-55.53178421716340</t>
  </si>
  <si>
    <t>-30.9052419472512</t>
  </si>
  <si>
    <t>-55.53181340560260</t>
  </si>
  <si>
    <t>-30.9052780753350</t>
  </si>
  <si>
    <t>-5.55317162706321</t>
  </si>
  <si>
    <t>-30.9049918826950</t>
  </si>
  <si>
    <t>-5.55309274836234</t>
  </si>
  <si>
    <t>-30.9048597027188</t>
  </si>
  <si>
    <t>-55.53092072962470</t>
  </si>
  <si>
    <t>-30.9047360328021</t>
  </si>
  <si>
    <t>-55.53100168335750</t>
  </si>
  <si>
    <t>-30.9028003566255</t>
  </si>
  <si>
    <t>-55.53681695954290</t>
  </si>
  <si>
    <t>-30.9028780680028</t>
  </si>
  <si>
    <t>-55.53687396761240</t>
  </si>
  <si>
    <t>-30.9029363648346</t>
  </si>
  <si>
    <t>-55.53693155739970</t>
  </si>
  <si>
    <t>-30.9029891276715</t>
  </si>
  <si>
    <t>-55.53694975247360</t>
  </si>
  <si>
    <t>-30.9030285354456</t>
  </si>
  <si>
    <t>-0.55536998993959</t>
  </si>
  <si>
    <t>-30.9031611057001</t>
  </si>
  <si>
    <t>-55.53707760975020</t>
  </si>
  <si>
    <t>-30.9033119331405</t>
  </si>
  <si>
    <t>-5.55371960157964</t>
  </si>
  <si>
    <t>-30.9033929461522</t>
  </si>
  <si>
    <t>-5.55371748430289</t>
  </si>
  <si>
    <t>-30.9034072248064</t>
  </si>
  <si>
    <t>-55.53710409268370</t>
  </si>
  <si>
    <t>-30.9035015140970</t>
  </si>
  <si>
    <t>-55.53693054827370</t>
  </si>
  <si>
    <t>-30.9036180964246</t>
  </si>
  <si>
    <t>-55.53672532396680</t>
  </si>
  <si>
    <t>-30.9036564721659</t>
  </si>
  <si>
    <t>-55.53666695022470</t>
  </si>
  <si>
    <t>-30.9036960992888</t>
  </si>
  <si>
    <t>-55.53659277154970</t>
  </si>
  <si>
    <t>-30.9037730970598</t>
  </si>
  <si>
    <t>-55.53643281562100</t>
  </si>
  <si>
    <t>-30.9038700001822</t>
  </si>
  <si>
    <t>-55.53628772951780</t>
  </si>
  <si>
    <t>-30.9040225068828</t>
  </si>
  <si>
    <t>-55.53606550108160</t>
  </si>
  <si>
    <t>-30.9040307856435</t>
  </si>
  <si>
    <t>-5.55359219261985</t>
  </si>
  <si>
    <t>-30.9041046418956</t>
  </si>
  <si>
    <t>-5.55359405720246</t>
  </si>
  <si>
    <t>-3.0904176431312</t>
  </si>
  <si>
    <t>-55.53579616397280</t>
  </si>
  <si>
    <t>-30.9041183185175</t>
  </si>
  <si>
    <t>-55.53575362103510</t>
  </si>
  <si>
    <t>-30.9042345070275</t>
  </si>
  <si>
    <t>-55.53574241548500</t>
  </si>
  <si>
    <t>-30.9042725264725</t>
  </si>
  <si>
    <t>-5.55356562994436</t>
  </si>
  <si>
    <t>-30.9040242681024</t>
  </si>
  <si>
    <t>-0.55535368115866</t>
  </si>
  <si>
    <t>-30.9038870441100</t>
  </si>
  <si>
    <t>-55.53526656244900</t>
  </si>
  <si>
    <t>-30.9037648261025</t>
  </si>
  <si>
    <t>-55.53517582247990</t>
  </si>
  <si>
    <t>-3.0903679745808</t>
  </si>
  <si>
    <t>-55.53511006339240</t>
  </si>
  <si>
    <t>-3.0903520393527</t>
  </si>
  <si>
    <t>-55.53526582547440</t>
  </si>
  <si>
    <t>-30.9034754566478</t>
  </si>
  <si>
    <t>-55.53534996613220</t>
  </si>
  <si>
    <t>-30.9034035679737</t>
  </si>
  <si>
    <t>-55.53546628249150</t>
  </si>
  <si>
    <t>-30.9033432420102</t>
  </si>
  <si>
    <t>-55.53568820588570</t>
  </si>
  <si>
    <t>-30.9032895639566</t>
  </si>
  <si>
    <t>-55.53574326779560</t>
  </si>
  <si>
    <t>-30.9032332390924</t>
  </si>
  <si>
    <t>-55.53584013197760</t>
  </si>
  <si>
    <t>-30.9031724357148</t>
  </si>
  <si>
    <t>-55.53594042725830</t>
  </si>
  <si>
    <t>-30.9031410773253</t>
  </si>
  <si>
    <t>-55.53603228699080</t>
  </si>
  <si>
    <t>-30.9030883497772</t>
  </si>
  <si>
    <t>-55.53611692886380</t>
  </si>
  <si>
    <t>-30.9030692000141</t>
  </si>
  <si>
    <t>-55.53615653576350</t>
  </si>
  <si>
    <t>-30.9030502426942</t>
  </si>
  <si>
    <t>-55.53618444682290</t>
  </si>
  <si>
    <t>-30.9030388293150</t>
  </si>
  <si>
    <t>-55.53622865081130</t>
  </si>
  <si>
    <t>-30.9038440351545</t>
  </si>
  <si>
    <t>-55.53509663126650</t>
  </si>
  <si>
    <t>-30.9041885833910</t>
  </si>
  <si>
    <t>-55.53528392201910</t>
  </si>
  <si>
    <t>-30.9042162174856</t>
  </si>
  <si>
    <t>-55.53532589127140</t>
  </si>
  <si>
    <t>-30.9042618699655</t>
  </si>
  <si>
    <t>-55.53536192062720</t>
  </si>
  <si>
    <t>-30.9042918343029</t>
  </si>
  <si>
    <t>-55.53537015238550</t>
  </si>
  <si>
    <t>-30.9043214311577</t>
  </si>
  <si>
    <t>-55.53539374952760</t>
  </si>
  <si>
    <t>-30.9043791774485</t>
  </si>
  <si>
    <t>-55.53542501043230</t>
  </si>
  <si>
    <t>-30.9044548623555</t>
  </si>
  <si>
    <t>-5.55353752351616</t>
  </si>
  <si>
    <t>-30.9045193661103</t>
  </si>
  <si>
    <t>-5.55351939830374</t>
  </si>
  <si>
    <t>-30.9039643000016</t>
  </si>
  <si>
    <t>-0.55534386484142</t>
  </si>
  <si>
    <t>-30.9038730549225</t>
  </si>
  <si>
    <t>-55.53458677781710</t>
  </si>
  <si>
    <t>-30.9038169012884</t>
  </si>
  <si>
    <t>-55.53469248275060</t>
  </si>
  <si>
    <t>-30.9037748083199</t>
  </si>
  <si>
    <t>-55.53480290553320</t>
  </si>
  <si>
    <t>-30.9041623982295</t>
  </si>
  <si>
    <t>-55.53438923783370</t>
  </si>
  <si>
    <t>-30.9042799504595</t>
  </si>
  <si>
    <t>-5.55344817577395</t>
  </si>
  <si>
    <t>-30.9047229145267</t>
  </si>
  <si>
    <t>-55.53423807641100</t>
  </si>
  <si>
    <t>-3.0904746919063</t>
  </si>
  <si>
    <t>-55.53417330400710</t>
  </si>
  <si>
    <t>-30.9047699360487</t>
  </si>
  <si>
    <t>-55.53409897300930</t>
  </si>
  <si>
    <t>-30.9047841261090</t>
  </si>
  <si>
    <t>-55.53403026049290</t>
  </si>
  <si>
    <t>-3.0904772233423</t>
  </si>
  <si>
    <t>-55.53396135814860</t>
  </si>
  <si>
    <t>-30.9048142729173</t>
  </si>
  <si>
    <t>-55.53388997812380</t>
  </si>
  <si>
    <t>-30.9049180909175</t>
  </si>
  <si>
    <t>-55.53380282469080</t>
  </si>
  <si>
    <t>-30.9049465514679</t>
  </si>
  <si>
    <t>-55.53372549148280</t>
  </si>
  <si>
    <t>-30.9049721585085</t>
  </si>
  <si>
    <t>-55.53367406465410</t>
  </si>
  <si>
    <t>-30.9050191315447</t>
  </si>
  <si>
    <t>-55.53354080946750</t>
  </si>
  <si>
    <t>-30.9049865669792</t>
  </si>
  <si>
    <t>-55.53344022971490</t>
  </si>
  <si>
    <t>-30.9047489398563</t>
  </si>
  <si>
    <t>-55.53335124526520</t>
  </si>
  <si>
    <t>-3.0904711156475</t>
  </si>
  <si>
    <t>-55.53342424018060</t>
  </si>
  <si>
    <t>-30.9046973067025</t>
  </si>
  <si>
    <t>-55.53345077422240</t>
  </si>
  <si>
    <t>-30.9046899364959</t>
  </si>
  <si>
    <t>-55.53347629864560</t>
  </si>
  <si>
    <t>-30.9046264969187</t>
  </si>
  <si>
    <t>-55.53355308748590</t>
  </si>
  <si>
    <t>-30.9046077723832</t>
  </si>
  <si>
    <t>-55.53359985634720</t>
  </si>
  <si>
    <t>-30.9045885260808</t>
  </si>
  <si>
    <t>-55.53365454724900</t>
  </si>
  <si>
    <t>-30.9045652030959</t>
  </si>
  <si>
    <t>-55.53371071498660</t>
  </si>
  <si>
    <t>-30.9044904647760</t>
  </si>
  <si>
    <t>-55.53368261181510</t>
  </si>
  <si>
    <t>-30.9044192501159</t>
  </si>
  <si>
    <t>-5.55335709080512</t>
  </si>
  <si>
    <t>-30.9043556831877</t>
  </si>
  <si>
    <t>-55.53365988144190</t>
  </si>
  <si>
    <t>-30.9043270240460</t>
  </si>
  <si>
    <t>-55.53379201864390</t>
  </si>
  <si>
    <t>-3.0904274661675</t>
  </si>
  <si>
    <t>-55.53381854703320</t>
  </si>
  <si>
    <t>-30.9042685979801</t>
  </si>
  <si>
    <t>-55.53385589457210</t>
  </si>
  <si>
    <t>-30.9042613618711</t>
  </si>
  <si>
    <t>-55.53388187773950</t>
  </si>
  <si>
    <t>-30.9042450756868</t>
  </si>
  <si>
    <t>-55.53392010316640</t>
  </si>
  <si>
    <t>-30.9042077985500</t>
  </si>
  <si>
    <t>-5.55340246693665</t>
  </si>
  <si>
    <t>-30.9042466970235</t>
  </si>
  <si>
    <t>-55.53411437843570</t>
  </si>
  <si>
    <t>-30.9041556998410</t>
  </si>
  <si>
    <t>-55.53406115372180</t>
  </si>
  <si>
    <t>-30.9041276042100</t>
  </si>
  <si>
    <t>-55.53413865619340</t>
  </si>
  <si>
    <t>-30.9048665975800</t>
  </si>
  <si>
    <t>-55.53273247316890</t>
  </si>
  <si>
    <t>-30.9049550795986</t>
  </si>
  <si>
    <t>-55.53278434665310</t>
  </si>
  <si>
    <t>-30.9050128414965</t>
  </si>
  <si>
    <t>-55.53281263815000</t>
  </si>
  <si>
    <t>-30.9051100704545</t>
  </si>
  <si>
    <t>-55.53288274504370</t>
  </si>
  <si>
    <t>-30.9051847053403</t>
  </si>
  <si>
    <t>-55.53294518619170</t>
  </si>
  <si>
    <t>-30.9052328388159</t>
  </si>
  <si>
    <t>-55.53295892557610</t>
  </si>
  <si>
    <t>-30.9053043475972</t>
  </si>
  <si>
    <t>-55.53302074076560</t>
  </si>
  <si>
    <t>-30.9053553950916</t>
  </si>
  <si>
    <t>-55.53306059394120</t>
  </si>
  <si>
    <t>-30.9053731443127</t>
  </si>
  <si>
    <t>-55.53306960613270</t>
  </si>
  <si>
    <t>-0.3090541037991</t>
  </si>
  <si>
    <t>-55.53308462348640</t>
  </si>
  <si>
    <t>-30.9054362719071</t>
  </si>
  <si>
    <t>-55.53311719864970</t>
  </si>
  <si>
    <t>-30.9054996657740</t>
  </si>
  <si>
    <t>-55.53315405836850</t>
  </si>
  <si>
    <t>-30.9056029664315</t>
  </si>
  <si>
    <t>-55.53304991795440</t>
  </si>
  <si>
    <t>-30.9056500815972</t>
  </si>
  <si>
    <t>-55.53295004200580</t>
  </si>
  <si>
    <t>-3.0905688458914</t>
  </si>
  <si>
    <t>-55.53286464055210</t>
  </si>
  <si>
    <t>-30.9056034404802</t>
  </si>
  <si>
    <t>-55.53238802026520</t>
  </si>
  <si>
    <t>-30.9053805744066</t>
  </si>
  <si>
    <t>-55.53223285234180</t>
  </si>
  <si>
    <t>-30.9052848505986</t>
  </si>
  <si>
    <t>-55.53216443765070</t>
  </si>
  <si>
    <t>-30.9050158725734</t>
  </si>
  <si>
    <t>-55.53237295850890</t>
  </si>
  <si>
    <t>-30.9054016024006</t>
  </si>
  <si>
    <t>-55.53210900159480</t>
  </si>
  <si>
    <t>-30.9056225413796</t>
  </si>
  <si>
    <t>-55.53228787920530</t>
  </si>
  <si>
    <t>-30.9059920678830</t>
  </si>
  <si>
    <t>-55.53231098928410</t>
  </si>
  <si>
    <t>-30.9053254020152</t>
  </si>
  <si>
    <t>-55.53181716401120</t>
  </si>
  <si>
    <t>-30.9035443010804</t>
  </si>
  <si>
    <t>-55.53739517481720</t>
  </si>
  <si>
    <t>-30.9036028850197</t>
  </si>
  <si>
    <t>-55.53740400801780</t>
  </si>
  <si>
    <t>-30.9036114757534</t>
  </si>
  <si>
    <t>-55.53745553100010</t>
  </si>
  <si>
    <t>-30.9036602833817</t>
  </si>
  <si>
    <t>-55.53747606527380</t>
  </si>
  <si>
    <t>-30.9042081732914</t>
  </si>
  <si>
    <t>-55.53775290825440</t>
  </si>
  <si>
    <t>-30.9042625492370</t>
  </si>
  <si>
    <t>-55.53770038787400</t>
  </si>
  <si>
    <t>-0.3090439056223</t>
  </si>
  <si>
    <t>-55.53747821852900</t>
  </si>
  <si>
    <t>-30.9044567029329</t>
  </si>
  <si>
    <t>-55.53731127326440</t>
  </si>
  <si>
    <t>-3.0904586180613</t>
  </si>
  <si>
    <t>-5.55369677892074</t>
  </si>
  <si>
    <t>-30.9046429872192</t>
  </si>
  <si>
    <t>-55.53566190265220</t>
  </si>
  <si>
    <t>-30.9047709188986</t>
  </si>
  <si>
    <t>-55.53579082693620</t>
  </si>
  <si>
    <t>-30.9048450266388</t>
  </si>
  <si>
    <t>-55.53580943829780</t>
  </si>
  <si>
    <t>-30.9048812286594</t>
  </si>
  <si>
    <t>-55.53583895883330</t>
  </si>
  <si>
    <t>-30.9049482077906</t>
  </si>
  <si>
    <t>-55.53589341746150</t>
  </si>
  <si>
    <t>-30.9054624771556</t>
  </si>
  <si>
    <t>-55.53543931500300</t>
  </si>
  <si>
    <t>-30.9053333568741</t>
  </si>
  <si>
    <t>-5.55353124577269</t>
  </si>
  <si>
    <t>-30.9049569593198</t>
  </si>
  <si>
    <t>-5.55350165306799</t>
  </si>
  <si>
    <t>-30.9047436847719</t>
  </si>
  <si>
    <t>-55.53497651218170</t>
  </si>
  <si>
    <t>-30.9044917907256</t>
  </si>
  <si>
    <t>-55.53547024957320</t>
  </si>
  <si>
    <t>-30.9057781735136</t>
  </si>
  <si>
    <t>-55.53480750501030</t>
  </si>
  <si>
    <t>-30.9059985311803</t>
  </si>
  <si>
    <t>-55.53445010275300</t>
  </si>
  <si>
    <t>-30.9061069663160</t>
  </si>
  <si>
    <t>-55.53422552400300</t>
  </si>
  <si>
    <t>-30.9061899993122</t>
  </si>
  <si>
    <t>-55.53401373640040</t>
  </si>
  <si>
    <t>-30.9048078674021</t>
  </si>
  <si>
    <t>-55.53426799873660</t>
  </si>
  <si>
    <t>-30.9048267050107</t>
  </si>
  <si>
    <t>-55.53441202738630</t>
  </si>
  <si>
    <t>-30.9051435425421</t>
  </si>
  <si>
    <t>-55.53500108830570</t>
  </si>
  <si>
    <t>-30.9056651521217</t>
  </si>
  <si>
    <t>-55.53507297192900</t>
  </si>
  <si>
    <t>-30.9051207061258</t>
  </si>
  <si>
    <t>-55.53363775043880</t>
  </si>
  <si>
    <t>-30.9057272566249</t>
  </si>
  <si>
    <t>-55.53337563254150</t>
  </si>
  <si>
    <t>-30.9059590217502</t>
  </si>
  <si>
    <t>-55.53354287837300</t>
  </si>
  <si>
    <t>-30.9063727797962</t>
  </si>
  <si>
    <t>-55.53375894613060</t>
  </si>
  <si>
    <t>-30.9057866748338</t>
  </si>
  <si>
    <t>-55.53300680658830</t>
  </si>
  <si>
    <t>-30.9061027934294</t>
  </si>
  <si>
    <t>-55.53263971328430</t>
  </si>
  <si>
    <t>-30.9061683276388</t>
  </si>
  <si>
    <t>-5.55326844491104</t>
  </si>
  <si>
    <t>-30.9062845971603</t>
  </si>
  <si>
    <t>-55.53273758056630</t>
  </si>
  <si>
    <t>-30.9068590594160</t>
  </si>
  <si>
    <t>-5.55328519071678</t>
  </si>
  <si>
    <t>-30.9069744475185</t>
  </si>
  <si>
    <t>-55.53262299448810</t>
  </si>
  <si>
    <t>-30.9068335056876</t>
  </si>
  <si>
    <t>-55.53219663654650</t>
  </si>
  <si>
    <t>-30.9066422120150</t>
  </si>
  <si>
    <t>-55.53206635466060</t>
  </si>
  <si>
    <t>-30.9064008004301</t>
  </si>
  <si>
    <t>-55.53190380131990</t>
  </si>
  <si>
    <t>-30.9042943738868</t>
  </si>
  <si>
    <t>-55.53794673701950</t>
  </si>
  <si>
    <t>-30.9044942420856</t>
  </si>
  <si>
    <t>-55.53805564535040</t>
  </si>
  <si>
    <t>-30.9050607043511</t>
  </si>
  <si>
    <t>-5.55382296634039</t>
  </si>
  <si>
    <t>-3.0905206148688</t>
  </si>
  <si>
    <t>-55.53794806984790</t>
  </si>
  <si>
    <t>-30.9053299503994</t>
  </si>
  <si>
    <t>-55.53772521796080</t>
  </si>
  <si>
    <t>-30.9053672962665</t>
  </si>
  <si>
    <t>-55.53763040114670</t>
  </si>
  <si>
    <t>-30.9051500895000</t>
  </si>
  <si>
    <t>-55.53740556041950</t>
  </si>
  <si>
    <t>-30.9045433044071</t>
  </si>
  <si>
    <t>-55.53734219365340</t>
  </si>
  <si>
    <t>-3.0904459764264</t>
  </si>
  <si>
    <t>-55.53747362174270</t>
  </si>
  <si>
    <t>-30.9048436742058</t>
  </si>
  <si>
    <t>-55.53689425988400</t>
  </si>
  <si>
    <t>-30.9049035755514</t>
  </si>
  <si>
    <t>-55.53693759971050</t>
  </si>
  <si>
    <t>-30.9049644634594</t>
  </si>
  <si>
    <t>-55.53697235793160</t>
  </si>
  <si>
    <t>-30.9050184781609</t>
  </si>
  <si>
    <t>-55.53700771575380</t>
  </si>
  <si>
    <t>-30.9052764294069</t>
  </si>
  <si>
    <t>-55.53718178843340</t>
  </si>
  <si>
    <t>-30.9054032401116</t>
  </si>
  <si>
    <t>-55.53727458457190</t>
  </si>
  <si>
    <t>-30.9054489232445</t>
  </si>
  <si>
    <t>-55.53733460003440</t>
  </si>
  <si>
    <t>-30.9055960020548</t>
  </si>
  <si>
    <t>-55.53719122280710</t>
  </si>
  <si>
    <t>-30.9057849909958</t>
  </si>
  <si>
    <t>-55.53686932704230</t>
  </si>
  <si>
    <t>-30.9055021180505</t>
  </si>
  <si>
    <t>-55.53640517644610</t>
  </si>
  <si>
    <t>-30.9051610005742</t>
  </si>
  <si>
    <t>-55.53621987106690</t>
  </si>
  <si>
    <t>-30.9051130455744</t>
  </si>
  <si>
    <t>-5.55362766635876</t>
  </si>
  <si>
    <t>-30.9050851213897</t>
  </si>
  <si>
    <t>-55.53632254947860</t>
  </si>
  <si>
    <t>-30.9050616018506</t>
  </si>
  <si>
    <t>-55.53635682301690</t>
  </si>
  <si>
    <t>-30.9050487824079</t>
  </si>
  <si>
    <t>-55.53641657658630</t>
  </si>
  <si>
    <t>-30.9052768009813</t>
  </si>
  <si>
    <t>-55.53610851623710</t>
  </si>
  <si>
    <t>-30.9054790656944</t>
  </si>
  <si>
    <t>-55.53628376255410</t>
  </si>
  <si>
    <t>-3.0905554066951</t>
  </si>
  <si>
    <t>-55.53632320318870</t>
  </si>
  <si>
    <t>-30.9057333295201</t>
  </si>
  <si>
    <t>-55.53644210715180</t>
  </si>
  <si>
    <t>-30.9061051593736</t>
  </si>
  <si>
    <t>-55.53624765193790</t>
  </si>
  <si>
    <t>-30.9062063799501</t>
  </si>
  <si>
    <t>-5.55360759620048</t>
  </si>
  <si>
    <t>-30.9062413474000</t>
  </si>
  <si>
    <t>-55.53601242356190</t>
  </si>
  <si>
    <t>-30.9060636660535</t>
  </si>
  <si>
    <t>-55.53579569990800</t>
  </si>
  <si>
    <t>-30.9052779981245</t>
  </si>
  <si>
    <t>-5.55359698228494</t>
  </si>
  <si>
    <t>-30.9060319408231</t>
  </si>
  <si>
    <t>-55.53566659288470</t>
  </si>
  <si>
    <t>-30.9063746495897</t>
  </si>
  <si>
    <t>-5.55357654767142</t>
  </si>
  <si>
    <t>-30.9064694289468</t>
  </si>
  <si>
    <t>-5.55355767460419</t>
  </si>
  <si>
    <t>-30.9061343130864</t>
  </si>
  <si>
    <t>-55.53483127654630</t>
  </si>
  <si>
    <t>-30.9057783779758</t>
  </si>
  <si>
    <t>-55.53503258878400</t>
  </si>
  <si>
    <t>-30.9060825673719</t>
  </si>
  <si>
    <t>-55.53466319545920</t>
  </si>
  <si>
    <t>-30.9062950535840</t>
  </si>
  <si>
    <t>-55.53481140201620</t>
  </si>
  <si>
    <t>-30.9063955805265</t>
  </si>
  <si>
    <t>-55.53487679743750</t>
  </si>
  <si>
    <t>-30.9064574151835</t>
  </si>
  <si>
    <t>-55.53492461046280</t>
  </si>
  <si>
    <t>-30.9066125543929</t>
  </si>
  <si>
    <t>-55.53499033668180</t>
  </si>
  <si>
    <t>-30.9066672991561</t>
  </si>
  <si>
    <t>-55.53506904380900</t>
  </si>
  <si>
    <t>-30.9068546980425</t>
  </si>
  <si>
    <t>-55.53486109344650</t>
  </si>
  <si>
    <t>-30.9062034863819</t>
  </si>
  <si>
    <t>-55.53421061892200</t>
  </si>
  <si>
    <t>-30.9061503843364</t>
  </si>
  <si>
    <t>-55.53432718362950</t>
  </si>
  <si>
    <t>-30.9065623851367</t>
  </si>
  <si>
    <t>-55.53398053795180</t>
  </si>
  <si>
    <t>-3.0906644427447</t>
  </si>
  <si>
    <t>-55.53403054274140</t>
  </si>
  <si>
    <t>-0.3090671600911</t>
  </si>
  <si>
    <t>-55.53409344549160</t>
  </si>
  <si>
    <t>-30.9072209613521</t>
  </si>
  <si>
    <t>-55.53416453260470</t>
  </si>
  <si>
    <t>-30.9072760993146</t>
  </si>
  <si>
    <t>-55.53357281585800</t>
  </si>
  <si>
    <t>-30.9069527909718</t>
  </si>
  <si>
    <t>-55.53335710174850</t>
  </si>
  <si>
    <t>-30.9069160246087</t>
  </si>
  <si>
    <t>-55.53321393957120</t>
  </si>
  <si>
    <t>-30.9069578622739</t>
  </si>
  <si>
    <t>-55.53322969158000</t>
  </si>
  <si>
    <t>-30.9069994813049</t>
  </si>
  <si>
    <t>-55.53328050977870</t>
  </si>
  <si>
    <t>-30.9070906857800</t>
  </si>
  <si>
    <t>-55.53332873932650</t>
  </si>
  <si>
    <t>-30.9073130897131</t>
  </si>
  <si>
    <t>-55.53348837231370</t>
  </si>
  <si>
    <t>-30.9073718757145</t>
  </si>
  <si>
    <t>-55.53353464976430</t>
  </si>
  <si>
    <t>-30.9074507521948</t>
  </si>
  <si>
    <t>-5.55335656240594</t>
  </si>
  <si>
    <t>-30.9077066941506</t>
  </si>
  <si>
    <t>-55.53326050285650</t>
  </si>
  <si>
    <t>-30.9073164952766</t>
  </si>
  <si>
    <t>-5.55325424067661</t>
  </si>
  <si>
    <t>-30.9070594989232</t>
  </si>
  <si>
    <t>-55.53261586897340</t>
  </si>
  <si>
    <t>-30.9055210200566</t>
  </si>
  <si>
    <t>-55.53877868159270</t>
  </si>
  <si>
    <t>-30.9060004521796</t>
  </si>
  <si>
    <t>-5.55385164267371</t>
  </si>
  <si>
    <t>-30.9053890662440</t>
  </si>
  <si>
    <t>-55.53779473598390</t>
  </si>
  <si>
    <t>-30.9052182384902</t>
  </si>
  <si>
    <t>-55.53808963815550</t>
  </si>
  <si>
    <t>-30.9057329917309</t>
  </si>
  <si>
    <t>-55.53752439820880</t>
  </si>
  <si>
    <t>S/N 1</t>
  </si>
  <si>
    <t>-3.0906131983717</t>
  </si>
  <si>
    <t>-55.53779649999710</t>
  </si>
  <si>
    <t>S/N 2</t>
  </si>
  <si>
    <t>-30.9062040936500</t>
  </si>
  <si>
    <t>-55.53785087459490</t>
  </si>
  <si>
    <t>S/N 3</t>
  </si>
  <si>
    <t>-30.9062802194152</t>
  </si>
  <si>
    <t>-55.53789912983320</t>
  </si>
  <si>
    <t>S/N 4</t>
  </si>
  <si>
    <t>-30.9063591573416</t>
  </si>
  <si>
    <t>-55.53779852427420</t>
  </si>
  <si>
    <t>S/N 5</t>
  </si>
  <si>
    <t>-3.0906151645528</t>
  </si>
  <si>
    <t>-55.53676121409050</t>
  </si>
  <si>
    <t>-30.9062048192852</t>
  </si>
  <si>
    <t>-55.53679208028180</t>
  </si>
  <si>
    <t>-30.9062630308065</t>
  </si>
  <si>
    <t>-55.53682101147700</t>
  </si>
  <si>
    <t>-30.9065800334302</t>
  </si>
  <si>
    <t>-55.53604152921470</t>
  </si>
  <si>
    <t>-30.9067455686827</t>
  </si>
  <si>
    <t>-5.55361565269063</t>
  </si>
  <si>
    <t>-30.9072465803669</t>
  </si>
  <si>
    <t>-55.53613566039250</t>
  </si>
  <si>
    <t>-30.9073089416989</t>
  </si>
  <si>
    <t>-55.53601585683020</t>
  </si>
  <si>
    <t>-30.9074152098137</t>
  </si>
  <si>
    <t>-55.53573285547720</t>
  </si>
  <si>
    <t>-30.9068819046125</t>
  </si>
  <si>
    <t>-55.53535613777170</t>
  </si>
  <si>
    <t>-3.0906686486585</t>
  </si>
  <si>
    <t>-5.55353501517659</t>
  </si>
  <si>
    <t>-30.9066604324248</t>
  </si>
  <si>
    <t>-55.53541313815820</t>
  </si>
  <si>
    <t>-30.9064509609396</t>
  </si>
  <si>
    <t>-55.53579608494890</t>
  </si>
  <si>
    <t>-30.9070510394632</t>
  </si>
  <si>
    <t>-55.53535502238620</t>
  </si>
  <si>
    <t>-30.9072880939437</t>
  </si>
  <si>
    <t>-0.55535514427429</t>
  </si>
  <si>
    <t>-30.9073349485131</t>
  </si>
  <si>
    <t>-55.53556046441610</t>
  </si>
  <si>
    <t>-30.9075364788030</t>
  </si>
  <si>
    <t>-55.53560699547920</t>
  </si>
  <si>
    <t>-30.9075848240013</t>
  </si>
  <si>
    <t>-55.53551388168770</t>
  </si>
  <si>
    <t>-3.0907632215249</t>
  </si>
  <si>
    <t>-55.53540039245000</t>
  </si>
  <si>
    <t>-30.9077498242597</t>
  </si>
  <si>
    <t>-55.53515531549920</t>
  </si>
  <si>
    <t>-30.9077947511600</t>
  </si>
  <si>
    <t>-55.53509866943470</t>
  </si>
  <si>
    <t>-30.9076941382199</t>
  </si>
  <si>
    <t>-5.55348990232407</t>
  </si>
  <si>
    <t>-30.9076530182806</t>
  </si>
  <si>
    <t>-55.53485426934490</t>
  </si>
  <si>
    <t>10​</t>
  </si>
  <si>
    <t>-30.9069846816451</t>
  </si>
  <si>
    <t>-55.53478724720190</t>
  </si>
  <si>
    <t>-30.9079025477826</t>
  </si>
  <si>
    <t>-55.53490297590050</t>
  </si>
  <si>
    <t>-30.9079511871098</t>
  </si>
  <si>
    <t>-55.53480533173890</t>
  </si>
  <si>
    <t>-30.9080003747930</t>
  </si>
  <si>
    <t>-55.53471516806880</t>
  </si>
  <si>
    <t>-3.0908033641591</t>
  </si>
  <si>
    <t>-55.53462697511830</t>
  </si>
  <si>
    <t>-30.9080749533176</t>
  </si>
  <si>
    <t>-55.53458369686920</t>
  </si>
  <si>
    <t>-30.9080983527897</t>
  </si>
  <si>
    <t>-55.53453870106140</t>
  </si>
  <si>
    <t>-30.9081205199457</t>
  </si>
  <si>
    <t>-55.53447887941170</t>
  </si>
  <si>
    <t>-30.9081648622197</t>
  </si>
  <si>
    <t>-55.53439942363270</t>
  </si>
  <si>
    <t>-30.9079994426896</t>
  </si>
  <si>
    <t>-55.53409282102760</t>
  </si>
  <si>
    <t>-30.9079227697085</t>
  </si>
  <si>
    <t>-55.53402597939570</t>
  </si>
  <si>
    <t>-30.9078556850597</t>
  </si>
  <si>
    <t>-55.53399103657430</t>
  </si>
  <si>
    <t>-30.9077937381492</t>
  </si>
  <si>
    <t>-0.55533944179838</t>
  </si>
  <si>
    <t>-30.9074944133282</t>
  </si>
  <si>
    <t>-55.53383639650070</t>
  </si>
  <si>
    <t>-30.9073728222378</t>
  </si>
  <si>
    <t>-55.53405793593350</t>
  </si>
  <si>
    <t>-3.0907689183822</t>
  </si>
  <si>
    <t>-55.53377538102360</t>
  </si>
  <si>
    <t>-30.9077468901718</t>
  </si>
  <si>
    <t>-55.53382307248300</t>
  </si>
  <si>
    <t>-3.0907867014903</t>
  </si>
  <si>
    <t>-55.53387145552130</t>
  </si>
  <si>
    <t>-30.9083356278126</t>
  </si>
  <si>
    <t>-55.53408985822450</t>
  </si>
  <si>
    <t>-3.0908455635094</t>
  </si>
  <si>
    <t>-55.53386513054260</t>
  </si>
  <si>
    <t>-30.9085330190810</t>
  </si>
  <si>
    <t>-55.53369200628090</t>
  </si>
  <si>
    <t>-30.9078795623015</t>
  </si>
  <si>
    <t>-55.53310394184500</t>
  </si>
  <si>
    <t>-30.9076974734257</t>
  </si>
  <si>
    <t>-55.53345434720260</t>
  </si>
  <si>
    <t>-30.9076606485739</t>
  </si>
  <si>
    <t>-55.53351701319740</t>
  </si>
  <si>
    <t>-30.9058562594454</t>
  </si>
  <si>
    <t>-55.53899562288390</t>
  </si>
  <si>
    <t>-30.9059367774277</t>
  </si>
  <si>
    <t>-55.53906918911000</t>
  </si>
  <si>
    <t>-30.9060007350743</t>
  </si>
  <si>
    <t>-55.53914973769990</t>
  </si>
  <si>
    <t>-30.9060488315670</t>
  </si>
  <si>
    <t>-55.53917970774010</t>
  </si>
  <si>
    <t>-30.9060743290307</t>
  </si>
  <si>
    <t>-55.53923601730290</t>
  </si>
  <si>
    <t>-30.9061209904449</t>
  </si>
  <si>
    <t>-55.53925092945330</t>
  </si>
  <si>
    <t>-3.0906195392260</t>
  </si>
  <si>
    <t>-55.53930224345930</t>
  </si>
  <si>
    <t>-0.3090628539808</t>
  </si>
  <si>
    <t>-55.53936337107620</t>
  </si>
  <si>
    <t>-30.9063920532589</t>
  </si>
  <si>
    <t>-55.53941802882730</t>
  </si>
  <si>
    <t>-30.9064903004974</t>
  </si>
  <si>
    <t>-55.53947239682260</t>
  </si>
  <si>
    <t>-30.9066267832481</t>
  </si>
  <si>
    <t>-55.53914477547720</t>
  </si>
  <si>
    <t>-30.9062151288839</t>
  </si>
  <si>
    <t>-55.53829623204070</t>
  </si>
  <si>
    <t>-30.9059827530158</t>
  </si>
  <si>
    <t>-55.53876874628320</t>
  </si>
  <si>
    <t>-30.9064924321314</t>
  </si>
  <si>
    <t>-55.53807249426140</t>
  </si>
  <si>
    <t>-30.9066808433742</t>
  </si>
  <si>
    <t>-55.53820192751330</t>
  </si>
  <si>
    <t>-30.9068044249698</t>
  </si>
  <si>
    <t>-55.53829327620400</t>
  </si>
  <si>
    <t>-30.9070811407472</t>
  </si>
  <si>
    <t>-55.53846836126710</t>
  </si>
  <si>
    <t>-30.9073181567568</t>
  </si>
  <si>
    <t>-55.53804323510990</t>
  </si>
  <si>
    <t>-30.9073546901379</t>
  </si>
  <si>
    <t>-55.53796407009140</t>
  </si>
  <si>
    <t>-30.9071344734644</t>
  </si>
  <si>
    <t>-55.53758583170260</t>
  </si>
  <si>
    <t>-30.9068150647765</t>
  </si>
  <si>
    <t>-55.53733980440210</t>
  </si>
  <si>
    <t>-30.9067939661323</t>
  </si>
  <si>
    <t>-55.53717931249990</t>
  </si>
  <si>
    <t>-30.9068271245377</t>
  </si>
  <si>
    <t>-5.55372058154487</t>
  </si>
  <si>
    <t>-30.9068438499021</t>
  </si>
  <si>
    <t>-55.53724060413500</t>
  </si>
  <si>
    <t>-30.9068817493224</t>
  </si>
  <si>
    <t>-5.55372998454902</t>
  </si>
  <si>
    <t>-30.9069565292657</t>
  </si>
  <si>
    <t>-55.53735733233250</t>
  </si>
  <si>
    <t>-30.9070667790079</t>
  </si>
  <si>
    <t>-55.53741143379690</t>
  </si>
  <si>
    <t>-30.9071482256381</t>
  </si>
  <si>
    <t>-55.53748001427520</t>
  </si>
  <si>
    <t>-30.9072122012755</t>
  </si>
  <si>
    <t>-55.53752375183750</t>
  </si>
  <si>
    <t>-30.9073356926847</t>
  </si>
  <si>
    <t>-55.53762939548600</t>
  </si>
  <si>
    <t>-30.9074636558947</t>
  </si>
  <si>
    <t>-55.53769351510960</t>
  </si>
  <si>
    <t>-30.9076010051415</t>
  </si>
  <si>
    <t>-55.53751888921010</t>
  </si>
  <si>
    <t>-30.9076238450912</t>
  </si>
  <si>
    <t>-55.53746845290470</t>
  </si>
  <si>
    <t>-30.9076839707932</t>
  </si>
  <si>
    <t>-55.53734284002920</t>
  </si>
  <si>
    <t>-30.9077435322812</t>
  </si>
  <si>
    <t>-5.55372088408444</t>
  </si>
  <si>
    <t>-30.9068674576605</t>
  </si>
  <si>
    <t>-55.53700802373520</t>
  </si>
  <si>
    <t>-30.9075371859759</t>
  </si>
  <si>
    <t>-55.53674346156650</t>
  </si>
  <si>
    <t>-30.9077163459586</t>
  </si>
  <si>
    <t>-55.53685608712060</t>
  </si>
  <si>
    <t>-30.9077922292611</t>
  </si>
  <si>
    <t>-55.53691088715740</t>
  </si>
  <si>
    <t>-30.9080426403429</t>
  </si>
  <si>
    <t>-55.53669671215750</t>
  </si>
  <si>
    <t>-30.9072519008649</t>
  </si>
  <si>
    <t>-55.53629646466580</t>
  </si>
  <si>
    <t>-30.9081611164722</t>
  </si>
  <si>
    <t>-55.53513166018130</t>
  </si>
  <si>
    <t>-30.9084112867260</t>
  </si>
  <si>
    <t>-55.53527535363970</t>
  </si>
  <si>
    <t>-30.9084524940116</t>
  </si>
  <si>
    <t>-55.53532753387230</t>
  </si>
  <si>
    <t>-30.9085271684437</t>
  </si>
  <si>
    <t>-55.53537782293480</t>
  </si>
  <si>
    <t>-30.9086122589865</t>
  </si>
  <si>
    <t>-55.53543470423400</t>
  </si>
  <si>
    <t>-30.9087081605357</t>
  </si>
  <si>
    <t>-55.53540627118230</t>
  </si>
  <si>
    <t>-30.9087498122654</t>
  </si>
  <si>
    <t>-55.53533025362890</t>
  </si>
  <si>
    <t>-30.9087809167469</t>
  </si>
  <si>
    <t>-55.53526826567270</t>
  </si>
  <si>
    <t>-30.9091395405280</t>
  </si>
  <si>
    <t>-55.53459690778190</t>
  </si>
  <si>
    <t>-30.9092042095766</t>
  </si>
  <si>
    <t>-55.53448290956280</t>
  </si>
  <si>
    <t>-30.9086261295609</t>
  </si>
  <si>
    <t>-55.53373375832120</t>
  </si>
  <si>
    <t>-30.9082393843810</t>
  </si>
  <si>
    <t>-55.53441801180370</t>
  </si>
  <si>
    <t>-30.9081983300859</t>
  </si>
  <si>
    <t>-55.53449934875410</t>
  </si>
  <si>
    <t>-30.9081135774281</t>
  </si>
  <si>
    <t>-55.53469728585120</t>
  </si>
  <si>
    <t>-30.9080834668621</t>
  </si>
  <si>
    <t>-55.53473700972440</t>
  </si>
  <si>
    <t>-30.9067144911370</t>
  </si>
  <si>
    <t>-5.55396682750898</t>
  </si>
  <si>
    <t>-30.9069188133006</t>
  </si>
  <si>
    <t>-55.53979466498020</t>
  </si>
  <si>
    <t>-3.0907052012756</t>
  </si>
  <si>
    <t>-55.53989609941980</t>
  </si>
  <si>
    <t>-30.9071578006948</t>
  </si>
  <si>
    <t>-55.53995594669190</t>
  </si>
  <si>
    <t>-30.9072763928459</t>
  </si>
  <si>
    <t>-55.54004374051150</t>
  </si>
  <si>
    <t>-30.9073642349430</t>
  </si>
  <si>
    <t>-55.53992190206990</t>
  </si>
  <si>
    <t>-30.9074948848348</t>
  </si>
  <si>
    <t>-55.53973857437940</t>
  </si>
  <si>
    <t>-30.9075378773290</t>
  </si>
  <si>
    <t>-55.53963990887880</t>
  </si>
  <si>
    <t>-30.9076153472853</t>
  </si>
  <si>
    <t>-55.53948172676400</t>
  </si>
  <si>
    <t>-30.9077232108455</t>
  </si>
  <si>
    <t>-5.55392407650193</t>
  </si>
  <si>
    <t>-30.9076643141159</t>
  </si>
  <si>
    <t>-55.53920019501480</t>
  </si>
  <si>
    <t>-30.9075911723391</t>
  </si>
  <si>
    <t>-55.53914179910050</t>
  </si>
  <si>
    <t>-30.9074437101511</t>
  </si>
  <si>
    <t>-55.53905624510340</t>
  </si>
  <si>
    <t>-30.9072067776012</t>
  </si>
  <si>
    <t>-5.55388876637424</t>
  </si>
  <si>
    <t>-30.9068976092871</t>
  </si>
  <si>
    <t>-55.53900637265560</t>
  </si>
  <si>
    <t>-30.9068512495173</t>
  </si>
  <si>
    <t>-55.53911412744990</t>
  </si>
  <si>
    <t>-30.9068139107749</t>
  </si>
  <si>
    <t>-55.53918173944180</t>
  </si>
  <si>
    <t>-30.9071874722003</t>
  </si>
  <si>
    <t>-55.53849449975420</t>
  </si>
  <si>
    <t>-30.9072321101634</t>
  </si>
  <si>
    <t>-55.53859287966510</t>
  </si>
  <si>
    <t>-30.9072965732702</t>
  </si>
  <si>
    <t>-55.53862706815460</t>
  </si>
  <si>
    <t>-30.9078656890094</t>
  </si>
  <si>
    <t>-55.53903747907960</t>
  </si>
  <si>
    <t>-30.9079732668565</t>
  </si>
  <si>
    <t>-55.53886845868690</t>
  </si>
  <si>
    <t>-30.9080251112686</t>
  </si>
  <si>
    <t>-5.55388044644375</t>
  </si>
  <si>
    <t>-30.9080863435974</t>
  </si>
  <si>
    <t>-55.53868932142700</t>
  </si>
  <si>
    <t>-30.9081526104645</t>
  </si>
  <si>
    <t>-55.53851245530610</t>
  </si>
  <si>
    <t>-30.9081747135611</t>
  </si>
  <si>
    <t>-55.53833216187170</t>
  </si>
  <si>
    <t>-3.0908038182837</t>
  </si>
  <si>
    <t>-55.53824583688240</t>
  </si>
  <si>
    <t>-30.9075839197517</t>
  </si>
  <si>
    <t>-55.53777893528010</t>
  </si>
  <si>
    <t>-30.9076934328550</t>
  </si>
  <si>
    <t>-55.53787644178570</t>
  </si>
  <si>
    <t>-30.9077614699812</t>
  </si>
  <si>
    <t>-55.53791006356830</t>
  </si>
  <si>
    <t>-30.9078573144382</t>
  </si>
  <si>
    <t>-5.55380003001757</t>
  </si>
  <si>
    <t>-30.9078999733690</t>
  </si>
  <si>
    <t>-55.53804085721210</t>
  </si>
  <si>
    <t>-30.9079632605790</t>
  </si>
  <si>
    <t>-55.53804337288730</t>
  </si>
  <si>
    <t>-30.9080304847924</t>
  </si>
  <si>
    <t>-55.53808743097220</t>
  </si>
  <si>
    <t>-30.9081109706709</t>
  </si>
  <si>
    <t>-55.53815297703640</t>
  </si>
  <si>
    <t>-30.9082103821806</t>
  </si>
  <si>
    <t>-55.53825002262090</t>
  </si>
  <si>
    <t>-30.9083172445533</t>
  </si>
  <si>
    <t>-55.53822976313470</t>
  </si>
  <si>
    <t>-30.9083489337653</t>
  </si>
  <si>
    <t>-5.55381171180847</t>
  </si>
  <si>
    <t>-30.9083942404715</t>
  </si>
  <si>
    <t>-55.53805491474020</t>
  </si>
  <si>
    <t>-30.9084462894125</t>
  </si>
  <si>
    <t>-55.53747882897120</t>
  </si>
  <si>
    <t>-30.9083661764538</t>
  </si>
  <si>
    <t>-55.53743823704750</t>
  </si>
  <si>
    <t>-3.0908130049086</t>
  </si>
  <si>
    <t>-55.53725351902570</t>
  </si>
  <si>
    <t>-30.9079695882589</t>
  </si>
  <si>
    <t>-55.53714747685140</t>
  </si>
  <si>
    <t>-30.9079016670764</t>
  </si>
  <si>
    <t>-55.53715680886880</t>
  </si>
  <si>
    <t>-30.9076974756985</t>
  </si>
  <si>
    <t>-55.53752038965040</t>
  </si>
  <si>
    <t>-30.9081032977885</t>
  </si>
  <si>
    <t>-55.53712453340220</t>
  </si>
  <si>
    <t>-30.9086807573204</t>
  </si>
  <si>
    <t>-55.53747956900180</t>
  </si>
  <si>
    <t>-30.9086979275594</t>
  </si>
  <si>
    <t>-55.53745046967640</t>
  </si>
  <si>
    <t>-30.9087159399512</t>
  </si>
  <si>
    <t>-55.53741450519490</t>
  </si>
  <si>
    <t>-30.9087433158811</t>
  </si>
  <si>
    <t>-55.53736978772040</t>
  </si>
  <si>
    <t>-30.9087690784424</t>
  </si>
  <si>
    <t>-55.53732231203020</t>
  </si>
  <si>
    <t>-30.9087982584869</t>
  </si>
  <si>
    <t>-55.53727333301200</t>
  </si>
  <si>
    <t>-30.9088243367387</t>
  </si>
  <si>
    <t>-55.53723044869410</t>
  </si>
  <si>
    <t>-30.9088489367600</t>
  </si>
  <si>
    <t>-55.53718984995610</t>
  </si>
  <si>
    <t>-30.9088897351608</t>
  </si>
  <si>
    <t>-5.55371205201277</t>
  </si>
  <si>
    <t>-30.9089276772624</t>
  </si>
  <si>
    <t>-55.53704107963920</t>
  </si>
  <si>
    <t>-30.9089586588897</t>
  </si>
  <si>
    <t>-55.53699567491180</t>
  </si>
  <si>
    <t>-30.9089942101199</t>
  </si>
  <si>
    <t>-55.53693028950430</t>
  </si>
  <si>
    <t>-30.9081023542337</t>
  </si>
  <si>
    <t>-55.53673403338280</t>
  </si>
  <si>
    <t>-30.9090424697535</t>
  </si>
  <si>
    <t>-55.53682650184280</t>
  </si>
  <si>
    <t>-30.9091077074369</t>
  </si>
  <si>
    <t>-55.53670179254400</t>
  </si>
  <si>
    <t>-30.9092480054476</t>
  </si>
  <si>
    <t>-5.55364141626183</t>
  </si>
  <si>
    <t>-0.3090933346657</t>
  </si>
  <si>
    <t>-55.53607627793260</t>
  </si>
  <si>
    <t>-30.9086293907846</t>
  </si>
  <si>
    <t>-5.55357735023748</t>
  </si>
  <si>
    <t>-30.9089323999263</t>
  </si>
  <si>
    <t>-55.53566866307930</t>
  </si>
  <si>
    <t>-30.9090724798390</t>
  </si>
  <si>
    <t>-55.53577072328340</t>
  </si>
  <si>
    <t>-30.9092639694395</t>
  </si>
  <si>
    <t>-55.53590033962960</t>
  </si>
  <si>
    <t>-30.9093219052586</t>
  </si>
  <si>
    <t>-55.53592961173440</t>
  </si>
  <si>
    <t>-30.9094141535973</t>
  </si>
  <si>
    <t>-55.53598486095790</t>
  </si>
  <si>
    <t>-3.0909747500150</t>
  </si>
  <si>
    <t>-55.53551292288010</t>
  </si>
  <si>
    <t>-0.3090978339026</t>
  </si>
  <si>
    <t>-55.53543399554730</t>
  </si>
  <si>
    <t>-30.9099961733594</t>
  </si>
  <si>
    <t>-55.53504587609630</t>
  </si>
  <si>
    <t>-30.9100322636082</t>
  </si>
  <si>
    <t>-55.53495102858270</t>
  </si>
  <si>
    <t>-30.9100641549084</t>
  </si>
  <si>
    <t>-55.53486701506430</t>
  </si>
  <si>
    <t>-3.0910126354641</t>
  </si>
  <si>
    <t>-55.53479506736090</t>
  </si>
  <si>
    <t>-3.0910138871596</t>
  </si>
  <si>
    <t>-55.53456991797500</t>
  </si>
  <si>
    <t>-30.9092605398707</t>
  </si>
  <si>
    <t>-55.53453254849330</t>
  </si>
  <si>
    <t>-30.9075168704428</t>
  </si>
  <si>
    <t>-55.54023000039730</t>
  </si>
  <si>
    <t>-30.9075827258386</t>
  </si>
  <si>
    <t>-55.54025951720340</t>
  </si>
  <si>
    <t>-30.9078469636894</t>
  </si>
  <si>
    <t>-55.54046744882460</t>
  </si>
  <si>
    <t>-30.9079467161812</t>
  </si>
  <si>
    <t>-55.54053184403150</t>
  </si>
  <si>
    <t>-30.9080264933958</t>
  </si>
  <si>
    <t>-55.54057852505380</t>
  </si>
  <si>
    <t>-30.9080624935910</t>
  </si>
  <si>
    <t>-55.54062850894060</t>
  </si>
  <si>
    <t>-30.9081426362302</t>
  </si>
  <si>
    <t>-55.54055494623980</t>
  </si>
  <si>
    <t>-30.9083153128780</t>
  </si>
  <si>
    <t>-55.54018627720550</t>
  </si>
  <si>
    <t>-30.9083811519693</t>
  </si>
  <si>
    <t>-55.54007145415900</t>
  </si>
  <si>
    <t>-30.9084425475676</t>
  </si>
  <si>
    <t>-55.53998242090230</t>
  </si>
  <si>
    <t>-30.9084664364429</t>
  </si>
  <si>
    <t>-55.53976924679620</t>
  </si>
  <si>
    <t>-30.9082510799900</t>
  </si>
  <si>
    <t>-55.53960881337480</t>
  </si>
  <si>
    <t>-30.9080599938974</t>
  </si>
  <si>
    <t>-55.53946971135900</t>
  </si>
  <si>
    <t>-30.9080060218042</t>
  </si>
  <si>
    <t>-5.55394475307229</t>
  </si>
  <si>
    <t>-30.9079275038034</t>
  </si>
  <si>
    <t>-55.53937649307830</t>
  </si>
  <si>
    <t>-30.9077813962041</t>
  </si>
  <si>
    <t>-5.55393578367453</t>
  </si>
  <si>
    <t>-30.9076287709973</t>
  </si>
  <si>
    <t>-55.53969404913620</t>
  </si>
  <si>
    <t>-30.9075771005971</t>
  </si>
  <si>
    <t>-55.53977184900420</t>
  </si>
  <si>
    <t>-30.9080171536744</t>
  </si>
  <si>
    <t>-5.55391556643304</t>
  </si>
  <si>
    <t>-30.9082457272470</t>
  </si>
  <si>
    <t>-55.53932451533430</t>
  </si>
  <si>
    <t>-30.9087829485919</t>
  </si>
  <si>
    <t>-55.53936121962640</t>
  </si>
  <si>
    <t>-30.9089708654304</t>
  </si>
  <si>
    <t>-55.53897720826710</t>
  </si>
  <si>
    <t>-30.9089119508203</t>
  </si>
  <si>
    <t>-55.53883917566650</t>
  </si>
  <si>
    <t>-3.0908808186413</t>
  </si>
  <si>
    <t>-55.53875863439520</t>
  </si>
  <si>
    <t>-30.9084432298270</t>
  </si>
  <si>
    <t>-55.53851345147370</t>
  </si>
  <si>
    <t>-30.9082740386874</t>
  </si>
  <si>
    <t>-55.53846200138180</t>
  </si>
  <si>
    <t>-30.9087660843410</t>
  </si>
  <si>
    <t>-55.53863687411820</t>
  </si>
  <si>
    <t>-30.9088990885076</t>
  </si>
  <si>
    <t>-55.53871856656860</t>
  </si>
  <si>
    <t>-30.9089315362869</t>
  </si>
  <si>
    <t>-55.53876013082350</t>
  </si>
  <si>
    <t>-30.9092314711895</t>
  </si>
  <si>
    <t>-55.53803910263290</t>
  </si>
  <si>
    <t>-30.9091040523447</t>
  </si>
  <si>
    <t>-55.53796007698610</t>
  </si>
  <si>
    <t>-30.9089229849496</t>
  </si>
  <si>
    <t>-55.53783780099540</t>
  </si>
  <si>
    <t>-30.9088811144936</t>
  </si>
  <si>
    <t>-55.53780197054980</t>
  </si>
  <si>
    <t>-3.0908417718939</t>
  </si>
  <si>
    <t>-55.53819495161050</t>
  </si>
  <si>
    <t>-30.9088289419586</t>
  </si>
  <si>
    <t>-55.53760493403120</t>
  </si>
  <si>
    <t>-30.9088925276703</t>
  </si>
  <si>
    <t>-5.55376459071976</t>
  </si>
  <si>
    <t>-30.9089844248975</t>
  </si>
  <si>
    <t>-55.53769261336870</t>
  </si>
  <si>
    <t>-30.9091289156803</t>
  </si>
  <si>
    <t>-55.53787402038240</t>
  </si>
  <si>
    <t>-30.9092123868378</t>
  </si>
  <si>
    <t>-5.55379405131609</t>
  </si>
  <si>
    <t>-30.9095503378683</t>
  </si>
  <si>
    <t>-5.55381739602032</t>
  </si>
  <si>
    <t>-3.0909581234256</t>
  </si>
  <si>
    <t>-5.55381966117931</t>
  </si>
  <si>
    <t>-30.9096570252633</t>
  </si>
  <si>
    <t>-55.53825438829820</t>
  </si>
  <si>
    <t>-30.9096923322455</t>
  </si>
  <si>
    <t>-55.53827488720900</t>
  </si>
  <si>
    <t>-30.9097227403594</t>
  </si>
  <si>
    <t>-55.53830090145730</t>
  </si>
  <si>
    <t>-30.9097653518727</t>
  </si>
  <si>
    <t>-55.53831856393120</t>
  </si>
  <si>
    <t>-30.9098115431312</t>
  </si>
  <si>
    <t>-55.53835001220970</t>
  </si>
  <si>
    <t>-30.9098479491630</t>
  </si>
  <si>
    <t>-55.53836110506810</t>
  </si>
  <si>
    <t>-30.9098895748171</t>
  </si>
  <si>
    <t>-55.53839167895120</t>
  </si>
  <si>
    <t>-30.9107227332995</t>
  </si>
  <si>
    <t>-55.53776484756940</t>
  </si>
  <si>
    <t>-30.9106693164678</t>
  </si>
  <si>
    <t>-55.53760440480530</t>
  </si>
  <si>
    <t>-30.9099541577635</t>
  </si>
  <si>
    <t>-55.53709071271450</t>
  </si>
  <si>
    <t>-30.9091194974223</t>
  </si>
  <si>
    <t>-55.53686328885720</t>
  </si>
  <si>
    <t>-30.9087783496348</t>
  </si>
  <si>
    <t>-55.53753112232850</t>
  </si>
  <si>
    <t>-30.9099451286011</t>
  </si>
  <si>
    <t>-55.53698369557650</t>
  </si>
  <si>
    <t>-30.9102481549773</t>
  </si>
  <si>
    <t>-55.53722149876560</t>
  </si>
  <si>
    <t>-30.9109380934670</t>
  </si>
  <si>
    <t>-55.53739435605740</t>
  </si>
  <si>
    <t>-30.9104379094869</t>
  </si>
  <si>
    <t>-55.53685016894630</t>
  </si>
  <si>
    <t>-30.9097312559928</t>
  </si>
  <si>
    <t>-55.53636109782140</t>
  </si>
  <si>
    <t>-30.9094266641828</t>
  </si>
  <si>
    <t>-55.53627469158110</t>
  </si>
  <si>
    <t>-30.9093803341965</t>
  </si>
  <si>
    <t>-55.53636862843000</t>
  </si>
  <si>
    <t>-30.9102883190010</t>
  </si>
  <si>
    <t>-55.53653179187580</t>
  </si>
  <si>
    <t>-30.9104205168135</t>
  </si>
  <si>
    <t>-55.53627349781570</t>
  </si>
  <si>
    <t>-30.9105098366364</t>
  </si>
  <si>
    <t>-55.53610981874950</t>
  </si>
  <si>
    <t>-30.9107428421777</t>
  </si>
  <si>
    <t>-55.53563182607330</t>
  </si>
  <si>
    <t>-30.9107665173817</t>
  </si>
  <si>
    <t>-55.53557476491760</t>
  </si>
  <si>
    <t>-30.9107916266342</t>
  </si>
  <si>
    <t>-55.53553979607210</t>
  </si>
  <si>
    <t>-30.9109370129399</t>
  </si>
  <si>
    <t>-55.53525921048710</t>
  </si>
  <si>
    <t>-3.0910731022454</t>
  </si>
  <si>
    <t>-55.53498845885480</t>
  </si>
  <si>
    <t>-30.9098612736663</t>
  </si>
  <si>
    <t>-55.53547101975270</t>
  </si>
  <si>
    <t>-30.9082616780569</t>
  </si>
  <si>
    <t>-55.54076386625500</t>
  </si>
  <si>
    <t>-30.9083880308908</t>
  </si>
  <si>
    <t>-55.54086220192040</t>
  </si>
  <si>
    <t>-30.9086039721060</t>
  </si>
  <si>
    <t>-55.54100393896230</t>
  </si>
  <si>
    <t>-30.9086706449609</t>
  </si>
  <si>
    <t>-55.54105728456190</t>
  </si>
  <si>
    <t>-30.9087154981341</t>
  </si>
  <si>
    <t>-55.54108198879810</t>
  </si>
  <si>
    <t>-30.9088343903114</t>
  </si>
  <si>
    <t>-5.55411417702973</t>
  </si>
  <si>
    <t>-30.9089623345517</t>
  </si>
  <si>
    <t>-55.54104511944670</t>
  </si>
  <si>
    <t>-30.9090594678165</t>
  </si>
  <si>
    <t>-5.55408736683444</t>
  </si>
  <si>
    <t>-30.9092780995039</t>
  </si>
  <si>
    <t>-55.54051385496110</t>
  </si>
  <si>
    <t>-30.9090809722375</t>
  </si>
  <si>
    <t>-55.54023044861790</t>
  </si>
  <si>
    <t>-30.9090460643817</t>
  </si>
  <si>
    <t>-55.54018405476800</t>
  </si>
  <si>
    <t>-30.9089747077095</t>
  </si>
  <si>
    <t>-55.54013196538860</t>
  </si>
  <si>
    <t>-30.9086411250259</t>
  </si>
  <si>
    <t>-55.53989523643320</t>
  </si>
  <si>
    <t>-30.9083844754117</t>
  </si>
  <si>
    <t>-55.54029557405240</t>
  </si>
  <si>
    <t>-30.9083582839817</t>
  </si>
  <si>
    <t>-55.54032762150550</t>
  </si>
  <si>
    <t>-30.9083077794695</t>
  </si>
  <si>
    <t>-55.54044356686840</t>
  </si>
  <si>
    <t>-30.9082605735345</t>
  </si>
  <si>
    <t>-55.54055157079940</t>
  </si>
  <si>
    <t>-30.9082285329752</t>
  </si>
  <si>
    <t>-55.54059806203280</t>
  </si>
  <si>
    <t>-0.3090888638908</t>
  </si>
  <si>
    <t>-55.53979180772970</t>
  </si>
  <si>
    <t>-3.0908988041840</t>
  </si>
  <si>
    <t>-55.53984551163420</t>
  </si>
  <si>
    <t>-30.9092355042708</t>
  </si>
  <si>
    <t>-5.55400190604567</t>
  </si>
  <si>
    <t>-3.0909289011879</t>
  </si>
  <si>
    <t>-55.54006630233880</t>
  </si>
  <si>
    <t>-30.9094682690748</t>
  </si>
  <si>
    <t>-55.54009677066920</t>
  </si>
  <si>
    <t>-30.9095648634876</t>
  </si>
  <si>
    <t>-55.53993827102740</t>
  </si>
  <si>
    <t>-30.9095967261062</t>
  </si>
  <si>
    <t>-5.55398633046298</t>
  </si>
  <si>
    <t>-30.9096762484043</t>
  </si>
  <si>
    <t>-55.53973419886770</t>
  </si>
  <si>
    <t>-30.9097336079061</t>
  </si>
  <si>
    <t>-5.55396176460263</t>
  </si>
  <si>
    <t>-30.9097874667794</t>
  </si>
  <si>
    <t>-55.53954435848040</t>
  </si>
  <si>
    <t>-30.9097374980105</t>
  </si>
  <si>
    <t>-55.53944039702390</t>
  </si>
  <si>
    <t>-30.9090271744738</t>
  </si>
  <si>
    <t>-55.53913350839960</t>
  </si>
  <si>
    <t>-30.9089757788440</t>
  </si>
  <si>
    <t>-55.53921872161230</t>
  </si>
  <si>
    <t>-30.9087970057611</t>
  </si>
  <si>
    <t>-55.53950609963800</t>
  </si>
  <si>
    <t>-30.9093232199008</t>
  </si>
  <si>
    <t>-55.53903158226020</t>
  </si>
  <si>
    <t>-30.9094532154381</t>
  </si>
  <si>
    <t>-55.53912719050320</t>
  </si>
  <si>
    <t>-3.0909937370191</t>
  </si>
  <si>
    <t>-55.53928063131780</t>
  </si>
  <si>
    <t>-30.9099604031628</t>
  </si>
  <si>
    <t>-55.53922728476030</t>
  </si>
  <si>
    <t>-30.9100339385082</t>
  </si>
  <si>
    <t>-55.53905735973380</t>
  </si>
  <si>
    <t>-30.9099990531582</t>
  </si>
  <si>
    <t>-55.53860521178850</t>
  </si>
  <si>
    <t>-30.9098551816754</t>
  </si>
  <si>
    <t>-55.53851377489250</t>
  </si>
  <si>
    <t>-30.9097997823089</t>
  </si>
  <si>
    <t>-55.53846817027760</t>
  </si>
  <si>
    <t>-30.9097432909301</t>
  </si>
  <si>
    <t>-55.53841890035500</t>
  </si>
  <si>
    <t>-30.9096405882432</t>
  </si>
  <si>
    <t>-5.55383508281683</t>
  </si>
  <si>
    <t>-30.9102667847657</t>
  </si>
  <si>
    <t>-55.53722187596650</t>
  </si>
  <si>
    <t>-30.9109209827071</t>
  </si>
  <si>
    <t>-55.53740645309880</t>
  </si>
  <si>
    <t>-30.9104331846793</t>
  </si>
  <si>
    <t>-55.53685825912650</t>
  </si>
  <si>
    <t>-3.0910571875546</t>
  </si>
  <si>
    <t>-55.53683337500310</t>
  </si>
  <si>
    <t>-30.9107777469988</t>
  </si>
  <si>
    <t>-55.53698150857410</t>
  </si>
  <si>
    <t>-30.9108368370024</t>
  </si>
  <si>
    <t>-5.55370234149092</t>
  </si>
  <si>
    <t>-30.9110842230891</t>
  </si>
  <si>
    <t>-55.53707951921300</t>
  </si>
  <si>
    <t>-30.9111450000502</t>
  </si>
  <si>
    <t>-55.53696005671720</t>
  </si>
  <si>
    <t>-0.3091122282628</t>
  </si>
  <si>
    <t>-55.53680503016150</t>
  </si>
  <si>
    <t>-30.9112885252499</t>
  </si>
  <si>
    <t>-55.53670493767250</t>
  </si>
  <si>
    <t>-30.9113646843601</t>
  </si>
  <si>
    <t>-55.53654888323900</t>
  </si>
  <si>
    <t>-30.9112662880281</t>
  </si>
  <si>
    <t>-55.53643354544590</t>
  </si>
  <si>
    <t>-30.9111985327122</t>
  </si>
  <si>
    <t>-55.53638768597150</t>
  </si>
  <si>
    <t>-30.9111310599784</t>
  </si>
  <si>
    <t>-55.53633241451310</t>
  </si>
  <si>
    <t>-0.3091100110786</t>
  </si>
  <si>
    <t>-55.53623282596680</t>
  </si>
  <si>
    <t>-30.9108960015313</t>
  </si>
  <si>
    <t>-55.53615916119110</t>
  </si>
  <si>
    <t>-3.0910892691961</t>
  </si>
  <si>
    <t>-55.53603997506740</t>
  </si>
  <si>
    <t>-30.9109555106804</t>
  </si>
  <si>
    <t>-5.55360688293841</t>
  </si>
  <si>
    <t>-30.9110379955141</t>
  </si>
  <si>
    <t>-55.53610732203910</t>
  </si>
  <si>
    <t>-30.9111780731089</t>
  </si>
  <si>
    <t>-55.53624484877690</t>
  </si>
  <si>
    <t>-30.9112177992351</t>
  </si>
  <si>
    <t>-55.53626712720200</t>
  </si>
  <si>
    <t>-30.9112781919396</t>
  </si>
  <si>
    <t>-55.53632410204300</t>
  </si>
  <si>
    <t>-30.9114018006845</t>
  </si>
  <si>
    <t>-55.53639304222450</t>
  </si>
  <si>
    <t>-30.9115352088953</t>
  </si>
  <si>
    <t>-55.53620268881150</t>
  </si>
  <si>
    <t>-30.9116183078404</t>
  </si>
  <si>
    <t>-5.55360783730739</t>
  </si>
  <si>
    <t>-30.9116805933815</t>
  </si>
  <si>
    <t>-55.53594846993650</t>
  </si>
  <si>
    <t>-30.90549236694470</t>
  </si>
  <si>
    <t>-55.54768092652640</t>
  </si>
  <si>
    <t>-30.89832725455770</t>
  </si>
  <si>
    <t>-55.54697779051880</t>
  </si>
  <si>
    <t>-3.08958340204764</t>
  </si>
  <si>
    <t>-55.54598211595150</t>
  </si>
  <si>
    <t>-30.89341980123730</t>
  </si>
  <si>
    <t>-55.54194014496990</t>
  </si>
  <si>
    <t>-30.89346669717860</t>
  </si>
  <si>
    <t>-55.54184674388050</t>
  </si>
  <si>
    <t>-30.89350429018390</t>
  </si>
  <si>
    <t>-55.54173264361630</t>
  </si>
  <si>
    <t>-30.89190195192130</t>
  </si>
  <si>
    <t>-55.54413184359190</t>
  </si>
  <si>
    <t>-30.89194410289860</t>
  </si>
  <si>
    <t>-55.54419987134960</t>
  </si>
  <si>
    <t>-30.89208646748610</t>
  </si>
  <si>
    <t>-55.54430755652970</t>
  </si>
  <si>
    <t>-30.89208974915880</t>
  </si>
  <si>
    <t>-55.54335954891610</t>
  </si>
  <si>
    <t>-0.30892015301788</t>
  </si>
  <si>
    <t>-55.54344906486250</t>
  </si>
  <si>
    <t>-30.89186436072710</t>
  </si>
  <si>
    <t>-55.54369658447580</t>
  </si>
  <si>
    <t>-30.89176431165260</t>
  </si>
  <si>
    <t>-55.54388993485450</t>
  </si>
  <si>
    <t>-30.89167205970460</t>
  </si>
  <si>
    <t>-55.54402333467110</t>
  </si>
  <si>
    <t>-3.08916425214494</t>
  </si>
  <si>
    <t>-55.54521167725990</t>
  </si>
  <si>
    <t>-30.89186896023200</t>
  </si>
  <si>
    <t>-55.54487814748140</t>
  </si>
  <si>
    <t>-30.89197956764500</t>
  </si>
  <si>
    <t>-55.54467561674130</t>
  </si>
  <si>
    <t>-30.89209639848410</t>
  </si>
  <si>
    <t>-55.54447262639210</t>
  </si>
  <si>
    <t>-30.89158209316220</t>
  </si>
  <si>
    <t>-55.54417224948670</t>
  </si>
  <si>
    <t>-30.89151300258320</t>
  </si>
  <si>
    <t>-55.54426304925340</t>
  </si>
  <si>
    <t>-3.08914453305084</t>
  </si>
  <si>
    <t>-55.54437110851620</t>
  </si>
  <si>
    <t>-3.08913540245808</t>
  </si>
  <si>
    <t>-55.54453076390000</t>
  </si>
  <si>
    <t>-30.89114531854180</t>
  </si>
  <si>
    <t>-55.54484183419900</t>
  </si>
  <si>
    <t>-30.89144541103370</t>
  </si>
  <si>
    <t>-55.54508138302170</t>
  </si>
  <si>
    <t>-30.89151005935490</t>
  </si>
  <si>
    <t>-55.54512436205690</t>
  </si>
  <si>
    <t>-30.89157144894190</t>
  </si>
  <si>
    <t>-55.54517304748090</t>
  </si>
  <si>
    <t>-30.89130478328900</t>
  </si>
  <si>
    <t>-55.54590870180650</t>
  </si>
  <si>
    <t>-30.89146980767970</t>
  </si>
  <si>
    <t>-55.54522153605250</t>
  </si>
  <si>
    <t>-30.89102099917620</t>
  </si>
  <si>
    <t>-55.54503260274120</t>
  </si>
  <si>
    <t>-30.89100958400470</t>
  </si>
  <si>
    <t>-55.54535132255290</t>
  </si>
  <si>
    <t>-30.89078675796270</t>
  </si>
  <si>
    <t>-55.54544801534320</t>
  </si>
  <si>
    <t>-30.89073652277790</t>
  </si>
  <si>
    <t>-55.54548617191770</t>
  </si>
  <si>
    <t>-30.89069364984350</t>
  </si>
  <si>
    <t>-55.54556330122820</t>
  </si>
  <si>
    <t>-30.89087708655570</t>
  </si>
  <si>
    <t>-55.54561382077840</t>
  </si>
  <si>
    <t>-30.89076194834430</t>
  </si>
  <si>
    <t>-55.54581275125070</t>
  </si>
  <si>
    <t>-30.89180562433270</t>
  </si>
  <si>
    <t>-55.54659553977190</t>
  </si>
  <si>
    <t>-30.89190570662990</t>
  </si>
  <si>
    <t>-55.54666254472530</t>
  </si>
  <si>
    <t>-30.89202995079250</t>
  </si>
  <si>
    <t>-55.54657929022500</t>
  </si>
  <si>
    <t>-30.89222819175530</t>
  </si>
  <si>
    <t>-55.54616290645920</t>
  </si>
  <si>
    <t>-30.89136064309450</t>
  </si>
  <si>
    <t>-55.54599929992440</t>
  </si>
  <si>
    <t>-30.89245677951730</t>
  </si>
  <si>
    <t>-5.55457265277726</t>
  </si>
  <si>
    <t>-30.89249451549760</t>
  </si>
  <si>
    <t>-55.54564252261110</t>
  </si>
  <si>
    <t>-30.89262348007540</t>
  </si>
  <si>
    <t>-55.54541511109260</t>
  </si>
  <si>
    <t>-3.08927135280893</t>
  </si>
  <si>
    <t>-5.55453384490723</t>
  </si>
  <si>
    <t>-30.89273984037220</t>
  </si>
  <si>
    <t>-55.54526536903920</t>
  </si>
  <si>
    <t>-30.89276827984980</t>
  </si>
  <si>
    <t>-55.54519605303720</t>
  </si>
  <si>
    <t>-30.89277978082680</t>
  </si>
  <si>
    <t>-55.54512462582060</t>
  </si>
  <si>
    <t>-3.08928187770613</t>
  </si>
  <si>
    <t>-55.54504612847770</t>
  </si>
  <si>
    <t>-30.89241610595250</t>
  </si>
  <si>
    <t>-55.54464172575020</t>
  </si>
  <si>
    <t>-30.89233803040620</t>
  </si>
  <si>
    <t>-55.54459371275380</t>
  </si>
  <si>
    <t>-30.89228949889630</t>
  </si>
  <si>
    <t>-55.54455864372500</t>
  </si>
  <si>
    <t>-30.89209466362260</t>
  </si>
  <si>
    <t>-55.54554105360390</t>
  </si>
  <si>
    <t>-3.08929742921227</t>
  </si>
  <si>
    <t>-55.54487389111150</t>
  </si>
  <si>
    <t>-3.08929856350526</t>
  </si>
  <si>
    <t>-55.54479071226590</t>
  </si>
  <si>
    <t>-30.89304763555190</t>
  </si>
  <si>
    <t>-55.54470211510080</t>
  </si>
  <si>
    <t>-30.89318266221070</t>
  </si>
  <si>
    <t>-55.54437398605940</t>
  </si>
  <si>
    <t>-30.89324923155960</t>
  </si>
  <si>
    <t>-55.54427216740220</t>
  </si>
  <si>
    <t>-30.89328578428570</t>
  </si>
  <si>
    <t>-5.55441664017157</t>
  </si>
  <si>
    <t>-30.89334678849650</t>
  </si>
  <si>
    <t>-5.55440928935779</t>
  </si>
  <si>
    <t>-30.89271754962610</t>
  </si>
  <si>
    <t>-55.54357345910590</t>
  </si>
  <si>
    <t>-30.89227492048100</t>
  </si>
  <si>
    <t>-55.54442304397760</t>
  </si>
  <si>
    <t>-30.89254767396620</t>
  </si>
  <si>
    <t>-55.54463033732110</t>
  </si>
  <si>
    <t>-30.89260526624830</t>
  </si>
  <si>
    <t>-55.54469946693880</t>
  </si>
  <si>
    <t>-30.89270508451050</t>
  </si>
  <si>
    <t>-55.54468762051830</t>
  </si>
  <si>
    <t>-30.89278969951860</t>
  </si>
  <si>
    <t>-55.54475867741940</t>
  </si>
  <si>
    <t>-30.89287407829320</t>
  </si>
  <si>
    <t>-55.54483423309850</t>
  </si>
  <si>
    <t>-30.89327272518930</t>
  </si>
  <si>
    <t>-55.54385878864180</t>
  </si>
  <si>
    <t>-30.89359817793230</t>
  </si>
  <si>
    <t>-55.54360658419140</t>
  </si>
  <si>
    <t>-30.89370236823780</t>
  </si>
  <si>
    <t>-55.54340448967470</t>
  </si>
  <si>
    <t>-30.89375933586840</t>
  </si>
  <si>
    <t>-55.54311110480580</t>
  </si>
  <si>
    <t>-30.89369565460740</t>
  </si>
  <si>
    <t>-55.54306347085350</t>
  </si>
  <si>
    <t>-30.89341239677540</t>
  </si>
  <si>
    <t>-55.54286203404220</t>
  </si>
  <si>
    <t>-30.89396683862810</t>
  </si>
  <si>
    <t>-55.54294179146950</t>
  </si>
  <si>
    <t>-30.89408521250080</t>
  </si>
  <si>
    <t>-55.54269266314990</t>
  </si>
  <si>
    <t>-30.89417908038900</t>
  </si>
  <si>
    <t>-55.54249417696710</t>
  </si>
  <si>
    <t>-30.89426483531770</t>
  </si>
  <si>
    <t>-55.54236503285600</t>
  </si>
  <si>
    <t>-30.89428700580100</t>
  </si>
  <si>
    <t>-55.54222569473940</t>
  </si>
  <si>
    <t>-30.89415157959550</t>
  </si>
  <si>
    <t>-55.54210631990280</t>
  </si>
  <si>
    <t>-30.89344827445200</t>
  </si>
  <si>
    <t>-55.54273967249300</t>
  </si>
  <si>
    <t>-3.08935241939333</t>
  </si>
  <si>
    <t>-55.54281009243500</t>
  </si>
  <si>
    <t>-30.89370063643900</t>
  </si>
  <si>
    <t>-55.54293087366440</t>
  </si>
  <si>
    <t>-30.89424875226890</t>
  </si>
  <si>
    <t>-55.54218183258120</t>
  </si>
  <si>
    <t>-30.89433489517050</t>
  </si>
  <si>
    <t>-55.54211691915920</t>
  </si>
  <si>
    <t>-30.89431406301300</t>
  </si>
  <si>
    <t>-55.54200800316540</t>
  </si>
  <si>
    <t>-30.89440546211720</t>
  </si>
  <si>
    <t>-55.54191882949550</t>
  </si>
  <si>
    <t>-30.89454343614440</t>
  </si>
  <si>
    <t>-55.54173095386730</t>
  </si>
  <si>
    <t>-30.89432222170540</t>
  </si>
  <si>
    <t>-55.54189125144140</t>
  </si>
  <si>
    <t>-30.89439024938000</t>
  </si>
  <si>
    <t>-55.54180941222710</t>
  </si>
  <si>
    <t>-30.89441886480440</t>
  </si>
  <si>
    <t>-55.54168459454630</t>
  </si>
  <si>
    <t>-30.89424743592920</t>
  </si>
  <si>
    <t>-55.54192303717130</t>
  </si>
  <si>
    <t>-30.89463059153130</t>
  </si>
  <si>
    <t>-55.54144526935270</t>
  </si>
  <si>
    <t>-30.89454738345660</t>
  </si>
  <si>
    <t>-55.54128533908150</t>
  </si>
  <si>
    <t>-30.89448067322100</t>
  </si>
  <si>
    <t>-55.54164231115190</t>
  </si>
  <si>
    <t>-30.89471175651060</t>
  </si>
  <si>
    <t>-55.54139835570720</t>
  </si>
  <si>
    <t>-30.89465409211090</t>
  </si>
  <si>
    <t>-55.54133308712070</t>
  </si>
  <si>
    <t>-30.89410414808650</t>
  </si>
  <si>
    <t>-55.54195387774280</t>
  </si>
  <si>
    <t>-30.89402537443720</t>
  </si>
  <si>
    <t>-55.54186699106550</t>
  </si>
  <si>
    <t>-30.89392304087330</t>
  </si>
  <si>
    <t>-55.54179572767080</t>
  </si>
  <si>
    <t>-30.89377785690220</t>
  </si>
  <si>
    <t>-5.55416035506308</t>
  </si>
  <si>
    <t>-30.89424359438240</t>
  </si>
  <si>
    <t>-55.54097770254330</t>
  </si>
  <si>
    <t>-30.89437488916890</t>
  </si>
  <si>
    <t>-55.54116907329000</t>
  </si>
  <si>
    <t>-30.89420032988790</t>
  </si>
  <si>
    <t>-5.55411806529359</t>
  </si>
  <si>
    <t>-30.89429133577030</t>
  </si>
  <si>
    <t>-55.54131813979150</t>
  </si>
  <si>
    <t>-30.89434342234820</t>
  </si>
  <si>
    <t>-5.55414148386579</t>
  </si>
  <si>
    <t>-30.89441622988650</t>
  </si>
  <si>
    <t>-55.54148305731770</t>
  </si>
  <si>
    <t>-30.89430821252870</t>
  </si>
  <si>
    <t>-55.54168469839800</t>
  </si>
  <si>
    <t>-30.89424750136490</t>
  </si>
  <si>
    <t>-55.54158810640820</t>
  </si>
  <si>
    <t>-30.89411384647880</t>
  </si>
  <si>
    <t>-55.54152390512120</t>
  </si>
  <si>
    <t>-30.89400185890860</t>
  </si>
  <si>
    <t>-55.54165868143500</t>
  </si>
  <si>
    <t>-30.89412655757910</t>
  </si>
  <si>
    <t>-5.55416962554276</t>
  </si>
  <si>
    <t>-30.89416499441900</t>
  </si>
  <si>
    <t>-55.54179337899760</t>
  </si>
  <si>
    <t>-30.89423625910040</t>
  </si>
  <si>
    <t>-55.54172927269310</t>
  </si>
  <si>
    <t>-30.89405528895330</t>
  </si>
  <si>
    <t>-55.54087777088650</t>
  </si>
  <si>
    <t>-30.89476508639960</t>
  </si>
  <si>
    <t>-55.54114337812190</t>
  </si>
  <si>
    <t>-30.89465102593520</t>
  </si>
  <si>
    <t>-55.54110231208450</t>
  </si>
  <si>
    <t>-30.89454383373180</t>
  </si>
  <si>
    <t>-55.54102676900150</t>
  </si>
  <si>
    <t>-30.89444500015430</t>
  </si>
  <si>
    <t>-55.54094106592300</t>
  </si>
  <si>
    <t>-30.89426079400840</t>
  </si>
  <si>
    <t>-0.05554082989701</t>
  </si>
  <si>
    <t>-30.89415222121990</t>
  </si>
  <si>
    <t>-55.54074081131910</t>
  </si>
  <si>
    <t>-30.89490561207770</t>
  </si>
  <si>
    <t>-55.54014890665730</t>
  </si>
  <si>
    <t>-30.89510699941600</t>
  </si>
  <si>
    <t>-55.54069542910800</t>
  </si>
  <si>
    <t>-30.89560301702520</t>
  </si>
  <si>
    <t>-55.54178433430800</t>
  </si>
  <si>
    <t>-30.89538789908220</t>
  </si>
  <si>
    <t>-55.54163618174870</t>
  </si>
  <si>
    <t>-30.89527059537660</t>
  </si>
  <si>
    <t>-55.54155423725780</t>
  </si>
  <si>
    <t>-30.89501880146260</t>
  </si>
  <si>
    <t>-5.55413844595622</t>
  </si>
  <si>
    <t>-3.08949611087488</t>
  </si>
  <si>
    <t>-55.54134644168600</t>
  </si>
  <si>
    <t>-30.89495868949890</t>
  </si>
  <si>
    <t>-55.54127502422710</t>
  </si>
  <si>
    <t>-30.89575881720000</t>
  </si>
  <si>
    <t>-55.54077191457060</t>
  </si>
  <si>
    <t>-30.89581104865650</t>
  </si>
  <si>
    <t>-55.54081763237350</t>
  </si>
  <si>
    <t>-30.89595663519340</t>
  </si>
  <si>
    <t>-55.54114933612680</t>
  </si>
  <si>
    <t>-30.89589906276500</t>
  </si>
  <si>
    <t>-55.54124507358820</t>
  </si>
  <si>
    <t>-30.89586595238800</t>
  </si>
  <si>
    <t>-5.55413129970007</t>
  </si>
  <si>
    <t>-3.08957700787755</t>
  </si>
  <si>
    <t>-55.54148657813610</t>
  </si>
  <si>
    <t>-3.08956728501289</t>
  </si>
  <si>
    <t>-55.54168615766680</t>
  </si>
  <si>
    <t>-30.89536887863350</t>
  </si>
  <si>
    <t>-55.54227997272090</t>
  </si>
  <si>
    <t>-30.89549710331830</t>
  </si>
  <si>
    <t>-55.54207305495600</t>
  </si>
  <si>
    <t>-30.89550321872650</t>
  </si>
  <si>
    <t>-55.54183357589590</t>
  </si>
  <si>
    <t>-30.89472613218580</t>
  </si>
  <si>
    <t>-55.54164394367020</t>
  </si>
  <si>
    <t>-30.89475769419830</t>
  </si>
  <si>
    <t>-55.54245608441920</t>
  </si>
  <si>
    <t>-30.89467717682620</t>
  </si>
  <si>
    <t>-55.54358543921520</t>
  </si>
  <si>
    <t>-30.89481154564870</t>
  </si>
  <si>
    <t>-55.54337115707490</t>
  </si>
  <si>
    <t>-30.89486060999480</t>
  </si>
  <si>
    <t>-55.54321592040840</t>
  </si>
  <si>
    <t>-30.89505555560700</t>
  </si>
  <si>
    <t>-55.54275160682870</t>
  </si>
  <si>
    <t>-30.89434277185280</t>
  </si>
  <si>
    <t>-55.54239698438300</t>
  </si>
  <si>
    <t>-30.89425783735200</t>
  </si>
  <si>
    <t>-55.54253610099380</t>
  </si>
  <si>
    <t>-30.89420158164190</t>
  </si>
  <si>
    <t>-55.54325895276720</t>
  </si>
  <si>
    <t>-30.89444929147970</t>
  </si>
  <si>
    <t>-55.54343980721800</t>
  </si>
  <si>
    <t>-30.89423067925640</t>
  </si>
  <si>
    <t>-55.54446702831900</t>
  </si>
  <si>
    <t>-30.89424908624190</t>
  </si>
  <si>
    <t>-55.54436616312430</t>
  </si>
  <si>
    <t>-30.89435501432310</t>
  </si>
  <si>
    <t>-5.55441910024464</t>
  </si>
  <si>
    <t>-30.89402323308320</t>
  </si>
  <si>
    <t>-55.54329456020230</t>
  </si>
  <si>
    <t>-30.89397513802750</t>
  </si>
  <si>
    <t>-55.54324785087640</t>
  </si>
  <si>
    <t>-30.89392328271000</t>
  </si>
  <si>
    <t>-55.54321269223610</t>
  </si>
  <si>
    <t>-30.89381156925640</t>
  </si>
  <si>
    <t>-55.54337377968560</t>
  </si>
  <si>
    <t>-0.30893661141965</t>
  </si>
  <si>
    <t>-55.54368197434710</t>
  </si>
  <si>
    <t>-30.89361140521940</t>
  </si>
  <si>
    <t>-55.54376997728800</t>
  </si>
  <si>
    <t>-3.08935173511006</t>
  </si>
  <si>
    <t>-55.54390670241990</t>
  </si>
  <si>
    <t>-30.89364814678320</t>
  </si>
  <si>
    <t>-5.55441530934955</t>
  </si>
  <si>
    <t>-30.89375207341650</t>
  </si>
  <si>
    <t>-55.54433865622930</t>
  </si>
  <si>
    <t>-30.89320157457690</t>
  </si>
  <si>
    <t>-55.54454511727560</t>
  </si>
  <si>
    <t>-30.89315139162530</t>
  </si>
  <si>
    <t>-55.54463004202420</t>
  </si>
  <si>
    <t>-3.08930879747369</t>
  </si>
  <si>
    <t>-55.54478988288620</t>
  </si>
  <si>
    <t>-30.89340847494530</t>
  </si>
  <si>
    <t>-55.54523900248320</t>
  </si>
  <si>
    <t>-30.89347741102080</t>
  </si>
  <si>
    <t>-55.54526920581230</t>
  </si>
  <si>
    <t>-30.89366814826290</t>
  </si>
  <si>
    <t>-55.54540021251130</t>
  </si>
  <si>
    <t>-30.89337839356240</t>
  </si>
  <si>
    <t>-55.54605050129700</t>
  </si>
  <si>
    <t>-30.89340943226300</t>
  </si>
  <si>
    <t>-55.54597328987150</t>
  </si>
  <si>
    <t>-30.89346119225420</t>
  </si>
  <si>
    <t>-55.54591737729150</t>
  </si>
  <si>
    <t>-30.89332149923190</t>
  </si>
  <si>
    <t>-55.54530143478800</t>
  </si>
  <si>
    <t>-30.89266855318470</t>
  </si>
  <si>
    <t>-55.54595292998090</t>
  </si>
  <si>
    <t>-30.89289258822120</t>
  </si>
  <si>
    <t>-55.54610576737210</t>
  </si>
  <si>
    <t>-30.89308294060230</t>
  </si>
  <si>
    <t>-55.54621743766730</t>
  </si>
  <si>
    <t>-30.89314033845180</t>
  </si>
  <si>
    <t>-55.54628032773680</t>
  </si>
  <si>
    <t>-30.89278038904950</t>
  </si>
  <si>
    <t>-55.54720156129490</t>
  </si>
  <si>
    <t>-30.89283868867540</t>
  </si>
  <si>
    <t>-55.54712415243350</t>
  </si>
  <si>
    <t>-3.08928878267284</t>
  </si>
  <si>
    <t>-55.54702452504480</t>
  </si>
  <si>
    <t>-3.08930066840808</t>
  </si>
  <si>
    <t>-55.54676318845070</t>
  </si>
  <si>
    <t>-3.08931319421206</t>
  </si>
  <si>
    <t>-55.54639968595490</t>
  </si>
  <si>
    <t>-30.89308293462880</t>
  </si>
  <si>
    <t>-55.54636336176700</t>
  </si>
  <si>
    <t>-30.89302418437020</t>
  </si>
  <si>
    <t>-55.54633126166660</t>
  </si>
  <si>
    <t>-30.89287003121000</t>
  </si>
  <si>
    <t>-5.55462170724421</t>
  </si>
  <si>
    <t>-30.89270824459320</t>
  </si>
  <si>
    <t>-55.54608845617880</t>
  </si>
  <si>
    <t>-30.89261047371670</t>
  </si>
  <si>
    <t>-55.54604176038120</t>
  </si>
  <si>
    <t>-3.08925001091493</t>
  </si>
  <si>
    <t>-55.54707183752050</t>
  </si>
  <si>
    <t>-30.89254915265400</t>
  </si>
  <si>
    <t>-55.54711680138730</t>
  </si>
  <si>
    <t>-30.89293035243140</t>
  </si>
  <si>
    <t>-55.54694658409750</t>
  </si>
  <si>
    <t>-30.89232760355410</t>
  </si>
  <si>
    <t>-55.54707640095810</t>
  </si>
  <si>
    <t>-30.89222232190400</t>
  </si>
  <si>
    <t>-55.54700624652570</t>
  </si>
  <si>
    <t>-30.89286879128050</t>
  </si>
  <si>
    <t>-55.54747815277000</t>
  </si>
  <si>
    <t>-30.89295823012000</t>
  </si>
  <si>
    <t>-55.54754043241500</t>
  </si>
  <si>
    <t>-30.89309960787160</t>
  </si>
  <si>
    <t>-55.54764126282660</t>
  </si>
  <si>
    <t>-30.89359238461900</t>
  </si>
  <si>
    <t>-55.54768986233520</t>
  </si>
  <si>
    <t>-30.89364701818060</t>
  </si>
  <si>
    <t>-55.54761101029830</t>
  </si>
  <si>
    <t>-30.89372700464710</t>
  </si>
  <si>
    <t>-55.54744760337900</t>
  </si>
  <si>
    <t>-30.89390553410680</t>
  </si>
  <si>
    <t>-5.55469841624658</t>
  </si>
  <si>
    <t>-30.89370817722840</t>
  </si>
  <si>
    <t>-55.54683286076000</t>
  </si>
  <si>
    <t>-30.89364880232040</t>
  </si>
  <si>
    <t>-55.54677456033780</t>
  </si>
  <si>
    <t>-30.89358609893860</t>
  </si>
  <si>
    <t>-55.54673532842630</t>
  </si>
  <si>
    <t>-30.89296487085270</t>
  </si>
  <si>
    <t>-55.54702143341860</t>
  </si>
  <si>
    <t>-30.89353856608870</t>
  </si>
  <si>
    <t>-0.55546686919309</t>
  </si>
  <si>
    <t>-30.89294384005090</t>
  </si>
  <si>
    <t>-55.54740894426970</t>
  </si>
  <si>
    <t>-30.89300126164420</t>
  </si>
  <si>
    <t>-55.54744797455090</t>
  </si>
  <si>
    <t>-30.89418198939700</t>
  </si>
  <si>
    <t>-55.54659464363310</t>
  </si>
  <si>
    <t>-30.89428542977770</t>
  </si>
  <si>
    <t>-55.54636631163830</t>
  </si>
  <si>
    <t>-30.89429732536820</t>
  </si>
  <si>
    <t>-55.54630213643760</t>
  </si>
  <si>
    <t>-30.89409784000690</t>
  </si>
  <si>
    <t>-55.54585080368770</t>
  </si>
  <si>
    <t>-30.89404135185850</t>
  </si>
  <si>
    <t>-55.54581968137700</t>
  </si>
  <si>
    <t>-30.89401551054190</t>
  </si>
  <si>
    <t>-55.54579526057280</t>
  </si>
  <si>
    <t>-3.08937673003741</t>
  </si>
  <si>
    <t>-55.54675225799110</t>
  </si>
  <si>
    <t>-30.89491891901930</t>
  </si>
  <si>
    <t>-55.54524060451590</t>
  </si>
  <si>
    <t>-30.89491900993950</t>
  </si>
  <si>
    <t>-55.54517065823690</t>
  </si>
  <si>
    <t>-30.89487076430790</t>
  </si>
  <si>
    <t>-55.54515318642800</t>
  </si>
  <si>
    <t>-30.89443913637120</t>
  </si>
  <si>
    <t>-55.54482714128960</t>
  </si>
  <si>
    <t>-3.08940286522106</t>
  </si>
  <si>
    <t>-55.54494005405340</t>
  </si>
  <si>
    <t>-30.89396594356080</t>
  </si>
  <si>
    <t>-55.54508640022650</t>
  </si>
  <si>
    <t>-30.89382673884940</t>
  </si>
  <si>
    <t>-55.54534650003210</t>
  </si>
  <si>
    <t>-30.89381350539600</t>
  </si>
  <si>
    <t>-55.54550992061660</t>
  </si>
  <si>
    <t>-30.89387779369100</t>
  </si>
  <si>
    <t>-55.54556959533070</t>
  </si>
  <si>
    <t>-3.08941313209699</t>
  </si>
  <si>
    <t>-5.55457150165298</t>
  </si>
  <si>
    <t>-30.89483952948470</t>
  </si>
  <si>
    <t>-5.55438792918792</t>
  </si>
  <si>
    <t>-3.08943512107879</t>
  </si>
  <si>
    <t>-55.54463763550710</t>
  </si>
  <si>
    <t>-30.89441434178210</t>
  </si>
  <si>
    <t>-55.54469965975960</t>
  </si>
  <si>
    <t>-30.89481142556010</t>
  </si>
  <si>
    <t>-55.54496231058740</t>
  </si>
  <si>
    <t>-30.89486964045040</t>
  </si>
  <si>
    <t>-55.54501248205400</t>
  </si>
  <si>
    <t>-30.89490163549410</t>
  </si>
  <si>
    <t>-55.54503101870450</t>
  </si>
  <si>
    <t>-30.89496536114650</t>
  </si>
  <si>
    <t>-55.54507046759510</t>
  </si>
  <si>
    <t>-30.89530950872400</t>
  </si>
  <si>
    <t>-55.54407034198180</t>
  </si>
  <si>
    <t>-30.89516070426070</t>
  </si>
  <si>
    <t>-5.55439621693324</t>
  </si>
  <si>
    <t>-30.89545863811540</t>
  </si>
  <si>
    <t>-55.54306553155000</t>
  </si>
  <si>
    <t>-30.89617232085980</t>
  </si>
  <si>
    <t>-55.54279222343410</t>
  </si>
  <si>
    <t>-30.89627073086640</t>
  </si>
  <si>
    <t>-55.54258113299180</t>
  </si>
  <si>
    <t>-30.89616437345980</t>
  </si>
  <si>
    <t>-55.54230532373420</t>
  </si>
  <si>
    <t>-30.89602062017670</t>
  </si>
  <si>
    <t>-55.54220438516000</t>
  </si>
  <si>
    <t>-30.89526835914690</t>
  </si>
  <si>
    <t>-55.54282014990940</t>
  </si>
  <si>
    <t>-30.89568938771360</t>
  </si>
  <si>
    <t>-55.54311685078650</t>
  </si>
  <si>
    <t>-30.89581201962840</t>
  </si>
  <si>
    <t>-55.54318255302840</t>
  </si>
  <si>
    <t>-3.08958698919576</t>
  </si>
  <si>
    <t>-55.54323773998990</t>
  </si>
  <si>
    <t>-30.89560693107830</t>
  </si>
  <si>
    <t>-55.54305394412500</t>
  </si>
  <si>
    <t>-30.89626433561750</t>
  </si>
  <si>
    <t>-55.54227718448680</t>
  </si>
  <si>
    <t>-30.89612405813730</t>
  </si>
  <si>
    <t>-55.54214843365560</t>
  </si>
  <si>
    <t>-30.89603076781150</t>
  </si>
  <si>
    <t>-55.54209966752870</t>
  </si>
  <si>
    <t>-30.89591572398560</t>
  </si>
  <si>
    <t>-55.54204814020770</t>
  </si>
  <si>
    <t>-30.89581708479460</t>
  </si>
  <si>
    <t>-55.54196145129030</t>
  </si>
  <si>
    <t>-30.89573177518780</t>
  </si>
  <si>
    <t>-55.54182165140570</t>
  </si>
  <si>
    <t>-3.08958537982146</t>
  </si>
  <si>
    <t>-55.54159640168360</t>
  </si>
  <si>
    <t>-30.89593437881840</t>
  </si>
  <si>
    <t>-55.54144765178970</t>
  </si>
  <si>
    <t>-30.89638886797480</t>
  </si>
  <si>
    <t>-55.54120518942590</t>
  </si>
  <si>
    <t>-30.89661779350860</t>
  </si>
  <si>
    <t>-55.54137085798350</t>
  </si>
  <si>
    <t>-30.89668198508460</t>
  </si>
  <si>
    <t>-55.54144183682930</t>
  </si>
  <si>
    <t>-30.89681264584850</t>
  </si>
  <si>
    <t>-55.54153338296920</t>
  </si>
  <si>
    <t>-30.89728974815770</t>
  </si>
  <si>
    <t>-55.54283643875860</t>
  </si>
  <si>
    <t>-30.89689184389390</t>
  </si>
  <si>
    <t>-55.54269351417330</t>
  </si>
  <si>
    <t>-3.08968177991914</t>
  </si>
  <si>
    <t>-55.54263490036370</t>
  </si>
  <si>
    <t>-30.89674627909220</t>
  </si>
  <si>
    <t>-55.54259020989810</t>
  </si>
  <si>
    <t>-30.89669198128540</t>
  </si>
  <si>
    <t>-55.54253611499410</t>
  </si>
  <si>
    <t>-30.89662672775270</t>
  </si>
  <si>
    <t>-55.54247765964570</t>
  </si>
  <si>
    <t>-30.89656895945820</t>
  </si>
  <si>
    <t>-55.54243131154330</t>
  </si>
  <si>
    <t>-30.89726777418530</t>
  </si>
  <si>
    <t>-5.55418509239317</t>
  </si>
  <si>
    <t>-30.89734305390310</t>
  </si>
  <si>
    <t>-55.54191609638420</t>
  </si>
  <si>
    <t>-3.08974564337237</t>
  </si>
  <si>
    <t>-55.54236732789980</t>
  </si>
  <si>
    <t>-30.89738082416150</t>
  </si>
  <si>
    <t>-55.54249134874890</t>
  </si>
  <si>
    <t>-3.08968944246516</t>
  </si>
  <si>
    <t>-55.54360650807900</t>
  </si>
  <si>
    <t>-30.89711684454430</t>
  </si>
  <si>
    <t>-55.54310111984060</t>
  </si>
  <si>
    <t>-30.89707612307750</t>
  </si>
  <si>
    <t>-55.54299206676870</t>
  </si>
  <si>
    <t>-30.89700233841460</t>
  </si>
  <si>
    <t>-55.54289032120990</t>
  </si>
  <si>
    <t>-3.08967903494199</t>
  </si>
  <si>
    <t>-55.54275705388480</t>
  </si>
  <si>
    <t>-30.89631055232060</t>
  </si>
  <si>
    <t>-55.54272656151050</t>
  </si>
  <si>
    <t>-30.89622338814430</t>
  </si>
  <si>
    <t>-55.54291568296620</t>
  </si>
  <si>
    <t>-30.89613571760060</t>
  </si>
  <si>
    <t>-55.54338656596660</t>
  </si>
  <si>
    <t>-30.89623283954990</t>
  </si>
  <si>
    <t>-55.54345647520420</t>
  </si>
  <si>
    <t>-3.08963527946785</t>
  </si>
  <si>
    <t>-55.54356328085310</t>
  </si>
  <si>
    <t>-30.89639149595200</t>
  </si>
  <si>
    <t>-55.54359936461930</t>
  </si>
  <si>
    <t>-30.89650643693930</t>
  </si>
  <si>
    <t>-55.54365934674280</t>
  </si>
  <si>
    <t>-30.89654939791440</t>
  </si>
  <si>
    <t>-55.54373187460520</t>
  </si>
  <si>
    <t>-30.89662323731410</t>
  </si>
  <si>
    <t>-55.54376257314190</t>
  </si>
  <si>
    <t>-30.89631246942760</t>
  </si>
  <si>
    <t>-55.54460523190030</t>
  </si>
  <si>
    <t>-30.89642903320960</t>
  </si>
  <si>
    <t>-55.54431725243680</t>
  </si>
  <si>
    <t>-30.89663605745540</t>
  </si>
  <si>
    <t>-5.55439683469322</t>
  </si>
  <si>
    <t>-30.89656052213450</t>
  </si>
  <si>
    <t>-55.54389346603980</t>
  </si>
  <si>
    <t>-30.89628448505170</t>
  </si>
  <si>
    <t>-55.54363661763280</t>
  </si>
  <si>
    <t>-30.89623056410370</t>
  </si>
  <si>
    <t>-55.54358142549040</t>
  </si>
  <si>
    <t>-30.89616524619570</t>
  </si>
  <si>
    <t>-55.54354581739220</t>
  </si>
  <si>
    <t>-3.08955826198353</t>
  </si>
  <si>
    <t>-55.54419884727070</t>
  </si>
  <si>
    <t>-30.89563505624520</t>
  </si>
  <si>
    <t>-55.54425256996480</t>
  </si>
  <si>
    <t>-30.89568251764530</t>
  </si>
  <si>
    <t>-55.54430040730450</t>
  </si>
  <si>
    <t>-0.30895764111486</t>
  </si>
  <si>
    <t>-55.54431383629270</t>
  </si>
  <si>
    <t>-30.89581736809010</t>
  </si>
  <si>
    <t>-55.54437753170000</t>
  </si>
  <si>
    <t>-30.89591898156430</t>
  </si>
  <si>
    <t>-55.54448735428520</t>
  </si>
  <si>
    <t>-30.89604634295180</t>
  </si>
  <si>
    <t>-55.54458262622480</t>
  </si>
  <si>
    <t>-30.89573964555640</t>
  </si>
  <si>
    <t>-55.54560520930030</t>
  </si>
  <si>
    <t>-30.89587939493500</t>
  </si>
  <si>
    <t>-55.54538416521960</t>
  </si>
  <si>
    <t>-30.89608025021410</t>
  </si>
  <si>
    <t>-55.54505904662910</t>
  </si>
  <si>
    <t>-30.89595576182310</t>
  </si>
  <si>
    <t>-55.54468251854630</t>
  </si>
  <si>
    <t>-30.89589021445630</t>
  </si>
  <si>
    <t>-5.55446499860211</t>
  </si>
  <si>
    <t>-30.89581658397790</t>
  </si>
  <si>
    <t>-55.54459057927560</t>
  </si>
  <si>
    <t>-30.89521154968470</t>
  </si>
  <si>
    <t>-55.54524759663930</t>
  </si>
  <si>
    <t>-3.08954802408838</t>
  </si>
  <si>
    <t>-55.54540929046530</t>
  </si>
  <si>
    <t>-30.89554368764020</t>
  </si>
  <si>
    <t>-55.54546784730950</t>
  </si>
  <si>
    <t>-30.89561124805680</t>
  </si>
  <si>
    <t>-55.54553895244640</t>
  </si>
  <si>
    <t>-30.89521560340640</t>
  </si>
  <si>
    <t>-55.54654447447310</t>
  </si>
  <si>
    <t>-30.89529425104490</t>
  </si>
  <si>
    <t>-5.55465096515038</t>
  </si>
  <si>
    <t>-30.89535548134660</t>
  </si>
  <si>
    <t>-5.55464235699462</t>
  </si>
  <si>
    <t>-30.89539795682580</t>
  </si>
  <si>
    <t>-5.55463385861229</t>
  </si>
  <si>
    <t>-30.89543253857610</t>
  </si>
  <si>
    <t>-55.54627223215960</t>
  </si>
  <si>
    <t>-30.89551309291920</t>
  </si>
  <si>
    <t>-5.55461420272436</t>
  </si>
  <si>
    <t>-30.89557748698880</t>
  </si>
  <si>
    <t>-55.54596618929900</t>
  </si>
  <si>
    <t>-30.89566950618160</t>
  </si>
  <si>
    <t>-55.54571614957500</t>
  </si>
  <si>
    <t>-30.89557062630560</t>
  </si>
  <si>
    <t>-55.54564419696090</t>
  </si>
  <si>
    <t>-30.89548748646210</t>
  </si>
  <si>
    <t>-0.05554558325377</t>
  </si>
  <si>
    <t>-30.89530327163570</t>
  </si>
  <si>
    <t>-55.54548381933460</t>
  </si>
  <si>
    <t>-30.89458204562910</t>
  </si>
  <si>
    <t>-55.54598648914450</t>
  </si>
  <si>
    <t>-30.89474000813100</t>
  </si>
  <si>
    <t>-55.54615128507530</t>
  </si>
  <si>
    <t>-30.89478704268900</t>
  </si>
  <si>
    <t>-55.54622959798370</t>
  </si>
  <si>
    <t>-3.08949004916734</t>
  </si>
  <si>
    <t>-55.54628284614550</t>
  </si>
  <si>
    <t>-30.89495493170410</t>
  </si>
  <si>
    <t>-5.55463382071024</t>
  </si>
  <si>
    <t>-30.89477666870140</t>
  </si>
  <si>
    <t>-55.54741580554670</t>
  </si>
  <si>
    <t>-30.89484480660130</t>
  </si>
  <si>
    <t>-5.55473251087411</t>
  </si>
  <si>
    <t>-30.89503218613940</t>
  </si>
  <si>
    <t>-55.54699676915860</t>
  </si>
  <si>
    <t>-3.08950797317899</t>
  </si>
  <si>
    <t>-55.54691529112670</t>
  </si>
  <si>
    <t>-30.89511293292910</t>
  </si>
  <si>
    <t>-55.54685499738610</t>
  </si>
  <si>
    <t>-30.89476915984140</t>
  </si>
  <si>
    <t>-55.54633398689030</t>
  </si>
  <si>
    <t>-30.89463562059960</t>
  </si>
  <si>
    <t>-55.54622060374720</t>
  </si>
  <si>
    <t>-30.89455179431800</t>
  </si>
  <si>
    <t>-55.54616405010840</t>
  </si>
  <si>
    <t>-30.89447340494930</t>
  </si>
  <si>
    <t>-55.54618103633790</t>
  </si>
  <si>
    <t>-30.89419262639260</t>
  </si>
  <si>
    <t>-55.54674622118730</t>
  </si>
  <si>
    <t>-0.30894128418614</t>
  </si>
  <si>
    <t>-5.55468473042114</t>
  </si>
  <si>
    <t>-30.89461043997100</t>
  </si>
  <si>
    <t>-55.54735498445260</t>
  </si>
  <si>
    <t>-30.89470302350860</t>
  </si>
  <si>
    <t>-55.54740039406480</t>
  </si>
  <si>
    <t>-30.89388717384210</t>
  </si>
  <si>
    <t>-55.54729576878560</t>
  </si>
  <si>
    <t>-30.89376994286870</t>
  </si>
  <si>
    <t>-55.54796921698840</t>
  </si>
  <si>
    <t>-30.89368966193730</t>
  </si>
  <si>
    <t>-55.54776389334950</t>
  </si>
  <si>
    <t>-30.89442157158300</t>
  </si>
  <si>
    <t>-55.54857453789600</t>
  </si>
  <si>
    <t>-3.08945237738839</t>
  </si>
  <si>
    <t>-55.54864032622050</t>
  </si>
  <si>
    <t>-30.89461318272940</t>
  </si>
  <si>
    <t>-55.54872020234390</t>
  </si>
  <si>
    <t>-30.89481137120160</t>
  </si>
  <si>
    <t>-55.54885726184490</t>
  </si>
  <si>
    <t>-30.89509596701510</t>
  </si>
  <si>
    <t>-55.54889137725470</t>
  </si>
  <si>
    <t>-30.89517591815300</t>
  </si>
  <si>
    <t>-55.54874914643900</t>
  </si>
  <si>
    <t>-30.89528268533580</t>
  </si>
  <si>
    <t>-55.54855365279960</t>
  </si>
  <si>
    <t>-30.89533919107480</t>
  </si>
  <si>
    <t>-55.54843821655580</t>
  </si>
  <si>
    <t>-30.89502509847080</t>
  </si>
  <si>
    <t>-55.54776385858470</t>
  </si>
  <si>
    <t>-3.08948896683195</t>
  </si>
  <si>
    <t>-55.54765488621040</t>
  </si>
  <si>
    <t>-30.89440983995610</t>
  </si>
  <si>
    <t>-55.54835235594700</t>
  </si>
  <si>
    <t>-30.89476527266340</t>
  </si>
  <si>
    <t>-55.54870256371030</t>
  </si>
  <si>
    <t>-30.89485231245080</t>
  </si>
  <si>
    <t>-55.54875010143590</t>
  </si>
  <si>
    <t>-3.08956668859523</t>
  </si>
  <si>
    <t>-55.54789848741800</t>
  </si>
  <si>
    <t>-30.89576881186310</t>
  </si>
  <si>
    <t>-55.54768203642540</t>
  </si>
  <si>
    <t>-30.89591760768850</t>
  </si>
  <si>
    <t>-55.54742264735790</t>
  </si>
  <si>
    <t>-30.89550810167360</t>
  </si>
  <si>
    <t>-55.54685273495420</t>
  </si>
  <si>
    <t>-30.89541105773240</t>
  </si>
  <si>
    <t>-0.55546800420786</t>
  </si>
  <si>
    <t>-30.89514673720480</t>
  </si>
  <si>
    <t>-55.54699907763990</t>
  </si>
  <si>
    <t>-30.89498414491790</t>
  </si>
  <si>
    <t>-55.54728738965890</t>
  </si>
  <si>
    <t>-30.89487566450040</t>
  </si>
  <si>
    <t>-55.54750173165860</t>
  </si>
  <si>
    <t>-30.89504571691240</t>
  </si>
  <si>
    <t>-55.54765608500090</t>
  </si>
  <si>
    <t>-3.08961221641367</t>
  </si>
  <si>
    <t>-5.55470092715158</t>
  </si>
  <si>
    <t>-30.89628119113240</t>
  </si>
  <si>
    <t>-55.54669369395640</t>
  </si>
  <si>
    <t>-30.89635214873740</t>
  </si>
  <si>
    <t>-5.55465314341753</t>
  </si>
  <si>
    <t>-30.89639646986180</t>
  </si>
  <si>
    <t>-55.54643594828520</t>
  </si>
  <si>
    <t>-30.89644320577380</t>
  </si>
  <si>
    <t>-55.54633582846210</t>
  </si>
  <si>
    <t>-30.89642732158980</t>
  </si>
  <si>
    <t>-55.54623233974340</t>
  </si>
  <si>
    <t>-30.89614870932930</t>
  </si>
  <si>
    <t>-55.54604816293410</t>
  </si>
  <si>
    <t>-30.89608419696720</t>
  </si>
  <si>
    <t>-55.54599838597370</t>
  </si>
  <si>
    <t>-3.08954899078364</t>
  </si>
  <si>
    <t>-55.54632447022150</t>
  </si>
  <si>
    <t>-30.89555176325860</t>
  </si>
  <si>
    <t>-55.54676895970100</t>
  </si>
  <si>
    <t>-30.89566091296760</t>
  </si>
  <si>
    <t>-55.54687253355460</t>
  </si>
  <si>
    <t>-3.08957953516865</t>
  </si>
  <si>
    <t>-55.54692812863510</t>
  </si>
  <si>
    <t>-30.89585890487330</t>
  </si>
  <si>
    <t>-55.54697456800190</t>
  </si>
  <si>
    <t>-30.89598417578810</t>
  </si>
  <si>
    <t>-55.54705840063220</t>
  </si>
  <si>
    <t>-30.89624851676300</t>
  </si>
  <si>
    <t>-55.54599530465330</t>
  </si>
  <si>
    <t>-30.89644140918610</t>
  </si>
  <si>
    <t>-55.54614112683280</t>
  </si>
  <si>
    <t>-3.08966497835882</t>
  </si>
  <si>
    <t>-55.54596435828820</t>
  </si>
  <si>
    <t>-30.89675928455380</t>
  </si>
  <si>
    <t>-5.55452328516069</t>
  </si>
  <si>
    <t>-30.89627849324250</t>
  </si>
  <si>
    <t>-55.54496052628500</t>
  </si>
  <si>
    <t>-30.89621388391430</t>
  </si>
  <si>
    <t>-55.54503926946520</t>
  </si>
  <si>
    <t>-30.89613707653350</t>
  </si>
  <si>
    <t>-55.54514110243780</t>
  </si>
  <si>
    <t>-30.89606020466730</t>
  </si>
  <si>
    <t>-55.54522477881930</t>
  </si>
  <si>
    <t>-30.89668239536870</t>
  </si>
  <si>
    <t>-55.54517582077340</t>
  </si>
  <si>
    <t>-30.89737195738490</t>
  </si>
  <si>
    <t>-55.54460523161140</t>
  </si>
  <si>
    <t>-30.89740721177870</t>
  </si>
  <si>
    <t>-55.54453406215400</t>
  </si>
  <si>
    <t>-30.89698187309500</t>
  </si>
  <si>
    <t>-55.54412676906230</t>
  </si>
  <si>
    <t>-30.89649113667690</t>
  </si>
  <si>
    <t>-55.54492947365720</t>
  </si>
  <si>
    <t>-30.89675309944370</t>
  </si>
  <si>
    <t>-55.54509465427370</t>
  </si>
  <si>
    <t>-30.89769912666350</t>
  </si>
  <si>
    <t>-55.54397414564790</t>
  </si>
  <si>
    <t>-30.89780988024220</t>
  </si>
  <si>
    <t>-55.54379673009620</t>
  </si>
  <si>
    <t>-30.89772430851990</t>
  </si>
  <si>
    <t>-55.54345207388390</t>
  </si>
  <si>
    <t>-30.89754825903110</t>
  </si>
  <si>
    <t>-0.55543296393345</t>
  </si>
  <si>
    <t>-30.89745512297060</t>
  </si>
  <si>
    <t>-55.54321999896940</t>
  </si>
  <si>
    <t>-30.89713890766150</t>
  </si>
  <si>
    <t>-55.54320336830860</t>
  </si>
  <si>
    <t>-30.89703271963440</t>
  </si>
  <si>
    <t>-55.54351727689750</t>
  </si>
  <si>
    <t>-3.08970009202045</t>
  </si>
  <si>
    <t>-55.54362067991960</t>
  </si>
  <si>
    <t>-30.89689698427320</t>
  </si>
  <si>
    <t>-55.54367714714280</t>
  </si>
  <si>
    <t>-30.89701422079010</t>
  </si>
  <si>
    <t>-55.54401657343300</t>
  </si>
  <si>
    <t>-30.89719519907270</t>
  </si>
  <si>
    <t>-55.54419609387160</t>
  </si>
  <si>
    <t>-30.89736057167140</t>
  </si>
  <si>
    <t>-55.54429657729560</t>
  </si>
  <si>
    <t>-30.89788435764370</t>
  </si>
  <si>
    <t>-55.54342229773320</t>
  </si>
  <si>
    <t>-30.89780313560180</t>
  </si>
  <si>
    <t>-55.54337562480180</t>
  </si>
  <si>
    <t>-30.89743480782180</t>
  </si>
  <si>
    <t>-55.54310174238520</t>
  </si>
  <si>
    <t>-30.89742693892210</t>
  </si>
  <si>
    <t>-55.54303924401840</t>
  </si>
  <si>
    <t>-30.89741485180460</t>
  </si>
  <si>
    <t>-55.54294689089810</t>
  </si>
  <si>
    <t>-30.89749743214230</t>
  </si>
  <si>
    <t>-55.54255859173740</t>
  </si>
  <si>
    <t>-30.89754951521600</t>
  </si>
  <si>
    <t>-55.54244869486380</t>
  </si>
  <si>
    <t>-3.08979495680484</t>
  </si>
  <si>
    <t>-0.55542323014411</t>
  </si>
  <si>
    <t>-30.89835507582840</t>
  </si>
  <si>
    <t>-55.54262727056170</t>
  </si>
  <si>
    <t>-30.89856880162850</t>
  </si>
  <si>
    <t>-55.54391755647040</t>
  </si>
  <si>
    <t>-30.89831369800670</t>
  </si>
  <si>
    <t>-55.54373101802050</t>
  </si>
  <si>
    <t>-30.89825855719350</t>
  </si>
  <si>
    <t>-55.54312280106700</t>
  </si>
  <si>
    <t>-30.89834189837470</t>
  </si>
  <si>
    <t>-55.54296281984540</t>
  </si>
  <si>
    <t>-30.89858970881590</t>
  </si>
  <si>
    <t>-55.54278456405330</t>
  </si>
  <si>
    <t>-30.89877115161780</t>
  </si>
  <si>
    <t>-55.54290520960970</t>
  </si>
  <si>
    <t>-30.89881180710580</t>
  </si>
  <si>
    <t>-55.54293374822450</t>
  </si>
  <si>
    <t>-30.89886631787580</t>
  </si>
  <si>
    <t>-55.54296267882410</t>
  </si>
  <si>
    <t>-30.89894137871870</t>
  </si>
  <si>
    <t>-55.54304072371070</t>
  </si>
  <si>
    <t>-30.89903776114760</t>
  </si>
  <si>
    <t>-55.54308792448230</t>
  </si>
  <si>
    <t>-30.89913369373060</t>
  </si>
  <si>
    <t>-55.54329113120320</t>
  </si>
  <si>
    <t>-30.89909738482640</t>
  </si>
  <si>
    <t>-55.54339070899580</t>
  </si>
  <si>
    <t>-30.89401074057230</t>
  </si>
  <si>
    <t>-55.54886187886540</t>
  </si>
  <si>
    <t>-3.08941288817083</t>
  </si>
  <si>
    <t>-55.54835623562260</t>
  </si>
  <si>
    <t>-30.89395535886510</t>
  </si>
  <si>
    <t>-55.54823120420660</t>
  </si>
  <si>
    <t>-30.89369414561520</t>
  </si>
  <si>
    <t>-55.54804436380160</t>
  </si>
  <si>
    <t>-30.89359543615100</t>
  </si>
  <si>
    <t>-55.54798440927410</t>
  </si>
  <si>
    <t>-30.89353292755660</t>
  </si>
  <si>
    <t>-55.54800635870330</t>
  </si>
  <si>
    <t>-30.89338597770800</t>
  </si>
  <si>
    <t>-55.54825163629430</t>
  </si>
  <si>
    <t>-30.89331952711920</t>
  </si>
  <si>
    <t>-55.54838483124250</t>
  </si>
  <si>
    <t>-30.89314987696180</t>
  </si>
  <si>
    <t>-55.54872922188440</t>
  </si>
  <si>
    <t>-30.89319955864860</t>
  </si>
  <si>
    <t>-5.55488046157355</t>
  </si>
  <si>
    <t>-30.89325968780430</t>
  </si>
  <si>
    <t>-55.54888552292470</t>
  </si>
  <si>
    <t>-30.89330824920430</t>
  </si>
  <si>
    <t>-55.54887602535750</t>
  </si>
  <si>
    <t>-30.89336533130050</t>
  </si>
  <si>
    <t>-55.54892503001720</t>
  </si>
  <si>
    <t>-30.89360285013110</t>
  </si>
  <si>
    <t>-55.54911340306980</t>
  </si>
  <si>
    <t>-30.89392421633440</t>
  </si>
  <si>
    <t>-55.54904901616270</t>
  </si>
  <si>
    <t>-30.89830866776660</t>
  </si>
  <si>
    <t>-55.54486434544980</t>
  </si>
  <si>
    <t>-3.08983851349878</t>
  </si>
  <si>
    <t>-55.54474549801490</t>
  </si>
  <si>
    <t>-30.89848181043040</t>
  </si>
  <si>
    <t>-55.54457419855790</t>
  </si>
  <si>
    <t>-30.89860475036020</t>
  </si>
  <si>
    <t>-55.54434070462770</t>
  </si>
  <si>
    <t>-30.89816904457160</t>
  </si>
  <si>
    <t>-55.54372688277800</t>
  </si>
  <si>
    <t>-30.89774044351660</t>
  </si>
  <si>
    <t>-55.54410839553930</t>
  </si>
  <si>
    <t>-30.89768961214400</t>
  </si>
  <si>
    <t>-55.54453048851400</t>
  </si>
  <si>
    <t>-30.89783473372560</t>
  </si>
  <si>
    <t>-5.55446336597758</t>
  </si>
  <si>
    <t>-30.89801962439090</t>
  </si>
  <si>
    <t>-55.54473946007210</t>
  </si>
  <si>
    <t>-30.89811879081330</t>
  </si>
  <si>
    <t>-55.54480825614890</t>
  </si>
  <si>
    <t>-30.89854009923450</t>
  </si>
  <si>
    <t>-55.54447635071990</t>
  </si>
  <si>
    <t>-30.89815030459080</t>
  </si>
  <si>
    <t>-55.54517287953230</t>
  </si>
  <si>
    <t>-30.89768594632540</t>
  </si>
  <si>
    <t>-55.54463866566630</t>
  </si>
  <si>
    <t>-30.89748295746400</t>
  </si>
  <si>
    <t>-55.54458558503750</t>
  </si>
  <si>
    <t>-30.89742336946460</t>
  </si>
  <si>
    <t>-55.54472630116400</t>
  </si>
  <si>
    <t>-30.89729715666890</t>
  </si>
  <si>
    <t>-55.54495578008320</t>
  </si>
  <si>
    <t>-30.89723184875030</t>
  </si>
  <si>
    <t>-55.54506895334160</t>
  </si>
  <si>
    <t>-30.89716034650130</t>
  </si>
  <si>
    <t>-55.54518241565240</t>
  </si>
  <si>
    <t>-30.89756022611380</t>
  </si>
  <si>
    <t>-55.54568042275050</t>
  </si>
  <si>
    <t>-30.89772460137940</t>
  </si>
  <si>
    <t>-55.54579732850080</t>
  </si>
  <si>
    <t>-30.89742073228770</t>
  </si>
  <si>
    <t>-55.54659257671620</t>
  </si>
  <si>
    <t>-30.89746624016920</t>
  </si>
  <si>
    <t>-55.54652472562570</t>
  </si>
  <si>
    <t>-3.08976332850103</t>
  </si>
  <si>
    <t>-55.54618752564610</t>
  </si>
  <si>
    <t>-30.89766690637490</t>
  </si>
  <si>
    <t>-55.54612787977770</t>
  </si>
  <si>
    <t>-30.89769269746320</t>
  </si>
  <si>
    <t>-55.54604211369470</t>
  </si>
  <si>
    <t>-30.89768275297080</t>
  </si>
  <si>
    <t>-55.54588493406710</t>
  </si>
  <si>
    <t>-30.89759860128340</t>
  </si>
  <si>
    <t>-55.54581099994300</t>
  </si>
  <si>
    <t>-30.89738124006720</t>
  </si>
  <si>
    <t>-55.54567988347170</t>
  </si>
  <si>
    <t>-30.89727320703700</t>
  </si>
  <si>
    <t>-55.54560539670470</t>
  </si>
  <si>
    <t>-30.89711699020510</t>
  </si>
  <si>
    <t>-55.54550368362540</t>
  </si>
  <si>
    <t>-30.89697263472780</t>
  </si>
  <si>
    <t>-55.54553981828480</t>
  </si>
  <si>
    <t>-30.89686297523760</t>
  </si>
  <si>
    <t>-55.54575334446950</t>
  </si>
  <si>
    <t>-30.89680681761320</t>
  </si>
  <si>
    <t>-55.54589349825550</t>
  </si>
  <si>
    <t>-30.89664664742760</t>
  </si>
  <si>
    <t>-55.54618647288330</t>
  </si>
  <si>
    <t>-30.89679810630800</t>
  </si>
  <si>
    <t>-55.54640718376470</t>
  </si>
  <si>
    <t>-30.89707934854080</t>
  </si>
  <si>
    <t>-55.54719044493000</t>
  </si>
  <si>
    <t>-30.89720541061570</t>
  </si>
  <si>
    <t>-55.54699089125920</t>
  </si>
  <si>
    <t>-30.89723836095680</t>
  </si>
  <si>
    <t>-55.54680204378960</t>
  </si>
  <si>
    <t>-30.89717911868180</t>
  </si>
  <si>
    <t>-55.54677039037620</t>
  </si>
  <si>
    <t>-30.89711338597670</t>
  </si>
  <si>
    <t>-55.54671752216000</t>
  </si>
  <si>
    <t>-30.89673498900310</t>
  </si>
  <si>
    <t>-55.54646713296140</t>
  </si>
  <si>
    <t>-30.89688596610200</t>
  </si>
  <si>
    <t>-55.54658675123410</t>
  </si>
  <si>
    <t>-30.89649722415850</t>
  </si>
  <si>
    <t>-55.54647237620210</t>
  </si>
  <si>
    <t>-3.08966839128364</t>
  </si>
  <si>
    <t>-55.54793650102410</t>
  </si>
  <si>
    <t>-30.89672305125860</t>
  </si>
  <si>
    <t>-5.55478405191435</t>
  </si>
  <si>
    <t>-30.89670737955750</t>
  </si>
  <si>
    <t>-55.54769305632750</t>
  </si>
  <si>
    <t>-30.89614254086780</t>
  </si>
  <si>
    <t>-55.54730093357190</t>
  </si>
  <si>
    <t>-30.89592809004750</t>
  </si>
  <si>
    <t>-55.54756458470540</t>
  </si>
  <si>
    <t>-30.89578665881430</t>
  </si>
  <si>
    <t>-55.54784287938060</t>
  </si>
  <si>
    <t>-30.89582993064540</t>
  </si>
  <si>
    <t>-55.54772863026040</t>
  </si>
  <si>
    <t>-30.89592995505530</t>
  </si>
  <si>
    <t>-55.54939503775250</t>
  </si>
  <si>
    <t>-30.89611615580950</t>
  </si>
  <si>
    <t>-55.54852842016100</t>
  </si>
  <si>
    <t>-30.89583372471750</t>
  </si>
  <si>
    <t>-5.55483480927477</t>
  </si>
  <si>
    <t>-30.89571501682150</t>
  </si>
  <si>
    <t>-55.54826733034070</t>
  </si>
  <si>
    <t>-30.89541735110020</t>
  </si>
  <si>
    <t>-55.54850786464260</t>
  </si>
  <si>
    <t>-30.89531380358250</t>
  </si>
  <si>
    <t>-55.54872854331090</t>
  </si>
  <si>
    <t>-30.89526032824520</t>
  </si>
  <si>
    <t>-55.54882826659140</t>
  </si>
  <si>
    <t>-30.89519816571880</t>
  </si>
  <si>
    <t>-55.54899223046400</t>
  </si>
  <si>
    <t>-30.89524061064240</t>
  </si>
  <si>
    <t>-55.54903721962570</t>
  </si>
  <si>
    <t>-30.89523217366100</t>
  </si>
  <si>
    <t>-55.54891351676700</t>
  </si>
  <si>
    <t>-30.89532208757740</t>
  </si>
  <si>
    <t>-55.54908405364440</t>
  </si>
  <si>
    <t>-30.89546447969130</t>
  </si>
  <si>
    <t>-55.54920654728230</t>
  </si>
  <si>
    <t>-3.08955272203068</t>
  </si>
  <si>
    <t>-55.54924609193270</t>
  </si>
  <si>
    <t>-30.89557432915380</t>
  </si>
  <si>
    <t>-55.54926788812100</t>
  </si>
  <si>
    <t>-30.89563598744030</t>
  </si>
  <si>
    <t>-55.54930897547290</t>
  </si>
  <si>
    <t>-30.89568641505860</t>
  </si>
  <si>
    <t>-55.54933994452700</t>
  </si>
  <si>
    <t>-30.89578403222850</t>
  </si>
  <si>
    <t>-55.54942511593780</t>
  </si>
  <si>
    <t>-30.89522976109410</t>
  </si>
  <si>
    <t>-55.54916516533080</t>
  </si>
  <si>
    <t>-30.89514358950440</t>
  </si>
  <si>
    <t>-5.55491082040653</t>
  </si>
  <si>
    <t>-30.89503937950380</t>
  </si>
  <si>
    <t>-5.55491807648668</t>
  </si>
  <si>
    <t>-30.89497351821790</t>
  </si>
  <si>
    <t>-55.54932300944850</t>
  </si>
  <si>
    <t>-30.89470484579360</t>
  </si>
  <si>
    <t>-55.54983750383030</t>
  </si>
  <si>
    <t>-30.89500257957500</t>
  </si>
  <si>
    <t>-55.55010860427550</t>
  </si>
  <si>
    <t>-30.89518659740810</t>
  </si>
  <si>
    <t>-55.55026014302650</t>
  </si>
  <si>
    <t>-30.89545675599440</t>
  </si>
  <si>
    <t>-55.55023285785510</t>
  </si>
  <si>
    <t>-30.89556369655950</t>
  </si>
  <si>
    <t>-55.55002855198900</t>
  </si>
  <si>
    <t>-30.89562829207260</t>
  </si>
  <si>
    <t>-55.54991325649540</t>
  </si>
  <si>
    <t>-30.89648995270850</t>
  </si>
  <si>
    <t>-5.55500494317216</t>
  </si>
  <si>
    <t>-30.89629820274190</t>
  </si>
  <si>
    <t>-55.54991987713580</t>
  </si>
  <si>
    <t>-30.89617174580380</t>
  </si>
  <si>
    <t>-55.54982213868510</t>
  </si>
  <si>
    <t>-30.89596616428050</t>
  </si>
  <si>
    <t>-55.54967423379350</t>
  </si>
  <si>
    <t>-30.89584690953990</t>
  </si>
  <si>
    <t>-55.54974175655080</t>
  </si>
  <si>
    <t>-30.89576196101730</t>
  </si>
  <si>
    <t>-5.55498616568992</t>
  </si>
  <si>
    <t>-30.89550585022000</t>
  </si>
  <si>
    <t>-55.55047372087230</t>
  </si>
  <si>
    <t>-3.08955801552386</t>
  </si>
  <si>
    <t>-55.55053324201730</t>
  </si>
  <si>
    <t>-30.89564538506410</t>
  </si>
  <si>
    <t>-55.55056682919250</t>
  </si>
  <si>
    <t>-30.89568729753610</t>
  </si>
  <si>
    <t>-5.55506055132192</t>
  </si>
  <si>
    <t>-30.89578103391790</t>
  </si>
  <si>
    <t>-55.55066874189360</t>
  </si>
  <si>
    <t>-30.89591464832720</t>
  </si>
  <si>
    <t>-55.55077850620260</t>
  </si>
  <si>
    <t>-30.89598258022310</t>
  </si>
  <si>
    <t>-55.55082802050410</t>
  </si>
  <si>
    <t>-30.89604393881390</t>
  </si>
  <si>
    <t>-55.55088107765600</t>
  </si>
  <si>
    <t>-30.89626588940140</t>
  </si>
  <si>
    <t>-55.55074156915420</t>
  </si>
  <si>
    <t>-30.89668155168140</t>
  </si>
  <si>
    <t>-55.54999593373930</t>
  </si>
  <si>
    <t>-30.89671289214720</t>
  </si>
  <si>
    <t>-55.54993368007800</t>
  </si>
  <si>
    <t>-30.89674394812100</t>
  </si>
  <si>
    <t>-55.54986898493810</t>
  </si>
  <si>
    <t>-30.89677949552330</t>
  </si>
  <si>
    <t>-55.54979987643540</t>
  </si>
  <si>
    <t>-30.89684209474340</t>
  </si>
  <si>
    <t>-55.54968636190510</t>
  </si>
  <si>
    <t>-30.89690642695600</t>
  </si>
  <si>
    <t>-55.54955309805150</t>
  </si>
  <si>
    <t>-30.89624415627830</t>
  </si>
  <si>
    <t>-55.54894073642670</t>
  </si>
  <si>
    <t>-30.89607906297150</t>
  </si>
  <si>
    <t>-55.54928146605790</t>
  </si>
  <si>
    <t>-30.89636043803430</t>
  </si>
  <si>
    <t>-55.54983648234230</t>
  </si>
  <si>
    <t>-30.89643526060910</t>
  </si>
  <si>
    <t>-55.54989870106690</t>
  </si>
  <si>
    <t>-30.89652265127270</t>
  </si>
  <si>
    <t>-55.54995228203790</t>
  </si>
  <si>
    <t>-30.89655484058500</t>
  </si>
  <si>
    <t>-55.54997819903860</t>
  </si>
  <si>
    <t>-30.89660723275130</t>
  </si>
  <si>
    <t>-55.55001985983460</t>
  </si>
  <si>
    <t>-30.89762812552750</t>
  </si>
  <si>
    <t>-0.05554819254715</t>
  </si>
  <si>
    <t>-30.89767343519610</t>
  </si>
  <si>
    <t>-55.54814216113260</t>
  </si>
  <si>
    <t>-3.08977204524666</t>
  </si>
  <si>
    <t>-55.54806761225470</t>
  </si>
  <si>
    <t>-30.89774346727160</t>
  </si>
  <si>
    <t>-55.54800778818870</t>
  </si>
  <si>
    <t>-30.89783452592510</t>
  </si>
  <si>
    <t>-55.54781218352710</t>
  </si>
  <si>
    <t>-30.89801930695640</t>
  </si>
  <si>
    <t>-55.54747320095850</t>
  </si>
  <si>
    <t>-30.89799280856370</t>
  </si>
  <si>
    <t>-55.54736402108620</t>
  </si>
  <si>
    <t>-30.89791018121780</t>
  </si>
  <si>
    <t>-5.55473173469367</t>
  </si>
  <si>
    <t>-30.89783064404420</t>
  </si>
  <si>
    <t>-5.55472561598456</t>
  </si>
  <si>
    <t>-30.89756807296770</t>
  </si>
  <si>
    <t>-55.54705362891600</t>
  </si>
  <si>
    <t>-30.89742726134360</t>
  </si>
  <si>
    <t>-55.54695219473610</t>
  </si>
  <si>
    <t>-30.89720895030150</t>
  </si>
  <si>
    <t>-5.55471426092997</t>
  </si>
  <si>
    <t>-30.89714975556260</t>
  </si>
  <si>
    <t>-55.54726910845470</t>
  </si>
  <si>
    <t>-30.89703953359070</t>
  </si>
  <si>
    <t>-55.54780764498350</t>
  </si>
  <si>
    <t>-3.08972597739194</t>
  </si>
  <si>
    <t>-55.54796987741360</t>
  </si>
  <si>
    <t>-30.89755356937810</t>
  </si>
  <si>
    <t>-5.55481841747111</t>
  </si>
  <si>
    <t>-3.08977725925292</t>
  </si>
  <si>
    <t>-55.54792057482500</t>
  </si>
  <si>
    <t>-30.89778077675730</t>
  </si>
  <si>
    <t>-55.54720123937770</t>
  </si>
  <si>
    <t>-30.89828154918320</t>
  </si>
  <si>
    <t>-5.55469353123754</t>
  </si>
  <si>
    <t>-3.08983585520316</t>
  </si>
  <si>
    <t>-55.54678361946010</t>
  </si>
  <si>
    <t>-30.89832753975460</t>
  </si>
  <si>
    <t>-55.54635760499330</t>
  </si>
  <si>
    <t>-3.08982812230558</t>
  </si>
  <si>
    <t>-55.54631527374080</t>
  </si>
  <si>
    <t>-30.89821420853320</t>
  </si>
  <si>
    <t>-55.54628169564540</t>
  </si>
  <si>
    <t>-30.89814237015550</t>
  </si>
  <si>
    <t>-55.54621886547990</t>
  </si>
  <si>
    <t>-3.08977782546816</t>
  </si>
  <si>
    <t>-55.54609136179780</t>
  </si>
  <si>
    <t>-30.89772225967100</t>
  </si>
  <si>
    <t>-55.54618037039910</t>
  </si>
  <si>
    <t>-30.89765949259340</t>
  </si>
  <si>
    <t>-0.55546304712092</t>
  </si>
  <si>
    <t>-30.89757466511840</t>
  </si>
  <si>
    <t>-55.54648907942530</t>
  </si>
  <si>
    <t>-30.89747530118920</t>
  </si>
  <si>
    <t>-55.54686046094520</t>
  </si>
  <si>
    <t>-30.89763894976740</t>
  </si>
  <si>
    <t>-55.54700240162520</t>
  </si>
  <si>
    <t>-30.89772935856300</t>
  </si>
  <si>
    <t>-55.54706548221490</t>
  </si>
  <si>
    <t>-30.89790583565320</t>
  </si>
  <si>
    <t>-55.54719840066840</t>
  </si>
  <si>
    <t>-30.89798711398110</t>
  </si>
  <si>
    <t>-55.54724290591300</t>
  </si>
  <si>
    <t>-30.89862004033090</t>
  </si>
  <si>
    <t>-55.54631446776680</t>
  </si>
  <si>
    <t>-0.30898682338557</t>
  </si>
  <si>
    <t>-55.54621088963980</t>
  </si>
  <si>
    <t>-30.89875921577940</t>
  </si>
  <si>
    <t>-55.54608716404190</t>
  </si>
  <si>
    <t>-30.89882076916990</t>
  </si>
  <si>
    <t>-55.54596192908210</t>
  </si>
  <si>
    <t>-3.08989016282196</t>
  </si>
  <si>
    <t>-55.54581521318860</t>
  </si>
  <si>
    <t>-3.08989305372322</t>
  </si>
  <si>
    <t>-55.54551647061000</t>
  </si>
  <si>
    <t>-30.89874244499610</t>
  </si>
  <si>
    <t>-55.54540088156720</t>
  </si>
  <si>
    <t>-30.89855352731910</t>
  </si>
  <si>
    <t>-55.54526230108280</t>
  </si>
  <si>
    <t>-30.89826498479220</t>
  </si>
  <si>
    <t>-55.54517697736780</t>
  </si>
  <si>
    <t>-30.89817116590010</t>
  </si>
  <si>
    <t>-55.54532151727960</t>
  </si>
  <si>
    <t>-30.89819620800690</t>
  </si>
  <si>
    <t>-55.54614682891720</t>
  </si>
  <si>
    <t>-30.89828531251550</t>
  </si>
  <si>
    <t>-55.54618438085410</t>
  </si>
  <si>
    <t>-30.89898037220890</t>
  </si>
  <si>
    <t>-55.54567638206420</t>
  </si>
  <si>
    <t>-30.89917411023510</t>
  </si>
  <si>
    <t>-55.54531430846620</t>
  </si>
  <si>
    <t>-30.89920833577140</t>
  </si>
  <si>
    <t>-55.54523109365750</t>
  </si>
  <si>
    <t>-30.89924963051880</t>
  </si>
  <si>
    <t>-0.55545147628094</t>
  </si>
  <si>
    <t>-30.89929152519510</t>
  </si>
  <si>
    <t>-55.54506744616400</t>
  </si>
  <si>
    <t>-3.08993319014541</t>
  </si>
  <si>
    <t>-55.54499460218760</t>
  </si>
  <si>
    <t>-30.89937073713210</t>
  </si>
  <si>
    <t>-55.54492913355590</t>
  </si>
  <si>
    <t>-30.89943969551770</t>
  </si>
  <si>
    <t>-55.54477942895980</t>
  </si>
  <si>
    <t>-30.89940973454520</t>
  </si>
  <si>
    <t>-55.54462769555740</t>
  </si>
  <si>
    <t>-30.89932670355580</t>
  </si>
  <si>
    <t>-55.54457501406490</t>
  </si>
  <si>
    <t>-30.89927353489270</t>
  </si>
  <si>
    <t>-55.54453202108940</t>
  </si>
  <si>
    <t>-30.89920813580600</t>
  </si>
  <si>
    <t>-55.54448209543820</t>
  </si>
  <si>
    <t>-30.89911682112010</t>
  </si>
  <si>
    <t>-55.54441127429350</t>
  </si>
  <si>
    <t>-30.89905996795340</t>
  </si>
  <si>
    <t>-55.54436834506110</t>
  </si>
  <si>
    <t>-30.89873076664950</t>
  </si>
  <si>
    <t>-55.54426785382600</t>
  </si>
  <si>
    <t>-30.89870237315490</t>
  </si>
  <si>
    <t>-55.54432991267120</t>
  </si>
  <si>
    <t>-30.89866571266110</t>
  </si>
  <si>
    <t>-55.54440411899890</t>
  </si>
  <si>
    <t>-30.89861315598160</t>
  </si>
  <si>
    <t>-55.54448788350370</t>
  </si>
  <si>
    <t>-30.89856952277080</t>
  </si>
  <si>
    <t>-55.54455320234820</t>
  </si>
  <si>
    <t>-30.89850383520330</t>
  </si>
  <si>
    <t>-55.54470418768160</t>
  </si>
  <si>
    <t>-30.89843604003640</t>
  </si>
  <si>
    <t>-55.54478816618070</t>
  </si>
  <si>
    <t>-30.89839016434660</t>
  </si>
  <si>
    <t>-55.54492079736550</t>
  </si>
  <si>
    <t>-30.89839749761980</t>
  </si>
  <si>
    <t>-55.54504667377540</t>
  </si>
  <si>
    <t>-3.08984833957337</t>
  </si>
  <si>
    <t>-55.54511165578980</t>
  </si>
  <si>
    <t>-30.89875231449060</t>
  </si>
  <si>
    <t>-55.54528780117770</t>
  </si>
  <si>
    <t>-30.89882038434390</t>
  </si>
  <si>
    <t>-55.54533793637280</t>
  </si>
  <si>
    <t>-30.89888919111760</t>
  </si>
  <si>
    <t>-55.54537380341560</t>
  </si>
  <si>
    <t>-30.89894812433900</t>
  </si>
  <si>
    <t>-55.54542543993910</t>
  </si>
  <si>
    <t>-3.08990043959975</t>
  </si>
  <si>
    <t>-55.54546639612270</t>
  </si>
  <si>
    <t>-30.90014943623640</t>
  </si>
  <si>
    <t>-55.54502655858750</t>
  </si>
  <si>
    <t>-30.90005104662190</t>
  </si>
  <si>
    <t>-55.54496721413470</t>
  </si>
  <si>
    <t>-30.89987817898440</t>
  </si>
  <si>
    <t>-55.54484102836630</t>
  </si>
  <si>
    <t>-30.89980870205470</t>
  </si>
  <si>
    <t>-55.54478240181520</t>
  </si>
  <si>
    <t>-30.89973415531280</t>
  </si>
  <si>
    <t>-55.54472557524980</t>
  </si>
  <si>
    <t>-30.89970512895140</t>
  </si>
  <si>
    <t>-55.54447263805830</t>
  </si>
  <si>
    <t>-30.89976147579360</t>
  </si>
  <si>
    <t>-55.54433854336830</t>
  </si>
  <si>
    <t>-30.89982207993760</t>
  </si>
  <si>
    <t>-55.54423777384590</t>
  </si>
  <si>
    <t>-30.89985704649940</t>
  </si>
  <si>
    <t>-55.54416067750290</t>
  </si>
  <si>
    <t>-3.09000088583824</t>
  </si>
  <si>
    <t>-55.54391183356270</t>
  </si>
  <si>
    <t>-3.09005172632606</t>
  </si>
  <si>
    <t>-5.55441727687238</t>
  </si>
  <si>
    <t>-30.90058209715710</t>
  </si>
  <si>
    <t>-55.54421975204100</t>
  </si>
  <si>
    <t>-30.90060940581190</t>
  </si>
  <si>
    <t>-55.54426783574840</t>
  </si>
  <si>
    <t>-30.90062562419660</t>
  </si>
  <si>
    <t>-55.54431843140910</t>
  </si>
  <si>
    <t>-30.90069277461390</t>
  </si>
  <si>
    <t>-55.54434741595340</t>
  </si>
  <si>
    <t>-30.90065013159220</t>
  </si>
  <si>
    <t>-55.54446888361080</t>
  </si>
  <si>
    <t>-30.90050146771510</t>
  </si>
  <si>
    <t>-55.54479269302860</t>
  </si>
  <si>
    <t>-30.90045763758010</t>
  </si>
  <si>
    <t>-55.54486688193250</t>
  </si>
  <si>
    <t>-30.90012403249920</t>
  </si>
  <si>
    <t>-55.54556034690370</t>
  </si>
  <si>
    <t>-30.90025524797320</t>
  </si>
  <si>
    <t>-55.54529997848610</t>
  </si>
  <si>
    <t>-0.30900010306708</t>
  </si>
  <si>
    <t>-55.54503046115830</t>
  </si>
  <si>
    <t>-30.89989348880720</t>
  </si>
  <si>
    <t>-55.54493150573560</t>
  </si>
  <si>
    <t>-30.89967325093270</t>
  </si>
  <si>
    <t>-55.54478934046350</t>
  </si>
  <si>
    <t>-3.08995357396605</t>
  </si>
  <si>
    <t>-55.54478100745170</t>
  </si>
  <si>
    <t>-30.89946969128220</t>
  </si>
  <si>
    <t>-55.54491987732830</t>
  </si>
  <si>
    <t>-30.89942406019940</t>
  </si>
  <si>
    <t>-55.54501592611050</t>
  </si>
  <si>
    <t>-30.89932947334870</t>
  </si>
  <si>
    <t>-55.54518823979630</t>
  </si>
  <si>
    <t>-30.89928862787630</t>
  </si>
  <si>
    <t>-55.54527948409270</t>
  </si>
  <si>
    <t>-3.08992201157677</t>
  </si>
  <si>
    <t>-55.54541060820260</t>
  </si>
  <si>
    <t>-30.89917733127090</t>
  </si>
  <si>
    <t>-55.54553595432220</t>
  </si>
  <si>
    <t>-30.89953429470540</t>
  </si>
  <si>
    <t>-55.54584349269310</t>
  </si>
  <si>
    <t>-30.89959742922030</t>
  </si>
  <si>
    <t>-55.54590297199040</t>
  </si>
  <si>
    <t>-30.89967779857050</t>
  </si>
  <si>
    <t>-55.54594582152770</t>
  </si>
  <si>
    <t>-30.89947647697550</t>
  </si>
  <si>
    <t>-55.54675223442960</t>
  </si>
  <si>
    <t>-30.89950822527050</t>
  </si>
  <si>
    <t>-55.54667622293300</t>
  </si>
  <si>
    <t>-30.89968825940770</t>
  </si>
  <si>
    <t>-55.54607235692580</t>
  </si>
  <si>
    <t>-30.89963673135110</t>
  </si>
  <si>
    <t>-55.54602441840060</t>
  </si>
  <si>
    <t>-30.89951778857540</t>
  </si>
  <si>
    <t>-55.54594850956640</t>
  </si>
  <si>
    <t>-3.08993336279621</t>
  </si>
  <si>
    <t>-55.54581804213470</t>
  </si>
  <si>
    <t>-30.89913228117340</t>
  </si>
  <si>
    <t>-55.54564817279410</t>
  </si>
  <si>
    <t>-30.89902158522090</t>
  </si>
  <si>
    <t>-55.54577846375450</t>
  </si>
  <si>
    <t>-30.89894455697050</t>
  </si>
  <si>
    <t>-55.54592555734070</t>
  </si>
  <si>
    <t>-30.89890872990350</t>
  </si>
  <si>
    <t>-55.54599397272100</t>
  </si>
  <si>
    <t>-30.89870702970310</t>
  </si>
  <si>
    <t>-0.55546359905343</t>
  </si>
  <si>
    <t>-30.89870246529140</t>
  </si>
  <si>
    <t>-55.54651862999470</t>
  </si>
  <si>
    <t>-30.89878562366470</t>
  </si>
  <si>
    <t>-55.54656369061650</t>
  </si>
  <si>
    <t>-30.89891166704570</t>
  </si>
  <si>
    <t>-55.54663455799330</t>
  </si>
  <si>
    <t>-30.89904693709140</t>
  </si>
  <si>
    <t>-55.54673780931560</t>
  </si>
  <si>
    <t>-30.89926357377560</t>
  </si>
  <si>
    <t>-5.55468895425478</t>
  </si>
  <si>
    <t>-3.08993280737146</t>
  </si>
  <si>
    <t>-55.54694715476870</t>
  </si>
  <si>
    <t>-30.89717455434220</t>
  </si>
  <si>
    <t>-55.54904809048410</t>
  </si>
  <si>
    <t>-30.89713827394510</t>
  </si>
  <si>
    <t>-55.54802024842450</t>
  </si>
  <si>
    <t>-30.89701977494090</t>
  </si>
  <si>
    <t>-55.54793954432340</t>
  </si>
  <si>
    <t>-30.89693180298400</t>
  </si>
  <si>
    <t>-55.54789947634780</t>
  </si>
  <si>
    <t>-30.89683261077680</t>
  </si>
  <si>
    <t>-55.54787049534790</t>
  </si>
  <si>
    <t>-30.89647854668550</t>
  </si>
  <si>
    <t>-55.54852373286760</t>
  </si>
  <si>
    <t>-30.89705126026590</t>
  </si>
  <si>
    <t>-55.54904046185540</t>
  </si>
  <si>
    <t>-30.89881314423170</t>
  </si>
  <si>
    <t>-55.54784538900100</t>
  </si>
  <si>
    <t>-3.08991766491513</t>
  </si>
  <si>
    <t>-55.54697091102090</t>
  </si>
  <si>
    <t>-30.89910889022860</t>
  </si>
  <si>
    <t>-55.54691567579120</t>
  </si>
  <si>
    <t>-30.89901553413420</t>
  </si>
  <si>
    <t>-55.54685162461940</t>
  </si>
  <si>
    <t>-30.89894280027790</t>
  </si>
  <si>
    <t>-55.54679050382460</t>
  </si>
  <si>
    <t>-30.89854001209350</t>
  </si>
  <si>
    <t>-55.54665191307480</t>
  </si>
  <si>
    <t>-30.89850468111540</t>
  </si>
  <si>
    <t>-55.54673476523140</t>
  </si>
  <si>
    <t>-30.89845011977440</t>
  </si>
  <si>
    <t>-55.54682741428850</t>
  </si>
  <si>
    <t>-30.89831511355410</t>
  </si>
  <si>
    <t>-55.54707828134420</t>
  </si>
  <si>
    <t>-3.08984021129434</t>
  </si>
  <si>
    <t>-55.54752132060070</t>
  </si>
  <si>
    <t>-3.08984699107115</t>
  </si>
  <si>
    <t>-55.54868690167100</t>
  </si>
  <si>
    <t>-30.89878917143320</t>
  </si>
  <si>
    <t>-55.54808371962420</t>
  </si>
  <si>
    <t>-30.89867446026590</t>
  </si>
  <si>
    <t>-55.54785196419410</t>
  </si>
  <si>
    <t>-30.89849080615260</t>
  </si>
  <si>
    <t>-55.54770892337040</t>
  </si>
  <si>
    <t>-30.89839736971330</t>
  </si>
  <si>
    <t>-55.54765367149190</t>
  </si>
  <si>
    <t>-30.89824649661070</t>
  </si>
  <si>
    <t>-55.54754507731910</t>
  </si>
  <si>
    <t>-30.89807743551040</t>
  </si>
  <si>
    <t>-55.54758663290500</t>
  </si>
  <si>
    <t>-30.89788805527010</t>
  </si>
  <si>
    <t>-55.54788178717310</t>
  </si>
  <si>
    <t>-30.89785467364130</t>
  </si>
  <si>
    <t>-55.54794061642270</t>
  </si>
  <si>
    <t>-30.89780232645990</t>
  </si>
  <si>
    <t>-55.54804627865990</t>
  </si>
  <si>
    <t>-30.89805660352090</t>
  </si>
  <si>
    <t>-55.54852437895550</t>
  </si>
  <si>
    <t>-30.89824105904820</t>
  </si>
  <si>
    <t>-55.54866128565830</t>
  </si>
  <si>
    <t>-30.89831297998920</t>
  </si>
  <si>
    <t>-55.54872170825540</t>
  </si>
  <si>
    <t>-30.89836778960050</t>
  </si>
  <si>
    <t>-55.54877319038530</t>
  </si>
  <si>
    <t>-30.89754979375760</t>
  </si>
  <si>
    <t>-55.55036502094900</t>
  </si>
  <si>
    <t>-3.08975937015629</t>
  </si>
  <si>
    <t>-55.55030015783290</t>
  </si>
  <si>
    <t>-3.08971104893955</t>
  </si>
  <si>
    <t>-55.54932784251570</t>
  </si>
  <si>
    <t>-3.08970712461262</t>
  </si>
  <si>
    <t>-55.54944867520170</t>
  </si>
  <si>
    <t>-30.89676256527880</t>
  </si>
  <si>
    <t>-55.55002014479360</t>
  </si>
  <si>
    <t>-30.89675837077520</t>
  </si>
  <si>
    <t>-55.55010656877810</t>
  </si>
  <si>
    <t>-30.89680766995170</t>
  </si>
  <si>
    <t>-5.55501690228051</t>
  </si>
  <si>
    <t>-30.89694422133870</t>
  </si>
  <si>
    <t>-55.55026461578110</t>
  </si>
  <si>
    <t>-30.89697368143360</t>
  </si>
  <si>
    <t>-55.55028338279730</t>
  </si>
  <si>
    <t>-30.89703728666550</t>
  </si>
  <si>
    <t>-55.55031945742180</t>
  </si>
  <si>
    <t>-30.89710990835310</t>
  </si>
  <si>
    <t>-5.55503775394648</t>
  </si>
  <si>
    <t>-30.89716952564580</t>
  </si>
  <si>
    <t>-55.55040998324860</t>
  </si>
  <si>
    <t>-30.89723523734980</t>
  </si>
  <si>
    <t>-55.55060273431000</t>
  </si>
  <si>
    <t>-3.08971400061599</t>
  </si>
  <si>
    <t>-55.55051152228650</t>
  </si>
  <si>
    <t>-30.89703780396700</t>
  </si>
  <si>
    <t>-55.55045382092410</t>
  </si>
  <si>
    <t>-30.89695646982620</t>
  </si>
  <si>
    <t>-55.55037825865350</t>
  </si>
  <si>
    <t>-30.89680278122220</t>
  </si>
  <si>
    <t>-55.55028602188920</t>
  </si>
  <si>
    <t>-30.89829756000680</t>
  </si>
  <si>
    <t>-5.55510084316106</t>
  </si>
  <si>
    <t>-30.89842814627350</t>
  </si>
  <si>
    <t>-55.55080408117930</t>
  </si>
  <si>
    <t>-30.89849187822530</t>
  </si>
  <si>
    <t>-55.55062766771930</t>
  </si>
  <si>
    <t>-30.89856567338900</t>
  </si>
  <si>
    <t>-55.55051240586910</t>
  </si>
  <si>
    <t>-30.89860499046930</t>
  </si>
  <si>
    <t>-55.55046303453260</t>
  </si>
  <si>
    <t>-30.89841507509190</t>
  </si>
  <si>
    <t>-55.55018625536250</t>
  </si>
  <si>
    <t>-30.89758986502370</t>
  </si>
  <si>
    <t>-55.55049162161500</t>
  </si>
  <si>
    <t>-3.08975514162065</t>
  </si>
  <si>
    <t>-5.55505616938603</t>
  </si>
  <si>
    <t>-0.30897523033111</t>
  </si>
  <si>
    <t>-55.55061653555180</t>
  </si>
  <si>
    <t>-30.89756338014730</t>
  </si>
  <si>
    <t>-55.55068716035470</t>
  </si>
  <si>
    <t>-30.89761034204740</t>
  </si>
  <si>
    <t>-55.55073122813650</t>
  </si>
  <si>
    <t>-30.89768003096720</t>
  </si>
  <si>
    <t>-55.55077574120370</t>
  </si>
  <si>
    <t>-30.89885215942710</t>
  </si>
  <si>
    <t>-55.54995332273380</t>
  </si>
  <si>
    <t>-30.89890712963290</t>
  </si>
  <si>
    <t>-55.54988440263980</t>
  </si>
  <si>
    <t>-30.89893341424140</t>
  </si>
  <si>
    <t>-55.54980786318890</t>
  </si>
  <si>
    <t>-30.89912085455480</t>
  </si>
  <si>
    <t>-55.54947432892230</t>
  </si>
  <si>
    <t>-30.89818947124640</t>
  </si>
  <si>
    <t>-55.54937640732810</t>
  </si>
  <si>
    <t>-30.89810885178790</t>
  </si>
  <si>
    <t>-55.54985468870550</t>
  </si>
  <si>
    <t>-3.08992554573597</t>
  </si>
  <si>
    <t>-5.55491795153922</t>
  </si>
  <si>
    <t>-30.89947869204500</t>
  </si>
  <si>
    <t>-5.55487825175654</t>
  </si>
  <si>
    <t>-30.89861606012430</t>
  </si>
  <si>
    <t>-55.54856834890690</t>
  </si>
  <si>
    <t>-30.89851023041780</t>
  </si>
  <si>
    <t>-55.54876618543120</t>
  </si>
  <si>
    <t>-30.89854187860700</t>
  </si>
  <si>
    <t>-5.55489091030195</t>
  </si>
  <si>
    <t>-3.08985968349303</t>
  </si>
  <si>
    <t>-55.54892897451080</t>
  </si>
  <si>
    <t>-30.89865285193230</t>
  </si>
  <si>
    <t>-55.54897814015180</t>
  </si>
  <si>
    <t>-3.08987818637889</t>
  </si>
  <si>
    <t>-55.54902823108760</t>
  </si>
  <si>
    <t>-30.89898335688160</t>
  </si>
  <si>
    <t>-55.54918988595780</t>
  </si>
  <si>
    <t>-30.89905087474190</t>
  </si>
  <si>
    <t>-55.54925353580980</t>
  </si>
  <si>
    <t>-30.89911811253230</t>
  </si>
  <si>
    <t>-5.55492916155081</t>
  </si>
  <si>
    <t>-30.90022690015000</t>
  </si>
  <si>
    <t>-55.54739630000000</t>
  </si>
  <si>
    <t>-30.90025148321220</t>
  </si>
  <si>
    <t>-55.54733397133630</t>
  </si>
  <si>
    <t>-30.90031801255610</t>
  </si>
  <si>
    <t>-55.54721462128960</t>
  </si>
  <si>
    <t>-30.90036978994280</t>
  </si>
  <si>
    <t>-55.54709651603940</t>
  </si>
  <si>
    <t>-30.90050381931940</t>
  </si>
  <si>
    <t>-55.54684442081160</t>
  </si>
  <si>
    <t>-30.90039654624870</t>
  </si>
  <si>
    <t>-55.54657652343080</t>
  </si>
  <si>
    <t>-30.90029980942090</t>
  </si>
  <si>
    <t>-55.54651856282010</t>
  </si>
  <si>
    <t>-30.89984747610610</t>
  </si>
  <si>
    <t>-55.54624379312680</t>
  </si>
  <si>
    <t>-30.89980423516860</t>
  </si>
  <si>
    <t>-55.54631867399160</t>
  </si>
  <si>
    <t>-30.89975522092340</t>
  </si>
  <si>
    <t>-55.54641996524030</t>
  </si>
  <si>
    <t>-30.89970832174500</t>
  </si>
  <si>
    <t>-55.54651337073570</t>
  </si>
  <si>
    <t>-30.89956182896880</t>
  </si>
  <si>
    <t>-55.54677772699090</t>
  </si>
  <si>
    <t>-30.89951477849300</t>
  </si>
  <si>
    <t>-0.55546894498541</t>
  </si>
  <si>
    <t>-30.89950876740150</t>
  </si>
  <si>
    <t>-55.54709445005650</t>
  </si>
  <si>
    <t>-30.89962364152340</t>
  </si>
  <si>
    <t>-55.54715972190110</t>
  </si>
  <si>
    <t>-30.89969082844640</t>
  </si>
  <si>
    <t>-55.54721220340010</t>
  </si>
  <si>
    <t>-30.89985169495620</t>
  </si>
  <si>
    <t>-55.54732427240710</t>
  </si>
  <si>
    <t>-30.89992751493240</t>
  </si>
  <si>
    <t>-55.54736411490700</t>
  </si>
  <si>
    <t>-30.89998965135910</t>
  </si>
  <si>
    <t>-55.54742239439190</t>
  </si>
  <si>
    <t>-30.90003808286560</t>
  </si>
  <si>
    <t>-55.54745684155530</t>
  </si>
  <si>
    <t>-30.90009034531840</t>
  </si>
  <si>
    <t>-55.54749166609230</t>
  </si>
  <si>
    <t>-30.90072348762860</t>
  </si>
  <si>
    <t>-55.54646226601530</t>
  </si>
  <si>
    <t>-30.90079928189800</t>
  </si>
  <si>
    <t>-5.55462860963946</t>
  </si>
  <si>
    <t>-30.90087900925850</t>
  </si>
  <si>
    <t>-55.54614289304670</t>
  </si>
  <si>
    <t>-30.90094508536190</t>
  </si>
  <si>
    <t>-55.54605857252340</t>
  </si>
  <si>
    <t>-30.90076519089690</t>
  </si>
  <si>
    <t>-55.54559175774900</t>
  </si>
  <si>
    <t>-30.90044705506160</t>
  </si>
  <si>
    <t>-55.54535969041370</t>
  </si>
  <si>
    <t>-3.09001990807319</t>
  </si>
  <si>
    <t>-55.54560900874910</t>
  </si>
  <si>
    <t>-30.90008912397000</t>
  </si>
  <si>
    <t>-55.54581854601400</t>
  </si>
  <si>
    <t>-3.09001448341395</t>
  </si>
  <si>
    <t>-55.54569010197030</t>
  </si>
  <si>
    <t>-30.90003796267030</t>
  </si>
  <si>
    <t>-55.54589840622990</t>
  </si>
  <si>
    <t>-30.90000742130880</t>
  </si>
  <si>
    <t>-55.54595685848340</t>
  </si>
  <si>
    <t>-30.89995440575960</t>
  </si>
  <si>
    <t>-55.54604928454840</t>
  </si>
  <si>
    <t>-30.90005837509140</t>
  </si>
  <si>
    <t>-55.54621566492100</t>
  </si>
  <si>
    <t>-30.90011022007040</t>
  </si>
  <si>
    <t>-5.55462562786247</t>
  </si>
  <si>
    <t>-30.90018742647790</t>
  </si>
  <si>
    <t>-55.54632229000420</t>
  </si>
  <si>
    <t>-30.90029676632890</t>
  </si>
  <si>
    <t>-55.54640132711790</t>
  </si>
  <si>
    <t>-30.90043983356120</t>
  </si>
  <si>
    <t>-55.54647586693740</t>
  </si>
  <si>
    <t>-30.89794130526930</t>
  </si>
  <si>
    <t>-55.54967625020190</t>
  </si>
  <si>
    <t>-30.89805106611440</t>
  </si>
  <si>
    <t>-55.54945921177690</t>
  </si>
  <si>
    <t>-30.89803883210690</t>
  </si>
  <si>
    <t>-55.54865768661870</t>
  </si>
  <si>
    <t>-30.89789179455810</t>
  </si>
  <si>
    <t>-55.54853775149790</t>
  </si>
  <si>
    <t>-3.08977303405111</t>
  </si>
  <si>
    <t>-5.55484298125264</t>
  </si>
  <si>
    <t>-30.89759741308620</t>
  </si>
  <si>
    <t>-55.54844989436030</t>
  </si>
  <si>
    <t>-30.89749719388890</t>
  </si>
  <si>
    <t>-55.54864218582550</t>
  </si>
  <si>
    <t>-30.90077602140050</t>
  </si>
  <si>
    <t>-55.54448610968820</t>
  </si>
  <si>
    <t>-30.90091992316940</t>
  </si>
  <si>
    <t>-55.54556637763210</t>
  </si>
  <si>
    <t>-30.90078284666970</t>
  </si>
  <si>
    <t>-5.55454847961787</t>
  </si>
  <si>
    <t>-30.90066887075530</t>
  </si>
  <si>
    <t>-55.54541497517930</t>
  </si>
  <si>
    <t>-30.90057090604810</t>
  </si>
  <si>
    <t>-55.54534097304510</t>
  </si>
  <si>
    <t>-30.90125740153380</t>
  </si>
  <si>
    <t>-5.55446943920291</t>
  </si>
  <si>
    <t>-30.90121639259590</t>
  </si>
  <si>
    <t>-55.54544794373940</t>
  </si>
  <si>
    <t>-30.90115902662340</t>
  </si>
  <si>
    <t>-55.54558590540540</t>
  </si>
  <si>
    <t>-30.90139605358540</t>
  </si>
  <si>
    <t>-55.54715634890870</t>
  </si>
  <si>
    <t>-30.90158944646880</t>
  </si>
  <si>
    <t>-55.54684604126470</t>
  </si>
  <si>
    <t>-30.90181508834570</t>
  </si>
  <si>
    <t>-55.54641885393800</t>
  </si>
  <si>
    <t>-30.90178057777320</t>
  </si>
  <si>
    <t>-55.54631372884790</t>
  </si>
  <si>
    <t>-30.90145302068170</t>
  </si>
  <si>
    <t>-55.54606712064060</t>
  </si>
  <si>
    <t>-30.90097729883570</t>
  </si>
  <si>
    <t>-55.54616398387550</t>
  </si>
  <si>
    <t>-30.90087838518900</t>
  </si>
  <si>
    <t>-55.54635329284560</t>
  </si>
  <si>
    <t>-30.90079111822590</t>
  </si>
  <si>
    <t>-55.54652606621710</t>
  </si>
  <si>
    <t>-30.90102683179450</t>
  </si>
  <si>
    <t>-55.54690465824300</t>
  </si>
  <si>
    <t>-30.90111217363900</t>
  </si>
  <si>
    <t>-55.54694506999160</t>
  </si>
  <si>
    <t>-30.90129728568280</t>
  </si>
  <si>
    <t>-55.54709356730340</t>
  </si>
  <si>
    <t>-30.90134636581880</t>
  </si>
  <si>
    <t>-55.54712999750500</t>
  </si>
  <si>
    <t>-30.90102267120140</t>
  </si>
  <si>
    <t>-55.54785120409020</t>
  </si>
  <si>
    <t>-0.30901254873192</t>
  </si>
  <si>
    <t>-55.54717720076020</t>
  </si>
  <si>
    <t>-30.90118743536940</t>
  </si>
  <si>
    <t>-55.54712812599250</t>
  </si>
  <si>
    <t>-30.90111231575400</t>
  </si>
  <si>
    <t>-55.54708688200220</t>
  </si>
  <si>
    <t>-30.90079788314700</t>
  </si>
  <si>
    <t>-55.54686768168900</t>
  </si>
  <si>
    <t>-30.90057558189640</t>
  </si>
  <si>
    <t>-55.54691893669880</t>
  </si>
  <si>
    <t>-3.09004735489826</t>
  </si>
  <si>
    <t>-55.54710223877040</t>
  </si>
  <si>
    <t>-3.09003125727716</t>
  </si>
  <si>
    <t>-0.05554741732842</t>
  </si>
  <si>
    <t>-30.90025395311350</t>
  </si>
  <si>
    <t>-55.54754465211220</t>
  </si>
  <si>
    <t>-30.90032312574490</t>
  </si>
  <si>
    <t>-55.54767666830830</t>
  </si>
  <si>
    <t>-30.90049922845660</t>
  </si>
  <si>
    <t>-55.54778651796920</t>
  </si>
  <si>
    <t>-30.90102849289290</t>
  </si>
  <si>
    <t>-55.54702127296950</t>
  </si>
  <si>
    <t>-30.90084290352130</t>
  </si>
  <si>
    <t>-55.54826921092310</t>
  </si>
  <si>
    <t>-30.90085232310440</t>
  </si>
  <si>
    <t>-5.55481408023943</t>
  </si>
  <si>
    <t>-30.90075662980730</t>
  </si>
  <si>
    <t>-55.54809449575920</t>
  </si>
  <si>
    <t>-30.90064427131060</t>
  </si>
  <si>
    <t>-55.54800945737330</t>
  </si>
  <si>
    <t>-30.90046800379940</t>
  </si>
  <si>
    <t>-55.54786901273100</t>
  </si>
  <si>
    <t>-30.90030055670780</t>
  </si>
  <si>
    <t>-55.54775086232260</t>
  </si>
  <si>
    <t>-30.89980604195160</t>
  </si>
  <si>
    <t>-55.54853553658660</t>
  </si>
  <si>
    <t>-30.90000603750810</t>
  </si>
  <si>
    <t>-55.54868595839710</t>
  </si>
  <si>
    <t>-3.09005870898695</t>
  </si>
  <si>
    <t>-0.55547954759556</t>
  </si>
  <si>
    <t>-30.89998128215450</t>
  </si>
  <si>
    <t>-55.54984283710540</t>
  </si>
  <si>
    <t>-30.90002908093660</t>
  </si>
  <si>
    <t>-55.54977201122950</t>
  </si>
  <si>
    <t>-30.90005287706930</t>
  </si>
  <si>
    <t>-55.54971591007410</t>
  </si>
  <si>
    <t>-30.90028027531910</t>
  </si>
  <si>
    <t>-55.54898884151700</t>
  </si>
  <si>
    <t>-3.09002066865656</t>
  </si>
  <si>
    <t>-55.54893749767410</t>
  </si>
  <si>
    <t>-30.90007222139880</t>
  </si>
  <si>
    <t>-5.55488361832499</t>
  </si>
  <si>
    <t>-30.89997909788810</t>
  </si>
  <si>
    <t>-55.54877617666440</t>
  </si>
  <si>
    <t>-3.08996246226769</t>
  </si>
  <si>
    <t>-55.54871137974510</t>
  </si>
  <si>
    <t>-30.89957007957400</t>
  </si>
  <si>
    <t>-55.54877426061050</t>
  </si>
  <si>
    <t>-30.89951005944710</t>
  </si>
  <si>
    <t>-55.54889986636010</t>
  </si>
  <si>
    <t>-30.89944087996550</t>
  </si>
  <si>
    <t>-55.54902215976300</t>
  </si>
  <si>
    <t>-30.89935849173290</t>
  </si>
  <si>
    <t>-55.54915413207070</t>
  </si>
  <si>
    <t>-30.89954784469070</t>
  </si>
  <si>
    <t>-55.54883780983490</t>
  </si>
  <si>
    <t>-30.89928660356990</t>
  </si>
  <si>
    <t>-5.55493442807099</t>
  </si>
  <si>
    <t>-30.89935556762020</t>
  </si>
  <si>
    <t>-55.54945673030980</t>
  </si>
  <si>
    <t>-30.89943731548700</t>
  </si>
  <si>
    <t>-55.54952289790490</t>
  </si>
  <si>
    <t>-30.89965013606890</t>
  </si>
  <si>
    <t>-55.55054086231890</t>
  </si>
  <si>
    <t>-30.89967890995150</t>
  </si>
  <si>
    <t>-55.55044388334020</t>
  </si>
  <si>
    <t>-30.89947865094490</t>
  </si>
  <si>
    <t>-5.55496741639624</t>
  </si>
  <si>
    <t>-30.89913156033580</t>
  </si>
  <si>
    <t>-55.54957388339600</t>
  </si>
  <si>
    <t>-30.89902536139590</t>
  </si>
  <si>
    <t>-55.54985074806780</t>
  </si>
  <si>
    <t>-30.89894552041960</t>
  </si>
  <si>
    <t>-5.55500352666887</t>
  </si>
  <si>
    <t>-30.89882833492160</t>
  </si>
  <si>
    <t>-55.55018700723310</t>
  </si>
  <si>
    <t>-3.08986737146757</t>
  </si>
  <si>
    <t>-55.55048820498920</t>
  </si>
  <si>
    <t>-30.89864035794900</t>
  </si>
  <si>
    <t>-55.55055305549800</t>
  </si>
  <si>
    <t>-30.89844630904160</t>
  </si>
  <si>
    <t>-55.55093390912570</t>
  </si>
  <si>
    <t>-30.89839955125010</t>
  </si>
  <si>
    <t>-55.55101419508860</t>
  </si>
  <si>
    <t>-30.89862435289130</t>
  </si>
  <si>
    <t>-55.55141924909870</t>
  </si>
  <si>
    <t>-30.89872743104970</t>
  </si>
  <si>
    <t>-55.55151913450970</t>
  </si>
  <si>
    <t>-30.89979383625110</t>
  </si>
  <si>
    <t>-55.55218215680590</t>
  </si>
  <si>
    <t>-3.08998775756788</t>
  </si>
  <si>
    <t>-55.55206014186210</t>
  </si>
  <si>
    <t>-30.90009131602380</t>
  </si>
  <si>
    <t>-55.55168305492430</t>
  </si>
  <si>
    <t>-30.89912704333380</t>
  </si>
  <si>
    <t>-55.55180591601400</t>
  </si>
  <si>
    <t>-30.89929323133080</t>
  </si>
  <si>
    <t>-55.55193799524250</t>
  </si>
  <si>
    <t>-30.89942703347890</t>
  </si>
  <si>
    <t>-55.55203456655900</t>
  </si>
  <si>
    <t>-30.89963508667780</t>
  </si>
  <si>
    <t>-55.55213820472360</t>
  </si>
  <si>
    <t>-30.90037238378080</t>
  </si>
  <si>
    <t>-5.55511758180244</t>
  </si>
  <si>
    <t>-30.90045917711260</t>
  </si>
  <si>
    <t>-55.55104061969350</t>
  </si>
  <si>
    <t>-30.90053120036430</t>
  </si>
  <si>
    <t>-55.55090765224200</t>
  </si>
  <si>
    <t>-30.90058795289820</t>
  </si>
  <si>
    <t>-55.55079876224630</t>
  </si>
  <si>
    <t>-30.89997585963270</t>
  </si>
  <si>
    <t>-55.55116257098780</t>
  </si>
  <si>
    <t>-30.90078995801800</t>
  </si>
  <si>
    <t>-55.55042161874530</t>
  </si>
  <si>
    <t>-30.90107968177360</t>
  </si>
  <si>
    <t>-55.54988138274730</t>
  </si>
  <si>
    <t>-30.90083538838350</t>
  </si>
  <si>
    <t>-55.54938441006740</t>
  </si>
  <si>
    <t>-3.09006140966996</t>
  </si>
  <si>
    <t>-55.54924140222950</t>
  </si>
  <si>
    <t>-30.90039235759030</t>
  </si>
  <si>
    <t>-5.55492838435995</t>
  </si>
  <si>
    <t>-30.90029540563390</t>
  </si>
  <si>
    <t>-55.54945942633860</t>
  </si>
  <si>
    <t>-3.09002257252994</t>
  </si>
  <si>
    <t>-55.54960356766100</t>
  </si>
  <si>
    <t>-30.90149215568630</t>
  </si>
  <si>
    <t>-55.54903426500820</t>
  </si>
  <si>
    <t>-30.90154829237310</t>
  </si>
  <si>
    <t>-55.54893956273160</t>
  </si>
  <si>
    <t>-3.09015938609638</t>
  </si>
  <si>
    <t>-55.54886502407150</t>
  </si>
  <si>
    <t>-30.90163542632710</t>
  </si>
  <si>
    <t>-55.54878980809710</t>
  </si>
  <si>
    <t>-30.90161892850840</t>
  </si>
  <si>
    <t>-55.54871688021940</t>
  </si>
  <si>
    <t>-30.90153050214140</t>
  </si>
  <si>
    <t>-55.54866909102290</t>
  </si>
  <si>
    <t>-30.90073905832250</t>
  </si>
  <si>
    <t>-55.54865054668430</t>
  </si>
  <si>
    <t>-30.90062698456340</t>
  </si>
  <si>
    <t>-55.54911111451570</t>
  </si>
  <si>
    <t>-30.90184066089520</t>
  </si>
  <si>
    <t>-5.55484276084322</t>
  </si>
  <si>
    <t>-30.90185041477330</t>
  </si>
  <si>
    <t>-55.54761627376220</t>
  </si>
  <si>
    <t>-30.90168216190820</t>
  </si>
  <si>
    <t>-55.54749513291080</t>
  </si>
  <si>
    <t>-30.90159029862270</t>
  </si>
  <si>
    <t>-55.54741873617810</t>
  </si>
  <si>
    <t>-30.90150541452690</t>
  </si>
  <si>
    <t>-55.54734189820250</t>
  </si>
  <si>
    <t>-30.90120485059710</t>
  </si>
  <si>
    <t>-55.54828470978000</t>
  </si>
  <si>
    <t>-30.90139113597350</t>
  </si>
  <si>
    <t>-55.54842799916660</t>
  </si>
  <si>
    <t>-30.90217183819360</t>
  </si>
  <si>
    <t>-55.54766183789150</t>
  </si>
  <si>
    <t>-30.90233788829370</t>
  </si>
  <si>
    <t>-55.54747101151910</t>
  </si>
  <si>
    <t>-30.90237301790990</t>
  </si>
  <si>
    <t>-55.54739285814970</t>
  </si>
  <si>
    <t>-30.90242764547560</t>
  </si>
  <si>
    <t>-55.54729401794110</t>
  </si>
  <si>
    <t>-30.90250731034870</t>
  </si>
  <si>
    <t>-55.54715468666090</t>
  </si>
  <si>
    <t>-3.09025731129857</t>
  </si>
  <si>
    <t>-55.54707481636320</t>
  </si>
  <si>
    <t>-0.30902020269897</t>
  </si>
  <si>
    <t>-55.54760992478860</t>
  </si>
  <si>
    <t>-30.90171092390040</t>
  </si>
  <si>
    <t>-55.54734960959380</t>
  </si>
  <si>
    <t>-30.90259329747530</t>
  </si>
  <si>
    <t>-5.55469994902858</t>
  </si>
  <si>
    <t>-3.09032639455779</t>
  </si>
  <si>
    <t>-5.55472612082166</t>
  </si>
  <si>
    <t>-30.90318907458940</t>
  </si>
  <si>
    <t>-55.54719126592090</t>
  </si>
  <si>
    <t>-30.90306496938990</t>
  </si>
  <si>
    <t>-5.55471162796069</t>
  </si>
  <si>
    <t>-3.09036378310495</t>
  </si>
  <si>
    <t>-5.55487574718684</t>
  </si>
  <si>
    <t>-30.90382915717130</t>
  </si>
  <si>
    <t>-55.54872654815870</t>
  </si>
  <si>
    <t>-30.90407066110520</t>
  </si>
  <si>
    <t>-55.54828140927580</t>
  </si>
  <si>
    <t>-30.90415374431020</t>
  </si>
  <si>
    <t>-55.54809981479280</t>
  </si>
  <si>
    <t>-30.90410920846290</t>
  </si>
  <si>
    <t>-55.54816099301500</t>
  </si>
  <si>
    <t>-3.09040674249986</t>
  </si>
  <si>
    <t>-55.54794587661140</t>
  </si>
  <si>
    <t>-30.90399968349780</t>
  </si>
  <si>
    <t>-55.54790183949820</t>
  </si>
  <si>
    <t>-30.90392822555250</t>
  </si>
  <si>
    <t>-55.54784736917970</t>
  </si>
  <si>
    <t>-30.90345896258580</t>
  </si>
  <si>
    <t>-55.54758712007270</t>
  </si>
  <si>
    <t>-30.90341396924080</t>
  </si>
  <si>
    <t>-55.54768472481010</t>
  </si>
  <si>
    <t>-30.90336859716660</t>
  </si>
  <si>
    <t>-55.54777419520120</t>
  </si>
  <si>
    <t>-30.90327193489810</t>
  </si>
  <si>
    <t>-55.54796480531640</t>
  </si>
  <si>
    <t>-30.90307967550290</t>
  </si>
  <si>
    <t>-55.54829951825760</t>
  </si>
  <si>
    <t>-30.90311858335530</t>
  </si>
  <si>
    <t>-55.54841817290130</t>
  </si>
  <si>
    <t>-30.90383317437540</t>
  </si>
  <si>
    <t>-55.54779501852350</t>
  </si>
  <si>
    <t>-30.90411809908080</t>
  </si>
  <si>
    <t>-55.54797028402350</t>
  </si>
  <si>
    <t>-30.90338508326110</t>
  </si>
  <si>
    <t>-55.54745749848960</t>
  </si>
  <si>
    <t>-30.90327865331870</t>
  </si>
  <si>
    <t>-55.54739206228840</t>
  </si>
  <si>
    <t>-3.09031496955958</t>
  </si>
  <si>
    <t>-55.54728224031660</t>
  </si>
  <si>
    <t>-30.90301527341980</t>
  </si>
  <si>
    <t>-55.54720539634310</t>
  </si>
  <si>
    <t>-30.90291772062180</t>
  </si>
  <si>
    <t>-55.54712245516940</t>
  </si>
  <si>
    <t>-30.90285164770090</t>
  </si>
  <si>
    <t>-55.54707956840720</t>
  </si>
  <si>
    <t>-30.90271327599810</t>
  </si>
  <si>
    <t>-5.55481206204282</t>
  </si>
  <si>
    <t>-30.90233505413200</t>
  </si>
  <si>
    <t>-55.54784959379700</t>
  </si>
  <si>
    <t>-30.90253031358340</t>
  </si>
  <si>
    <t>-55.54910627487540</t>
  </si>
  <si>
    <t>-30.90292391959430</t>
  </si>
  <si>
    <t>-55.54844679800340</t>
  </si>
  <si>
    <t>-30.90201188681420</t>
  </si>
  <si>
    <t>-55.54826462051320</t>
  </si>
  <si>
    <t>-30.90185087979870</t>
  </si>
  <si>
    <t>-55.54875581231030</t>
  </si>
  <si>
    <t>-30.90202056818950</t>
  </si>
  <si>
    <t>-55.54886874997320</t>
  </si>
  <si>
    <t>-30.90228799299220</t>
  </si>
  <si>
    <t>-55.54905846262640</t>
  </si>
  <si>
    <t>-30.90238524580050</t>
  </si>
  <si>
    <t>-55.54913451077650</t>
  </si>
  <si>
    <t>-30.90287279640650</t>
  </si>
  <si>
    <t>-55.54834334920470</t>
  </si>
  <si>
    <t>-30.90222990043800</t>
  </si>
  <si>
    <t>-55.54971667399220</t>
  </si>
  <si>
    <t>-30.90151271820540</t>
  </si>
  <si>
    <t>-5.55492409873233</t>
  </si>
  <si>
    <t>-30.90149012085490</t>
  </si>
  <si>
    <t>-5.55497380753938</t>
  </si>
  <si>
    <t>-30.90176226347390</t>
  </si>
  <si>
    <t>-55.54994164548890</t>
  </si>
  <si>
    <t>-30.90147032723020</t>
  </si>
  <si>
    <t>-55.55096984604700</t>
  </si>
  <si>
    <t>-30.90179411436560</t>
  </si>
  <si>
    <t>-55.55056789648920</t>
  </si>
  <si>
    <t>-30.90182635966080</t>
  </si>
  <si>
    <t>-55.55043915365460</t>
  </si>
  <si>
    <t>-30.90188476832980</t>
  </si>
  <si>
    <t>-55.55013475738580</t>
  </si>
  <si>
    <t>-30.90180796548570</t>
  </si>
  <si>
    <t>-55.55009045313550</t>
  </si>
  <si>
    <t>-30.90165268149330</t>
  </si>
  <si>
    <t>-55.54998876558960</t>
  </si>
  <si>
    <t>-30.90156950149010</t>
  </si>
  <si>
    <t>-55.54992276132470</t>
  </si>
  <si>
    <t>-30.90119848801720</t>
  </si>
  <si>
    <t>-55.54981007374560</t>
  </si>
  <si>
    <t>-30.90087025717310</t>
  </si>
  <si>
    <t>-55.55048163266470</t>
  </si>
  <si>
    <t>-30.90089452535080</t>
  </si>
  <si>
    <t>-55.55058127296750</t>
  </si>
  <si>
    <t>-30.90095899423950</t>
  </si>
  <si>
    <t>-55.55061422307540</t>
  </si>
  <si>
    <t>-30.90104022084080</t>
  </si>
  <si>
    <t>-55.55064634942090</t>
  </si>
  <si>
    <t>-30.90117977327090</t>
  </si>
  <si>
    <t>-5.55517727374463</t>
  </si>
  <si>
    <t>-30.90066492398710</t>
  </si>
  <si>
    <t>-55.55080250337130</t>
  </si>
  <si>
    <t>-30.90060261978380</t>
  </si>
  <si>
    <t>-55.55098992471820</t>
  </si>
  <si>
    <t>-30.90050759506560</t>
  </si>
  <si>
    <t>-55.55109392349520</t>
  </si>
  <si>
    <t>-30.90043620465650</t>
  </si>
  <si>
    <t>-55.55126222643210</t>
  </si>
  <si>
    <t>-30.90035275190150</t>
  </si>
  <si>
    <t>-55.55137451808830</t>
  </si>
  <si>
    <t>-30.90050834443570</t>
  </si>
  <si>
    <t>-55.55155084909560</t>
  </si>
  <si>
    <t>-30.90063188700680</t>
  </si>
  <si>
    <t>-55.55161716017140</t>
  </si>
  <si>
    <t>-30.90076679078040</t>
  </si>
  <si>
    <t>-55.55174628902110</t>
  </si>
  <si>
    <t>-30.90082711673620</t>
  </si>
  <si>
    <t>-55.55176388959440</t>
  </si>
  <si>
    <t>-30.90089470862170</t>
  </si>
  <si>
    <t>-55.55182727415260</t>
  </si>
  <si>
    <t>-30.90094640379320</t>
  </si>
  <si>
    <t>-55.55186712844210</t>
  </si>
  <si>
    <t>-30.90102710746960</t>
  </si>
  <si>
    <t>-55.55188791790980</t>
  </si>
  <si>
    <t>-30.90075184524190</t>
  </si>
  <si>
    <t>-55.55264164296120</t>
  </si>
  <si>
    <t>-30.90088647087030</t>
  </si>
  <si>
    <t>-55.55221299344320</t>
  </si>
  <si>
    <t>-30.90094246100260</t>
  </si>
  <si>
    <t>-55.55211335674840</t>
  </si>
  <si>
    <t>-30.90086194649450</t>
  </si>
  <si>
    <t>-55.55191449559960</t>
  </si>
  <si>
    <t>-30.90060291925830</t>
  </si>
  <si>
    <t>-55.55173855257070</t>
  </si>
  <si>
    <t>-30.90047134488900</t>
  </si>
  <si>
    <t>-55.55274292838350</t>
  </si>
  <si>
    <t>-30.90011393114010</t>
  </si>
  <si>
    <t>-55.55266202812640</t>
  </si>
  <si>
    <t>-30.89944098507050</t>
  </si>
  <si>
    <t>-55.55308636386490</t>
  </si>
  <si>
    <t>-30.89941180721150</t>
  </si>
  <si>
    <t>-55.55314963457350</t>
  </si>
  <si>
    <t>-30.89940514385890</t>
  </si>
  <si>
    <t>-5.55532712072592</t>
  </si>
  <si>
    <t>-30.89967004553970</t>
  </si>
  <si>
    <t>-55.55343792196400</t>
  </si>
  <si>
    <t>-30.89983401611100</t>
  </si>
  <si>
    <t>-55.55358007884000</t>
  </si>
  <si>
    <t>-30.89998957569180</t>
  </si>
  <si>
    <t>-55.55369213433070</t>
  </si>
  <si>
    <t>-30.90003898401260</t>
  </si>
  <si>
    <t>-55.55372290737550</t>
  </si>
  <si>
    <t>-30.90033949761340</t>
  </si>
  <si>
    <t>-55.55321404294710</t>
  </si>
  <si>
    <t>-30.90036875415520</t>
  </si>
  <si>
    <t>-55.55316265225020</t>
  </si>
  <si>
    <t>-30.90143642338610</t>
  </si>
  <si>
    <t>-55.55323320078700</t>
  </si>
  <si>
    <t>-30.90151924341140</t>
  </si>
  <si>
    <t>-55.55301567648640</t>
  </si>
  <si>
    <t>-30.90169346375740</t>
  </si>
  <si>
    <t>-55.55251851697940</t>
  </si>
  <si>
    <t>-30.90106098306900</t>
  </si>
  <si>
    <t>-55.55318509965500</t>
  </si>
  <si>
    <t>-30.90119992714600</t>
  </si>
  <si>
    <t>-55.55327501331200</t>
  </si>
  <si>
    <t>-30.90127959810730</t>
  </si>
  <si>
    <t>-5.55533160182265</t>
  </si>
  <si>
    <t>-3.09018569012807</t>
  </si>
  <si>
    <t>-5.55524065739402</t>
  </si>
  <si>
    <t>-30.90199486163390</t>
  </si>
  <si>
    <t>-55.55214521904170</t>
  </si>
  <si>
    <t>-3.09021213556524</t>
  </si>
  <si>
    <t>-55.55158576226200</t>
  </si>
  <si>
    <t>-30.90229770920330</t>
  </si>
  <si>
    <t>-55.55156848766790</t>
  </si>
  <si>
    <t>-30.90237516604060</t>
  </si>
  <si>
    <t>-55.55146590523220</t>
  </si>
  <si>
    <t>-30.90269647674200</t>
  </si>
  <si>
    <t>-55.55083296690720</t>
  </si>
  <si>
    <t>-30.90268211339290</t>
  </si>
  <si>
    <t>-55.55072263097600</t>
  </si>
  <si>
    <t>-30.90246268769230</t>
  </si>
  <si>
    <t>-55.55053884277720</t>
  </si>
  <si>
    <t>-30.90224718683800</t>
  </si>
  <si>
    <t>-55.55040661935700</t>
  </si>
  <si>
    <t>-30.90217342947120</t>
  </si>
  <si>
    <t>-55.55035033199250</t>
  </si>
  <si>
    <t>-30.90205981384240</t>
  </si>
  <si>
    <t>-55.55026623947350</t>
  </si>
  <si>
    <t>-30.90200772109760</t>
  </si>
  <si>
    <t>-55.55032914530080</t>
  </si>
  <si>
    <t>-30.90191480397870</t>
  </si>
  <si>
    <t>-55.55050198878560</t>
  </si>
  <si>
    <t>-30.90296086054370</t>
  </si>
  <si>
    <t>-55.55035772193680</t>
  </si>
  <si>
    <t>-30.90293465363670</t>
  </si>
  <si>
    <t>-55.54963915786850</t>
  </si>
  <si>
    <t>-30.90269818403370</t>
  </si>
  <si>
    <t>-55.54948218089720</t>
  </si>
  <si>
    <t>-30.90255675080240</t>
  </si>
  <si>
    <t>-55.54939596474780</t>
  </si>
  <si>
    <t>-30.90243265070940</t>
  </si>
  <si>
    <t>-55.54952688731710</t>
  </si>
  <si>
    <t>-30.90231529642920</t>
  </si>
  <si>
    <t>-55.54970972128700</t>
  </si>
  <si>
    <t>-3.09021314795822</t>
  </si>
  <si>
    <t>-55.55006531663670</t>
  </si>
  <si>
    <t>-30.90239372782370</t>
  </si>
  <si>
    <t>-55.55037932136590</t>
  </si>
  <si>
    <t>-30.90269611142740</t>
  </si>
  <si>
    <t>-55.55061492881090</t>
  </si>
  <si>
    <t>-30.90342321814430</t>
  </si>
  <si>
    <t>-55.54948168126390</t>
  </si>
  <si>
    <t>-30.90351440575250</t>
  </si>
  <si>
    <t>-55.54927796358970</t>
  </si>
  <si>
    <t>-30.90285275547350</t>
  </si>
  <si>
    <t>-55.54873483162430</t>
  </si>
  <si>
    <t>-30.90271075669360</t>
  </si>
  <si>
    <t>-55.54898628333470</t>
  </si>
  <si>
    <t>-30.90256694547470</t>
  </si>
  <si>
    <t>-55.54922067981840</t>
  </si>
  <si>
    <t>-30.90264472942620</t>
  </si>
  <si>
    <t>-55.54931774615630</t>
  </si>
  <si>
    <t>-30.90289229101850</t>
  </si>
  <si>
    <t>-55.54950992195060</t>
  </si>
  <si>
    <t>-30.90308178779910</t>
  </si>
  <si>
    <t>-5.55496345545382</t>
  </si>
  <si>
    <t>-30.90315000012050</t>
  </si>
  <si>
    <t>-55.54968447048780</t>
  </si>
  <si>
    <t>-3.09032230602098</t>
  </si>
  <si>
    <t>-55.54973980178520</t>
  </si>
  <si>
    <t>-30.90387997805300</t>
  </si>
  <si>
    <t>-55.54697956192270</t>
  </si>
  <si>
    <t>-30.90423265316450</t>
  </si>
  <si>
    <t>-55.54794421302880</t>
  </si>
  <si>
    <t>-30.90409117687330</t>
  </si>
  <si>
    <t>-55.54785463513230</t>
  </si>
  <si>
    <t>-30.90399438180580</t>
  </si>
  <si>
    <t>-55.54778796113720</t>
  </si>
  <si>
    <t>-3.09037733322199</t>
  </si>
  <si>
    <t>-55.54761995223320</t>
  </si>
  <si>
    <t>-30.90446335954460</t>
  </si>
  <si>
    <t>-55.54744676332840</t>
  </si>
  <si>
    <t>-30.90439190336690</t>
  </si>
  <si>
    <t>-55.54758152226530</t>
  </si>
  <si>
    <t>-30.90434434560160</t>
  </si>
  <si>
    <t>-55.54773331007630</t>
  </si>
  <si>
    <t>-30.90431202329490</t>
  </si>
  <si>
    <t>-55.54779159154560</t>
  </si>
  <si>
    <t>-30.90427276528540</t>
  </si>
  <si>
    <t>-55.54786477053910</t>
  </si>
  <si>
    <t>-30.90491347280810</t>
  </si>
  <si>
    <t>-5.55472751715795</t>
  </si>
  <si>
    <t>-30.90491977447770</t>
  </si>
  <si>
    <t>-5.55484258155636</t>
  </si>
  <si>
    <t>-3.09047493729431</t>
  </si>
  <si>
    <t>-55.54832779980180</t>
  </si>
  <si>
    <t>-30.90529901388400</t>
  </si>
  <si>
    <t>-55.54801288298150</t>
  </si>
  <si>
    <t>-3.09051801417793</t>
  </si>
  <si>
    <t>-55.54815863635010</t>
  </si>
  <si>
    <t>-30.90507254345570</t>
  </si>
  <si>
    <t>-55.54837858103210</t>
  </si>
  <si>
    <t>-30.90457476203510</t>
  </si>
  <si>
    <t>-55.54829534305920</t>
  </si>
  <si>
    <t>-30.90414181447060</t>
  </si>
  <si>
    <t>-55.54834091965570</t>
  </si>
  <si>
    <t>-30.90406343881150</t>
  </si>
  <si>
    <t>-55.54847326744310</t>
  </si>
  <si>
    <t>-30.90400304195200</t>
  </si>
  <si>
    <t>-55.54861012598410</t>
  </si>
  <si>
    <t>-30.90395653342520</t>
  </si>
  <si>
    <t>-55.54867519363860</t>
  </si>
  <si>
    <t>-30.90391351218300</t>
  </si>
  <si>
    <t>-55.54876890773990</t>
  </si>
  <si>
    <t>-30.90388263107330</t>
  </si>
  <si>
    <t>-55.54883424224580</t>
  </si>
  <si>
    <t>-30.90392396458480</t>
  </si>
  <si>
    <t>-55.54897031597380</t>
  </si>
  <si>
    <t>-30.90426387992460</t>
  </si>
  <si>
    <t>-55.54922808201220</t>
  </si>
  <si>
    <t>-30.90444004169390</t>
  </si>
  <si>
    <t>-55.54933852991370</t>
  </si>
  <si>
    <t>-30.90424800862920</t>
  </si>
  <si>
    <t>-55.54994650249400</t>
  </si>
  <si>
    <t>-3.09044139323985</t>
  </si>
  <si>
    <t>-55.54946714624230</t>
  </si>
  <si>
    <t>-30.90359530751020</t>
  </si>
  <si>
    <t>-55.54933764517750</t>
  </si>
  <si>
    <t>-30.90345342785590</t>
  </si>
  <si>
    <t>-5.55496225545523</t>
  </si>
  <si>
    <t>-30.90343753987050</t>
  </si>
  <si>
    <t>-55.54968072878920</t>
  </si>
  <si>
    <t>-30.90339070821430</t>
  </si>
  <si>
    <t>-5.55497287071814</t>
  </si>
  <si>
    <t>-30.90342172661920</t>
  </si>
  <si>
    <t>-55.54984815923630</t>
  </si>
  <si>
    <t>-3.09036849009805</t>
  </si>
  <si>
    <t>-55.55004005578760</t>
  </si>
  <si>
    <t>-30.90394983046610</t>
  </si>
  <si>
    <t>-55.55026076220400</t>
  </si>
  <si>
    <t>-30.90365770665800</t>
  </si>
  <si>
    <t>-55.55108277762430</t>
  </si>
  <si>
    <t>-30.90376195737480</t>
  </si>
  <si>
    <t>-55.55022755160580</t>
  </si>
  <si>
    <t>-30.90340453545560</t>
  </si>
  <si>
    <t>-55.54995855997620</t>
  </si>
  <si>
    <t>-30.90290273435160</t>
  </si>
  <si>
    <t>-55.55067279936520</t>
  </si>
  <si>
    <t>-30.90329431967000</t>
  </si>
  <si>
    <t>-55.55103323343840</t>
  </si>
  <si>
    <t>-30.90333771218730</t>
  </si>
  <si>
    <t>-55.55105735548220</t>
  </si>
  <si>
    <t>-30.90326823687730</t>
  </si>
  <si>
    <t>-5.55518589400675</t>
  </si>
  <si>
    <t>-30.90339024691000</t>
  </si>
  <si>
    <t>-55.55160376560360</t>
  </si>
  <si>
    <t>-30.90281555579040</t>
  </si>
  <si>
    <t>-55.55088542692780</t>
  </si>
  <si>
    <t>-30.90260966221070</t>
  </si>
  <si>
    <t>-55.55125981166700</t>
  </si>
  <si>
    <t>-30.90252561364370</t>
  </si>
  <si>
    <t>-55.55138262360920</t>
  </si>
  <si>
    <t>-30.90250727945140</t>
  </si>
  <si>
    <t>-55.55145531106140</t>
  </si>
  <si>
    <t>-30.90247423918540</t>
  </si>
  <si>
    <t>-55.55153717358250</t>
  </si>
  <si>
    <t>-30.90252836348910</t>
  </si>
  <si>
    <t>-55.55174633137650</t>
  </si>
  <si>
    <t>-30.90261127674180</t>
  </si>
  <si>
    <t>-55.55179547712150</t>
  </si>
  <si>
    <t>-30.90241224848480</t>
  </si>
  <si>
    <t>-55.55162423107220</t>
  </si>
  <si>
    <t>-30.90269761056350</t>
  </si>
  <si>
    <t>-55.55287055831380</t>
  </si>
  <si>
    <t>-30.90278071876670</t>
  </si>
  <si>
    <t>-55.55273421814190</t>
  </si>
  <si>
    <t>-30.90294815320420</t>
  </si>
  <si>
    <t>-5.55524473562878</t>
  </si>
  <si>
    <t>-30.90226185571910</t>
  </si>
  <si>
    <t>-55.55185472743320</t>
  </si>
  <si>
    <t>-30.90220922728670</t>
  </si>
  <si>
    <t>-55.55196784734850</t>
  </si>
  <si>
    <t>-30.90213564755240</t>
  </si>
  <si>
    <t>-55.55215359516510</t>
  </si>
  <si>
    <t>-30.90196677639060</t>
  </si>
  <si>
    <t>-55.55243889998830</t>
  </si>
  <si>
    <t>-30.90197889951900</t>
  </si>
  <si>
    <t>-55.55258796058340</t>
  </si>
  <si>
    <t>-30.90206849152570</t>
  </si>
  <si>
    <t>-55.55265375740040</t>
  </si>
  <si>
    <t>-3.09022656440989</t>
  </si>
  <si>
    <t>-55.55280079838950</t>
  </si>
  <si>
    <t>-30.90232927515810</t>
  </si>
  <si>
    <t>-55.55283018980530</t>
  </si>
  <si>
    <t>-30.90248085092910</t>
  </si>
  <si>
    <t>-55.55295598991590</t>
  </si>
  <si>
    <t>-0.30901985423997</t>
  </si>
  <si>
    <t>-55.55382467064070</t>
  </si>
  <si>
    <t>-30.90211472511020</t>
  </si>
  <si>
    <t>-55.55392685621160</t>
  </si>
  <si>
    <t>-30.90232788863830</t>
  </si>
  <si>
    <t>-55.55357797926640</t>
  </si>
  <si>
    <t>-30.89251593179070</t>
  </si>
  <si>
    <t>-55.54266575953810</t>
  </si>
  <si>
    <t>-30.89289785795450</t>
  </si>
  <si>
    <t>-55.54293416355910</t>
  </si>
  <si>
    <t>-30.89232490374850</t>
  </si>
  <si>
    <t>-55.54326933103780</t>
  </si>
  <si>
    <t>-30.89242236077940</t>
  </si>
  <si>
    <t>-55.54332492621020</t>
  </si>
  <si>
    <t>-30.89249163075060</t>
  </si>
  <si>
    <t>-55.54340659420470</t>
  </si>
  <si>
    <t>-30.89254664663500</t>
  </si>
  <si>
    <t>-55.54343309254970</t>
  </si>
  <si>
    <t>-30.89263002021110</t>
  </si>
  <si>
    <t>-55.54343924393520</t>
  </si>
  <si>
    <t>-30.89277109327820</t>
  </si>
  <si>
    <t>-55.54317955304090</t>
  </si>
  <si>
    <t>-30.89974785388350</t>
  </si>
  <si>
    <t>-55.54825883402220</t>
  </si>
  <si>
    <t>-3.08998443944687</t>
  </si>
  <si>
    <t>-55.54811524087370</t>
  </si>
  <si>
    <t>-30.89988897457170</t>
  </si>
  <si>
    <t>-55.54795662744210</t>
  </si>
  <si>
    <t>-30.90000181096800</t>
  </si>
  <si>
    <t>-55.54777611888120</t>
  </si>
  <si>
    <t>-30.90005545585800</t>
  </si>
  <si>
    <t>-55.54764290987340</t>
  </si>
  <si>
    <t>-30.89999715042600</t>
  </si>
  <si>
    <t>-55.54758500744760</t>
  </si>
  <si>
    <t>-30.89986081293210</t>
  </si>
  <si>
    <t>-55.54746456206060</t>
  </si>
  <si>
    <t>-30.89970646456580</t>
  </si>
  <si>
    <t>-55.54734773898560</t>
  </si>
  <si>
    <t>-30.89944440739460</t>
  </si>
  <si>
    <t>-55.54715196139540</t>
  </si>
  <si>
    <t>-30.89909869452280</t>
  </si>
  <si>
    <t>-55.54803101515600</t>
  </si>
  <si>
    <t>-30.89941577874240</t>
  </si>
  <si>
    <t>-55.54826614207900</t>
  </si>
  <si>
    <t>-30.89955061986960</t>
  </si>
  <si>
    <t>-55.54837458087980</t>
  </si>
  <si>
    <t>-30.90183520499710</t>
  </si>
  <si>
    <t>-5.55462148881838</t>
  </si>
  <si>
    <t>-30.89394206030110</t>
  </si>
  <si>
    <t>-5.55406012812503</t>
  </si>
  <si>
    <t>-30.89385767058360</t>
  </si>
  <si>
    <t>-55.54055196966570</t>
  </si>
  <si>
    <t>-30.89384763421330</t>
  </si>
  <si>
    <t>-55.54065981081390</t>
  </si>
  <si>
    <t>-30.89385997881370</t>
  </si>
  <si>
    <t>-55.54073410871860</t>
  </si>
  <si>
    <t>-30.89381787545100</t>
  </si>
  <si>
    <t>-55.54082015324810</t>
  </si>
  <si>
    <t>-30.89371708415230</t>
  </si>
  <si>
    <t>-55.54083087026530</t>
  </si>
  <si>
    <t>-30.89374669031040</t>
  </si>
  <si>
    <t>-5.55408787402609</t>
  </si>
  <si>
    <t>-3.08938026501832</t>
  </si>
  <si>
    <t>-55.54096168119200</t>
  </si>
  <si>
    <t>-30.89385486079690</t>
  </si>
  <si>
    <t>-55.54104763809280</t>
  </si>
  <si>
    <t>-30.89368527086440</t>
  </si>
  <si>
    <t>-5.55409280771193</t>
  </si>
  <si>
    <t>-0.30893754103462</t>
  </si>
  <si>
    <t>-55.54101049963560</t>
  </si>
  <si>
    <t>-30.89368332415500</t>
  </si>
  <si>
    <t>-55.54101577486690</t>
  </si>
  <si>
    <t>-30.89375015989670</t>
  </si>
  <si>
    <t>-55.54109997071490</t>
  </si>
  <si>
    <t>-30.89380615808980</t>
  </si>
  <si>
    <t>-0.55541160061632</t>
  </si>
  <si>
    <t>-30.89363994469240</t>
  </si>
  <si>
    <t>-55.54110011623130</t>
  </si>
  <si>
    <t>-30.89367964637100</t>
  </si>
  <si>
    <t>-55.54117880856840</t>
  </si>
  <si>
    <t>-30.89374289381260</t>
  </si>
  <si>
    <t>-55.54119509036130</t>
  </si>
  <si>
    <t>-30.89361169043690</t>
  </si>
  <si>
    <t>-55.54121877347380</t>
  </si>
  <si>
    <t>-30.89363426312940</t>
  </si>
  <si>
    <t>-55.54133263138480</t>
  </si>
  <si>
    <t>-30.89356323540260</t>
  </si>
  <si>
    <t>-55.54134278800260</t>
  </si>
  <si>
    <t>-30.89366795699740</t>
  </si>
  <si>
    <t>-55.54139469554530</t>
  </si>
  <si>
    <t>-3.08999605598469</t>
  </si>
  <si>
    <t>-55.54384528149230</t>
  </si>
  <si>
    <t>-30.89991102512570</t>
  </si>
  <si>
    <t>-55.54388517767540</t>
  </si>
  <si>
    <t>-30.89981679966460</t>
  </si>
  <si>
    <t>-5.55440348108118</t>
  </si>
  <si>
    <t>-30.89968556617680</t>
  </si>
  <si>
    <t>-55.54426659609950</t>
  </si>
  <si>
    <t>-30.89963405716900</t>
  </si>
  <si>
    <t>-5.55443476787419</t>
  </si>
  <si>
    <t>-30.89959942185070</t>
  </si>
  <si>
    <t>-5.55444256128643</t>
  </si>
  <si>
    <t>-30.89896728690300</t>
  </si>
  <si>
    <t>-55.54380410044500</t>
  </si>
  <si>
    <t>-30.89910970171110</t>
  </si>
  <si>
    <t>-55.54355468002020</t>
  </si>
  <si>
    <t>-30.89951963379210</t>
  </si>
  <si>
    <t>-55.54343808561390</t>
  </si>
  <si>
    <t>-30.89955820792130</t>
  </si>
  <si>
    <t>-55.54348880941510</t>
  </si>
  <si>
    <t>-0.30899605013095</t>
  </si>
  <si>
    <t>-55.54350419876760</t>
  </si>
  <si>
    <t>-30.89965254025360</t>
  </si>
  <si>
    <t>-55.54354675523720</t>
  </si>
  <si>
    <t>-30.89085928141580</t>
  </si>
  <si>
    <t>-55.55080173775810</t>
  </si>
  <si>
    <t>-30.89237923883840</t>
  </si>
  <si>
    <t>-55.55163457604480</t>
  </si>
  <si>
    <t>-30.88579899991540</t>
  </si>
  <si>
    <t>-55.55016343873900</t>
  </si>
  <si>
    <t>-30.88572966861180</t>
  </si>
  <si>
    <t>-55.55026008027240</t>
  </si>
  <si>
    <t>-30.88521163932890</t>
  </si>
  <si>
    <t>-55.55022686984810</t>
  </si>
  <si>
    <t>-30.88627173054460</t>
  </si>
  <si>
    <t>-55.55129265275840</t>
  </si>
  <si>
    <t>-30.88632775534650</t>
  </si>
  <si>
    <t>-5.55511677925372</t>
  </si>
  <si>
    <t>-30.88571098166850</t>
  </si>
  <si>
    <t>-55.55048330981490</t>
  </si>
  <si>
    <t>-30.88557859654680</t>
  </si>
  <si>
    <t>-55.55075795559130</t>
  </si>
  <si>
    <t>-30.88564193191120</t>
  </si>
  <si>
    <t>-55.55094770981160</t>
  </si>
  <si>
    <t>-30.88579369625670</t>
  </si>
  <si>
    <t>-55.55106499231450</t>
  </si>
  <si>
    <t>-30.88592609921220</t>
  </si>
  <si>
    <t>-55.55113673813580</t>
  </si>
  <si>
    <t>-30.88608645776200</t>
  </si>
  <si>
    <t>-55.55125624648370</t>
  </si>
  <si>
    <t>-30.88617289892630</t>
  </si>
  <si>
    <t>-55.55132444125760</t>
  </si>
  <si>
    <t>-30.88631666692310</t>
  </si>
  <si>
    <t>-55.54926936298390</t>
  </si>
  <si>
    <t>-30.88618226347460</t>
  </si>
  <si>
    <t>-0.55549453781591</t>
  </si>
  <si>
    <t>-30.88619120442170</t>
  </si>
  <si>
    <t>-55.55007570561620</t>
  </si>
  <si>
    <t>-30.88627804270220</t>
  </si>
  <si>
    <t>-55.55012388255090</t>
  </si>
  <si>
    <t>-30.88636058479820</t>
  </si>
  <si>
    <t>-55.55019396676850</t>
  </si>
  <si>
    <t>-3.08865846793061</t>
  </si>
  <si>
    <t>-55.55037762124030</t>
  </si>
  <si>
    <t>-30.88748509274870</t>
  </si>
  <si>
    <t>-55.54899915492080</t>
  </si>
  <si>
    <t>-30.88752767616100</t>
  </si>
  <si>
    <t>-5.55488890389529</t>
  </si>
  <si>
    <t>-30.88752331052210</t>
  </si>
  <si>
    <t>-55.54867785516180</t>
  </si>
  <si>
    <t>-30.88703556954850</t>
  </si>
  <si>
    <t>-55.54846528618900</t>
  </si>
  <si>
    <t>-30.88668674832120</t>
  </si>
  <si>
    <t>-55.54889372508390</t>
  </si>
  <si>
    <t>-30.88681076477490</t>
  </si>
  <si>
    <t>-55.54928607964160</t>
  </si>
  <si>
    <t>-30.88689386554920</t>
  </si>
  <si>
    <t>-55.54933153309100</t>
  </si>
  <si>
    <t>-30.88696872753350</t>
  </si>
  <si>
    <t>-55.54938677372220</t>
  </si>
  <si>
    <t>-3.08870189606343</t>
  </si>
  <si>
    <t>-5.55494111289073</t>
  </si>
  <si>
    <t>-30.88706105390990</t>
  </si>
  <si>
    <t>-55.54945741911390</t>
  </si>
  <si>
    <t>-30.88714002371330</t>
  </si>
  <si>
    <t>-55.54949580845030</t>
  </si>
  <si>
    <t>-30.88704410858360</t>
  </si>
  <si>
    <t>-55.55183814599730</t>
  </si>
  <si>
    <t>-3.08872919648332</t>
  </si>
  <si>
    <t>-55.55141476122550</t>
  </si>
  <si>
    <t>-30.88738899195480</t>
  </si>
  <si>
    <t>-55.55107462943570</t>
  </si>
  <si>
    <t>-30.88636060996130</t>
  </si>
  <si>
    <t>-55.55136332044850</t>
  </si>
  <si>
    <t>-30.88644043086310</t>
  </si>
  <si>
    <t>-5.55514859815673</t>
  </si>
  <si>
    <t>-30.88686200919880</t>
  </si>
  <si>
    <t>-55.55178955318260</t>
  </si>
  <si>
    <t>-30.88753686965650</t>
  </si>
  <si>
    <t>-55.55091872348240</t>
  </si>
  <si>
    <t>-30.88764260822910</t>
  </si>
  <si>
    <t>-55.55069430429340</t>
  </si>
  <si>
    <t>-30.88775768496680</t>
  </si>
  <si>
    <t>-55.55050050454630</t>
  </si>
  <si>
    <t>-30.88772807646310</t>
  </si>
  <si>
    <t>-55.55002796511030</t>
  </si>
  <si>
    <t>-30.88690407684470</t>
  </si>
  <si>
    <t>-55.55032254598340</t>
  </si>
  <si>
    <t>-30.88687462415280</t>
  </si>
  <si>
    <t>-55.55055608034170</t>
  </si>
  <si>
    <t>-3.08869797126592</t>
  </si>
  <si>
    <t>-55.55063100601200</t>
  </si>
  <si>
    <t>-30.88712633894800</t>
  </si>
  <si>
    <t>-5.55507466802727</t>
  </si>
  <si>
    <t>-30.88746088704440</t>
  </si>
  <si>
    <t>-55.55097025783530</t>
  </si>
  <si>
    <t>-30.88824678928160</t>
  </si>
  <si>
    <t>-55.54916314412730</t>
  </si>
  <si>
    <t>-3.08875328731498</t>
  </si>
  <si>
    <t>-55.54912268041750</t>
  </si>
  <si>
    <t>-30.88776237700560</t>
  </si>
  <si>
    <t>-0.55549963772495</t>
  </si>
  <si>
    <t>-30.88856471882570</t>
  </si>
  <si>
    <t>-55.54896807730350</t>
  </si>
  <si>
    <t>-3.08886285039779</t>
  </si>
  <si>
    <t>-55.54883934242680</t>
  </si>
  <si>
    <t>-30.88880285695100</t>
  </si>
  <si>
    <t>-0.55548557781355</t>
  </si>
  <si>
    <t>-30.88887531646580</t>
  </si>
  <si>
    <t>-55.54841205676080</t>
  </si>
  <si>
    <t>-30.88852416551960</t>
  </si>
  <si>
    <t>-55.54811922927900</t>
  </si>
  <si>
    <t>-30.88822596729260</t>
  </si>
  <si>
    <t>-55.54795292326730</t>
  </si>
  <si>
    <t>-30.88778618570160</t>
  </si>
  <si>
    <t>-55.54865882478010</t>
  </si>
  <si>
    <t>-30.88780120860600</t>
  </si>
  <si>
    <t>-55.54874977489020</t>
  </si>
  <si>
    <t>-30.88788108629260</t>
  </si>
  <si>
    <t>-5.55487862721091</t>
  </si>
  <si>
    <t>-30.88900099444250</t>
  </si>
  <si>
    <t>-5.55481228574378</t>
  </si>
  <si>
    <t>-30.88911345431910</t>
  </si>
  <si>
    <t>-55.54790473782280</t>
  </si>
  <si>
    <t>-30.88893068464850</t>
  </si>
  <si>
    <t>-55.54731460298300</t>
  </si>
  <si>
    <t>-30.88843317713590</t>
  </si>
  <si>
    <t>-55.54778323925970</t>
  </si>
  <si>
    <t>-30.88973855470270</t>
  </si>
  <si>
    <t>-55.54681502185650</t>
  </si>
  <si>
    <t>-30.88973942458570</t>
  </si>
  <si>
    <t>-55.54654446086730</t>
  </si>
  <si>
    <t>-30.88943566663850</t>
  </si>
  <si>
    <t>-55.54677301358240</t>
  </si>
  <si>
    <t>-30.88922083775050</t>
  </si>
  <si>
    <t>-55.54699815281330</t>
  </si>
  <si>
    <t>-30.88929443455360</t>
  </si>
  <si>
    <t>-55.54726438899240</t>
  </si>
  <si>
    <t>-30.89076914080440</t>
  </si>
  <si>
    <t>-55.54682747512360</t>
  </si>
  <si>
    <t>-30.89088178774510</t>
  </si>
  <si>
    <t>-55.54662794669530</t>
  </si>
  <si>
    <t>-30.89105793248510</t>
  </si>
  <si>
    <t>-55.54633548438610</t>
  </si>
  <si>
    <t>-30.89098282024600</t>
  </si>
  <si>
    <t>-55.54645045998920</t>
  </si>
  <si>
    <t>-30.89100115323520</t>
  </si>
  <si>
    <t>-55.54640681357180</t>
  </si>
  <si>
    <t>-3.08899172360242</t>
  </si>
  <si>
    <t>-55.54843825511670</t>
  </si>
  <si>
    <t>-30.88935872429320</t>
  </si>
  <si>
    <t>-55.54859501429130</t>
  </si>
  <si>
    <t>-30.89028201631810</t>
  </si>
  <si>
    <t>-55.54780066170380</t>
  </si>
  <si>
    <t>-30.89057872649710</t>
  </si>
  <si>
    <t>-55.54709373839290</t>
  </si>
  <si>
    <t>-3.08904932275943</t>
  </si>
  <si>
    <t>-55.54702677111780</t>
  </si>
  <si>
    <t>-30.89037487141630</t>
  </si>
  <si>
    <t>-55.54694103392580</t>
  </si>
  <si>
    <t>-30.88986814367280</t>
  </si>
  <si>
    <t>-55.54665253494490</t>
  </si>
  <si>
    <t>-30.88990818259730</t>
  </si>
  <si>
    <t>-55.54771778581490</t>
  </si>
  <si>
    <t>-30.88995740854490</t>
  </si>
  <si>
    <t>-55.54774210924250</t>
  </si>
  <si>
    <t>-30.89003300556490</t>
  </si>
  <si>
    <t>-55.54781517830590</t>
  </si>
  <si>
    <t>-30.88943209862380</t>
  </si>
  <si>
    <t>-55.54940270018910</t>
  </si>
  <si>
    <t>-30.88951299548880</t>
  </si>
  <si>
    <t>-55.54881536999540</t>
  </si>
  <si>
    <t>-30.88921981042800</t>
  </si>
  <si>
    <t>-55.54863669579830</t>
  </si>
  <si>
    <t>-30.88873517514990</t>
  </si>
  <si>
    <t>-55.54891417327460</t>
  </si>
  <si>
    <t>-30.88867567657130</t>
  </si>
  <si>
    <t>-55.54905805767080</t>
  </si>
  <si>
    <t>-30.88860222895490</t>
  </si>
  <si>
    <t>-55.54914978676110</t>
  </si>
  <si>
    <t>-30.88864316321380</t>
  </si>
  <si>
    <t>-55.54932823658130</t>
  </si>
  <si>
    <t>-30.88873815758360</t>
  </si>
  <si>
    <t>-55.54940631232430</t>
  </si>
  <si>
    <t>-30.88888205475640</t>
  </si>
  <si>
    <t>-55.54949824463950</t>
  </si>
  <si>
    <t>-30.88898448676210</t>
  </si>
  <si>
    <t>-5.55495515045961</t>
  </si>
  <si>
    <t>-30.88903713365640</t>
  </si>
  <si>
    <t>-55.54961063828420</t>
  </si>
  <si>
    <t>-30.88915097353110</t>
  </si>
  <si>
    <t>-55.54967556111400</t>
  </si>
  <si>
    <t>-30.88921774742000</t>
  </si>
  <si>
    <t>-5.55497241143345</t>
  </si>
  <si>
    <t>-30.88901088310730</t>
  </si>
  <si>
    <t>-55.55019128581890</t>
  </si>
  <si>
    <t>-30.88883919084280</t>
  </si>
  <si>
    <t>-55.54958896410940</t>
  </si>
  <si>
    <t>-30.88871639483800</t>
  </si>
  <si>
    <t>-5.55494994746478</t>
  </si>
  <si>
    <t>-30.88858671536500</t>
  </si>
  <si>
    <t>-55.54940591755720</t>
  </si>
  <si>
    <t>-30.88828055155430</t>
  </si>
  <si>
    <t>-55.55031963211360</t>
  </si>
  <si>
    <t>-30.88834387387010</t>
  </si>
  <si>
    <t>-55.55036826101230</t>
  </si>
  <si>
    <t>-30.88853441598170</t>
  </si>
  <si>
    <t>-55.55049188270530</t>
  </si>
  <si>
    <t>-30.88870985817050</t>
  </si>
  <si>
    <t>-55.55060787335400</t>
  </si>
  <si>
    <t>-30.88826542843240</t>
  </si>
  <si>
    <t>-55.55152409322180</t>
  </si>
  <si>
    <t>-30.88862823011920</t>
  </si>
  <si>
    <t>-55.55092135229120</t>
  </si>
  <si>
    <t>-30.88868589211960</t>
  </si>
  <si>
    <t>-5.55507760963456</t>
  </si>
  <si>
    <t>-30.88858992493670</t>
  </si>
  <si>
    <t>-55.55064715465600</t>
  </si>
  <si>
    <t>-30.88786253163100</t>
  </si>
  <si>
    <t>-55.55053730249370</t>
  </si>
  <si>
    <t>-3.08876674705097</t>
  </si>
  <si>
    <t>-55.55092646988930</t>
  </si>
  <si>
    <t>-30.88787537101380</t>
  </si>
  <si>
    <t>-55.55128004747890</t>
  </si>
  <si>
    <t>-30.88815915604510</t>
  </si>
  <si>
    <t>-55.55147899254590</t>
  </si>
  <si>
    <t>-30.88783646255380</t>
  </si>
  <si>
    <t>-55.55240711144210</t>
  </si>
  <si>
    <t>-30.88789751945770</t>
  </si>
  <si>
    <t>-55.55230610867890</t>
  </si>
  <si>
    <t>-3.08879545371259</t>
  </si>
  <si>
    <t>-55.55214969435530</t>
  </si>
  <si>
    <t>-30.88815364291790</t>
  </si>
  <si>
    <t>-55.55179071111910</t>
  </si>
  <si>
    <t>-30.88815923097280</t>
  </si>
  <si>
    <t>-55.55161456016850</t>
  </si>
  <si>
    <t>-30.88802524591130</t>
  </si>
  <si>
    <t>-55.55151443361540</t>
  </si>
  <si>
    <t>-30.88737688373260</t>
  </si>
  <si>
    <t>-55.55147805613070</t>
  </si>
  <si>
    <t>-30.88729665194040</t>
  </si>
  <si>
    <t>-55.55168079695990</t>
  </si>
  <si>
    <t>-30.88716604465160</t>
  </si>
  <si>
    <t>-55.55202817499370</t>
  </si>
  <si>
    <t>-0.30887533378969</t>
  </si>
  <si>
    <t>-55.55229638065220</t>
  </si>
  <si>
    <t>-30.88771260410230</t>
  </si>
  <si>
    <t>-55.55241673748060</t>
  </si>
  <si>
    <t>-3.08889528381789</t>
  </si>
  <si>
    <t>-55.55219161916530</t>
  </si>
  <si>
    <t>-30.88829393430780</t>
  </si>
  <si>
    <t>-5.55517419402413</t>
  </si>
  <si>
    <t>-3.08882273001917</t>
  </si>
  <si>
    <t>-55.55188492038270</t>
  </si>
  <si>
    <t>-30.88796129287260</t>
  </si>
  <si>
    <t>-55.55240312729240</t>
  </si>
  <si>
    <t>-30.88790634463500</t>
  </si>
  <si>
    <t>-55.55248523576040</t>
  </si>
  <si>
    <t>-3.08882738215853</t>
  </si>
  <si>
    <t>-55.55282456867210</t>
  </si>
  <si>
    <t>-30.88848282764020</t>
  </si>
  <si>
    <t>-55.55296676202190</t>
  </si>
  <si>
    <t>-30.88907269305830</t>
  </si>
  <si>
    <t>-55.55205247426040</t>
  </si>
  <si>
    <t>-3.08891372026108</t>
  </si>
  <si>
    <t>-55.55197133798630</t>
  </si>
  <si>
    <t>-30.88916530612190</t>
  </si>
  <si>
    <t>-55.55191145314730</t>
  </si>
  <si>
    <t>-30.88924859121240</t>
  </si>
  <si>
    <t>-55.55177502342510</t>
  </si>
  <si>
    <t>-30.88935100503860</t>
  </si>
  <si>
    <t>-55.55160550714980</t>
  </si>
  <si>
    <t>-30.88936356333220</t>
  </si>
  <si>
    <t>-55.55121345389300</t>
  </si>
  <si>
    <t>-30.88901490148550</t>
  </si>
  <si>
    <t>-55.55096379272570</t>
  </si>
  <si>
    <t>-30.88878600665280</t>
  </si>
  <si>
    <t>-5.55508177727074</t>
  </si>
  <si>
    <t>-30.88873361899760</t>
  </si>
  <si>
    <t>-55.55093524669800</t>
  </si>
  <si>
    <t>-30.88865588584190</t>
  </si>
  <si>
    <t>-55.55107863058940</t>
  </si>
  <si>
    <t>-30.88853022357930</t>
  </si>
  <si>
    <t>-55.55133551975980</t>
  </si>
  <si>
    <t>-30.88844463209590</t>
  </si>
  <si>
    <t>-55.55148477240270</t>
  </si>
  <si>
    <t>-30.88860766836010</t>
  </si>
  <si>
    <t>-55.55178358333100</t>
  </si>
  <si>
    <t>-30.88877688729400</t>
  </si>
  <si>
    <t>-55.55191811134140</t>
  </si>
  <si>
    <t>-30.88885331242410</t>
  </si>
  <si>
    <t>-5.55519602153025</t>
  </si>
  <si>
    <t>-30.88891510831290</t>
  </si>
  <si>
    <t>-55.55201166231030</t>
  </si>
  <si>
    <t>-30.88903106933930</t>
  </si>
  <si>
    <t>-55.55210914979240</t>
  </si>
  <si>
    <t>-30.88960034352960</t>
  </si>
  <si>
    <t>-55.55116343598750</t>
  </si>
  <si>
    <t>-30.88963678319720</t>
  </si>
  <si>
    <t>-55.55103601630940</t>
  </si>
  <si>
    <t>-30.88975111729270</t>
  </si>
  <si>
    <t>-55.55081565475740</t>
  </si>
  <si>
    <t>-30.88905916068580</t>
  </si>
  <si>
    <t>-55.55035004049270</t>
  </si>
  <si>
    <t>-30.88896607049430</t>
  </si>
  <si>
    <t>-55.55049462268000</t>
  </si>
  <si>
    <t>-30.88887220898290</t>
  </si>
  <si>
    <t>-55.55068416934240</t>
  </si>
  <si>
    <t>-30.88893216770990</t>
  </si>
  <si>
    <t>-55.55080220175260</t>
  </si>
  <si>
    <t>-0.30889091277732</t>
  </si>
  <si>
    <t>-55.55089579420110</t>
  </si>
  <si>
    <t>-30.88919865282930</t>
  </si>
  <si>
    <t>-55.55096478088510</t>
  </si>
  <si>
    <t>-30.88932628005950</t>
  </si>
  <si>
    <t>-55.55105346361190</t>
  </si>
  <si>
    <t>-30.88950590793910</t>
  </si>
  <si>
    <t>-55.55118661787770</t>
  </si>
  <si>
    <t>-30.89025934608270</t>
  </si>
  <si>
    <t>-55.54986019013360</t>
  </si>
  <si>
    <t>-30.89030622112200</t>
  </si>
  <si>
    <t>-5.55497452718758</t>
  </si>
  <si>
    <t>-30.88939214229400</t>
  </si>
  <si>
    <t>-5.55497396392051</t>
  </si>
  <si>
    <t>-30.88945423719930</t>
  </si>
  <si>
    <t>-5.55498550415298</t>
  </si>
  <si>
    <t>-30.88980229135620</t>
  </si>
  <si>
    <t>-55.55013406242790</t>
  </si>
  <si>
    <t>-30.88993356158120</t>
  </si>
  <si>
    <t>-5.55502469127209</t>
  </si>
  <si>
    <t>-30.88999660759810</t>
  </si>
  <si>
    <t>-55.55027357201620</t>
  </si>
  <si>
    <t>-30.89014525127240</t>
  </si>
  <si>
    <t>-55.54822817083630</t>
  </si>
  <si>
    <t>-30.89009133826780</t>
  </si>
  <si>
    <t>-55.54838930084180</t>
  </si>
  <si>
    <t>-3.08898946061793</t>
  </si>
  <si>
    <t>-55.54872018325770</t>
  </si>
  <si>
    <t>-3.08909898487912</t>
  </si>
  <si>
    <t>-55.54846360314830</t>
  </si>
  <si>
    <t>-30.89113115742160</t>
  </si>
  <si>
    <t>-5.55482177731404</t>
  </si>
  <si>
    <t>-30.89120815537430</t>
  </si>
  <si>
    <t>-5.55480559184648</t>
  </si>
  <si>
    <t>-30.89132480030720</t>
  </si>
  <si>
    <t>-55.54765099948880</t>
  </si>
  <si>
    <t>-30.89120977746570</t>
  </si>
  <si>
    <t>-55.54753324473210</t>
  </si>
  <si>
    <t>-30.89068973065990</t>
  </si>
  <si>
    <t>-55.54724058466380</t>
  </si>
  <si>
    <t>-30.89155742893550</t>
  </si>
  <si>
    <t>-55.54740396031910</t>
  </si>
  <si>
    <t>-30.89121133991180</t>
  </si>
  <si>
    <t>-55.54629990704070</t>
  </si>
  <si>
    <t>-30.89115188910890</t>
  </si>
  <si>
    <t>-5.55463672916563</t>
  </si>
  <si>
    <t>-30.89105780326680</t>
  </si>
  <si>
    <t>-55.54651604704670</t>
  </si>
  <si>
    <t>-30.89095468613830</t>
  </si>
  <si>
    <t>-55.54668482413090</t>
  </si>
  <si>
    <t>-30.89085455188530</t>
  </si>
  <si>
    <t>-55.54691077348930</t>
  </si>
  <si>
    <t>-30.89089271191710</t>
  </si>
  <si>
    <t>-55.54716958330660</t>
  </si>
  <si>
    <t>-30.89119038347110</t>
  </si>
  <si>
    <t>-55.54740180381810</t>
  </si>
  <si>
    <t>-30.89136788088810</t>
  </si>
  <si>
    <t>-55.54751489594220</t>
  </si>
  <si>
    <t>-3.08923418752125</t>
  </si>
  <si>
    <t>-55.54797288150090</t>
  </si>
  <si>
    <t>-30.89237367619190</t>
  </si>
  <si>
    <t>-55.54791768462580</t>
  </si>
  <si>
    <t>-30.89241549227780</t>
  </si>
  <si>
    <t>-55.54782094327540</t>
  </si>
  <si>
    <t>-30.89252738424160</t>
  </si>
  <si>
    <t>-55.54761842815940</t>
  </si>
  <si>
    <t>-30.89256199468120</t>
  </si>
  <si>
    <t>-5.55475216203706</t>
  </si>
  <si>
    <t>-30.89232235950780</t>
  </si>
  <si>
    <t>-55.54706187210910</t>
  </si>
  <si>
    <t>-30.89220351220870</t>
  </si>
  <si>
    <t>-55.54698934290180</t>
  </si>
  <si>
    <t>-30.89193886835400</t>
  </si>
  <si>
    <t>-55.54691661579610</t>
  </si>
  <si>
    <t>-30.89157934649670</t>
  </si>
  <si>
    <t>-55.54757795135880</t>
  </si>
  <si>
    <t>-30.89163023009060</t>
  </si>
  <si>
    <t>-55.54771767959850</t>
  </si>
  <si>
    <t>-30.89190693585980</t>
  </si>
  <si>
    <t>-55.54788078267950</t>
  </si>
  <si>
    <t>-30.89197785016180</t>
  </si>
  <si>
    <t>-55.54791936413870</t>
  </si>
  <si>
    <t>-30.89201043333590</t>
  </si>
  <si>
    <t>-55.54794430069640</t>
  </si>
  <si>
    <t>-30.89179627635730</t>
  </si>
  <si>
    <t>-55.54895664860310</t>
  </si>
  <si>
    <t>-30.89204879893710</t>
  </si>
  <si>
    <t>-55.54850537094190</t>
  </si>
  <si>
    <t>-30.89137661122810</t>
  </si>
  <si>
    <t>-55.54792210035240</t>
  </si>
  <si>
    <t>-30.89110182059130</t>
  </si>
  <si>
    <t>-55.54859448131300</t>
  </si>
  <si>
    <t>-30.89144923736060</t>
  </si>
  <si>
    <t>-55.54882001694420</t>
  </si>
  <si>
    <t>-30.89157445211180</t>
  </si>
  <si>
    <t>-55.54890799545580</t>
  </si>
  <si>
    <t>-30.89129562916730</t>
  </si>
  <si>
    <t>-55.54991346645870</t>
  </si>
  <si>
    <t>-30.89152898787760</t>
  </si>
  <si>
    <t>-55.54954202387400</t>
  </si>
  <si>
    <t>-30.89165561775220</t>
  </si>
  <si>
    <t>-55.54928088197580</t>
  </si>
  <si>
    <t>-30.89158221224620</t>
  </si>
  <si>
    <t>-55.54904947094720</t>
  </si>
  <si>
    <t>-30.89119965204610</t>
  </si>
  <si>
    <t>-5.55487830932773</t>
  </si>
  <si>
    <t>-30.89094862847150</t>
  </si>
  <si>
    <t>-55.55056315002350</t>
  </si>
  <si>
    <t>-30.89077971171420</t>
  </si>
  <si>
    <t>-55.54978400397240</t>
  </si>
  <si>
    <t>-30.89044850952870</t>
  </si>
  <si>
    <t>-55.54973125752030</t>
  </si>
  <si>
    <t>-30.89040212338060</t>
  </si>
  <si>
    <t>-55.55058601453180</t>
  </si>
  <si>
    <t>-30.89052922978060</t>
  </si>
  <si>
    <t>-55.55066640569510</t>
  </si>
  <si>
    <t>-30.89034468348830</t>
  </si>
  <si>
    <t>-55.55169909737740</t>
  </si>
  <si>
    <t>-30.89029514602710</t>
  </si>
  <si>
    <t>-55.55064566729730</t>
  </si>
  <si>
    <t>-30.89004608501880</t>
  </si>
  <si>
    <t>-5.55505005854452</t>
  </si>
  <si>
    <t>-30.88998185328280</t>
  </si>
  <si>
    <t>-55.55060716642840</t>
  </si>
  <si>
    <t>-30.88991944446190</t>
  </si>
  <si>
    <t>-55.55071511135500</t>
  </si>
  <si>
    <t>-30.88976098664310</t>
  </si>
  <si>
    <t>-55.55099222739300</t>
  </si>
  <si>
    <t>-30.88970934327260</t>
  </si>
  <si>
    <t>-55.55111370779340</t>
  </si>
  <si>
    <t>-30.88966865704750</t>
  </si>
  <si>
    <t>-55.55121361647560</t>
  </si>
  <si>
    <t>-30.88973495249010</t>
  </si>
  <si>
    <t>-55.55133540866150</t>
  </si>
  <si>
    <t>-30.88983859460440</t>
  </si>
  <si>
    <t>-0.55551436394413</t>
  </si>
  <si>
    <t>-30.89007896250740</t>
  </si>
  <si>
    <t>-55.55157735528260</t>
  </si>
  <si>
    <t>-30.89014802497640</t>
  </si>
  <si>
    <t>-55.55165406229490</t>
  </si>
  <si>
    <t>-30.89022065281780</t>
  </si>
  <si>
    <t>-55.55168441197630</t>
  </si>
  <si>
    <t>-30.88998180973090</t>
  </si>
  <si>
    <t>-55.55246144816160</t>
  </si>
  <si>
    <t>-30.89015066669870</t>
  </si>
  <si>
    <t>-55.55207639069880</t>
  </si>
  <si>
    <t>-30.89025374244110</t>
  </si>
  <si>
    <t>-55.55183057781010</t>
  </si>
  <si>
    <t>-3.08900363473512</t>
  </si>
  <si>
    <t>-55.55167221267050</t>
  </si>
  <si>
    <t>-30.88974344734690</t>
  </si>
  <si>
    <t>-55.55151818269620</t>
  </si>
  <si>
    <t>-30.88960136251030</t>
  </si>
  <si>
    <t>-55.55142848711100</t>
  </si>
  <si>
    <t>-3.08894946725167</t>
  </si>
  <si>
    <t>-55.55150482032530</t>
  </si>
  <si>
    <t>-30.88941316547050</t>
  </si>
  <si>
    <t>-55.55173950435050</t>
  </si>
  <si>
    <t>-30.88921798115350</t>
  </si>
  <si>
    <t>-55.55225210470260</t>
  </si>
  <si>
    <t>-30.88954693706750</t>
  </si>
  <si>
    <t>-55.55245131725800</t>
  </si>
  <si>
    <t>-30.88959676507280</t>
  </si>
  <si>
    <t>-55.55315310720330</t>
  </si>
  <si>
    <t>-30.88952033304350</t>
  </si>
  <si>
    <t>-55.55258992113270</t>
  </si>
  <si>
    <t>-30.88884646701040</t>
  </si>
  <si>
    <t>-55.55275579658810</t>
  </si>
  <si>
    <t>-30.88872855806720</t>
  </si>
  <si>
    <t>-55.55299304698580</t>
  </si>
  <si>
    <t>-30.88885275324260</t>
  </si>
  <si>
    <t>-55.55321500938830</t>
  </si>
  <si>
    <t>-30.89032705143030</t>
  </si>
  <si>
    <t>-55.55382407743270</t>
  </si>
  <si>
    <t>-30.89041588555990</t>
  </si>
  <si>
    <t>-55.55363696645990</t>
  </si>
  <si>
    <t>-30.89026655815630</t>
  </si>
  <si>
    <t>-55.55312843633480</t>
  </si>
  <si>
    <t>-30.88959853104680</t>
  </si>
  <si>
    <t>-55.55333334130350</t>
  </si>
  <si>
    <t>-30.88955297642050</t>
  </si>
  <si>
    <t>-55.55341824475000</t>
  </si>
  <si>
    <t>-30.88952380224510</t>
  </si>
  <si>
    <t>-55.55352898634240</t>
  </si>
  <si>
    <t>-30.88948004782210</t>
  </si>
  <si>
    <t>-55.55359893188410</t>
  </si>
  <si>
    <t>-30.88964300486640</t>
  </si>
  <si>
    <t>-55.55380461146830</t>
  </si>
  <si>
    <t>-3.08897481225079</t>
  </si>
  <si>
    <t>-55.55386638800820</t>
  </si>
  <si>
    <t>-3.08908306597709</t>
  </si>
  <si>
    <t>-55.55229661910560</t>
  </si>
  <si>
    <t>-30.89073442092100</t>
  </si>
  <si>
    <t>-55.55218174483830</t>
  </si>
  <si>
    <t>-30.89014151601240</t>
  </si>
  <si>
    <t>-55.55292035812910</t>
  </si>
  <si>
    <t>-30.89115905825200</t>
  </si>
  <si>
    <t>-55.55227706409380</t>
  </si>
  <si>
    <t>-30.89119911147820</t>
  </si>
  <si>
    <t>-5.55521791309855</t>
  </si>
  <si>
    <t>-30.89139523369130</t>
  </si>
  <si>
    <t>-55.55139975017390</t>
  </si>
  <si>
    <t>-30.89046041265480</t>
  </si>
  <si>
    <t>-55.55176773835680</t>
  </si>
  <si>
    <t>-30.89049820568530</t>
  </si>
  <si>
    <t>-55.55190136475560</t>
  </si>
  <si>
    <t>-30.89080141495310</t>
  </si>
  <si>
    <t>-55.55209887181650</t>
  </si>
  <si>
    <t>-30.89093270440140</t>
  </si>
  <si>
    <t>-55.55218941841830</t>
  </si>
  <si>
    <t>-3.08910706636221</t>
  </si>
  <si>
    <t>-55.55229313722430</t>
  </si>
  <si>
    <t>-30.89173090550750</t>
  </si>
  <si>
    <t>-55.55118840197880</t>
  </si>
  <si>
    <t>-30.89165822458090</t>
  </si>
  <si>
    <t>-55.55035853322350</t>
  </si>
  <si>
    <t>-30.89092949435350</t>
  </si>
  <si>
    <t>-55.55095609162970</t>
  </si>
  <si>
    <t>-30.89102714121750</t>
  </si>
  <si>
    <t>-55.55103177778000</t>
  </si>
  <si>
    <t>-30.89217230212470</t>
  </si>
  <si>
    <t>-55.54947320255270</t>
  </si>
  <si>
    <t>-30.89208588504060</t>
  </si>
  <si>
    <t>-5.55494130796249</t>
  </si>
  <si>
    <t>-30.89193056368840</t>
  </si>
  <si>
    <t>-55.54929259772490</t>
  </si>
  <si>
    <t>-3.08916271110214</t>
  </si>
  <si>
    <t>-55.55018938602430</t>
  </si>
  <si>
    <t>-30.89216384253280</t>
  </si>
  <si>
    <t>-55.55033502581450</t>
  </si>
  <si>
    <t>-30.89272401164690</t>
  </si>
  <si>
    <t>-55.54928611580980</t>
  </si>
  <si>
    <t>-30.89291151079600</t>
  </si>
  <si>
    <t>-55.54889976879620</t>
  </si>
  <si>
    <t>-3.08921811445409</t>
  </si>
  <si>
    <t>-55.54849628555020</t>
  </si>
  <si>
    <t>-30.89214862078770</t>
  </si>
  <si>
    <t>-55.54856369251320</t>
  </si>
  <si>
    <t>-30.89191449914690</t>
  </si>
  <si>
    <t>-55.54917015893280</t>
  </si>
  <si>
    <t>-30.89233220984460</t>
  </si>
  <si>
    <t>-55.54946780982520</t>
  </si>
  <si>
    <t>-30.89308012067390</t>
  </si>
  <si>
    <t>-55.54862049628330</t>
  </si>
  <si>
    <t>-30.89311811140190</t>
  </si>
  <si>
    <t>-55.54853989159830</t>
  </si>
  <si>
    <t>-30.89332066597710</t>
  </si>
  <si>
    <t>-55.54815297744170</t>
  </si>
  <si>
    <t>-30.89337400727470</t>
  </si>
  <si>
    <t>-55.54803385634340</t>
  </si>
  <si>
    <t>-30.89308123389080</t>
  </si>
  <si>
    <t>-55.54762842252640</t>
  </si>
  <si>
    <t>-30.89295691237040</t>
  </si>
  <si>
    <t>-55.54752992440450</t>
  </si>
  <si>
    <t>-30.89286877464110</t>
  </si>
  <si>
    <t>-5.55474526291136</t>
  </si>
  <si>
    <t>-30.89244527438080</t>
  </si>
  <si>
    <t>-55.54800946642650</t>
  </si>
  <si>
    <t>-30.89236333422040</t>
  </si>
  <si>
    <t>-55.54821733073190</t>
  </si>
  <si>
    <t>-30.89244526172800</t>
  </si>
  <si>
    <t>-55.54828726312090</t>
  </si>
  <si>
    <t>-30.89276856059920</t>
  </si>
  <si>
    <t>-55.54853228645880</t>
  </si>
  <si>
    <t>-3.08929056938658</t>
  </si>
  <si>
    <t>-55.54861007358410</t>
  </si>
  <si>
    <t>-30.89297837882670</t>
  </si>
  <si>
    <t>-55.54868080383380</t>
  </si>
  <si>
    <t>-30.89391781092440</t>
  </si>
  <si>
    <t>-55.54903771938290</t>
  </si>
  <si>
    <t>-3.08940030669972</t>
  </si>
  <si>
    <t>-55.54884993171870</t>
  </si>
  <si>
    <t>-30.89350107151560</t>
  </si>
  <si>
    <t>-55.54802180358000</t>
  </si>
  <si>
    <t>-30.89334846022080</t>
  </si>
  <si>
    <t>-55.55014226773380</t>
  </si>
  <si>
    <t>-30.89352679185560</t>
  </si>
  <si>
    <t>-55.54977238580000</t>
  </si>
  <si>
    <t>-30.89358802401590</t>
  </si>
  <si>
    <t>-5.55496774943567</t>
  </si>
  <si>
    <t>-3.08937122633578</t>
  </si>
  <si>
    <t>-55.54942754545250</t>
  </si>
  <si>
    <t>-30.89368709731680</t>
  </si>
  <si>
    <t>-0.55549300545205</t>
  </si>
  <si>
    <t>-30.89303407891940</t>
  </si>
  <si>
    <t>-55.54888498974230</t>
  </si>
  <si>
    <t>-30.89282552168400</t>
  </si>
  <si>
    <t>-5.55492975002249</t>
  </si>
  <si>
    <t>-30.89278135239330</t>
  </si>
  <si>
    <t>-55.54939823135410</t>
  </si>
  <si>
    <t>-30.89269085927520</t>
  </si>
  <si>
    <t>-55.54957034083720</t>
  </si>
  <si>
    <t>-30.89271648410260</t>
  </si>
  <si>
    <t>-55.54970924002680</t>
  </si>
  <si>
    <t>-30.89281844804940</t>
  </si>
  <si>
    <t>-55.54978346302980</t>
  </si>
  <si>
    <t>-30.89321952985040</t>
  </si>
  <si>
    <t>-55.55009652158080</t>
  </si>
  <si>
    <t>-30.89290081241960</t>
  </si>
  <si>
    <t>-5.55509715485402</t>
  </si>
  <si>
    <t>-30.89295241249120</t>
  </si>
  <si>
    <t>-55.55087684597430</t>
  </si>
  <si>
    <t>-30.89295604395730</t>
  </si>
  <si>
    <t>-55.55001916108680</t>
  </si>
  <si>
    <t>-30.89275707357510</t>
  </si>
  <si>
    <t>-5.55499063301218</t>
  </si>
  <si>
    <t>-3.08923175597535</t>
  </si>
  <si>
    <t>-55.55026285588320</t>
  </si>
  <si>
    <t>-30.89259245129280</t>
  </si>
  <si>
    <t>-55.55154971504440</t>
  </si>
  <si>
    <t>-30.89263610245840</t>
  </si>
  <si>
    <t>-55.55148376843830</t>
  </si>
  <si>
    <t>-30.89265534596760</t>
  </si>
  <si>
    <t>-55.55140389326830</t>
  </si>
  <si>
    <t>-30.89267762715790</t>
  </si>
  <si>
    <t>-55.55133217565420</t>
  </si>
  <si>
    <t>-30.89273972376790</t>
  </si>
  <si>
    <t>-55.55134817387600</t>
  </si>
  <si>
    <t>-30.89275061036100</t>
  </si>
  <si>
    <t>-55.55129421543960</t>
  </si>
  <si>
    <t>-30.89193317562150</t>
  </si>
  <si>
    <t>-55.55165979257200</t>
  </si>
  <si>
    <t>-30.89219887392910</t>
  </si>
  <si>
    <t>-55.55227731375580</t>
  </si>
  <si>
    <t>-30.89161077985630</t>
  </si>
  <si>
    <t>-55.55268088610470</t>
  </si>
  <si>
    <t>-30.89172985862700</t>
  </si>
  <si>
    <t>-55.55278137051960</t>
  </si>
  <si>
    <t>-30.89152511445130</t>
  </si>
  <si>
    <t>-55.55354056230950</t>
  </si>
  <si>
    <t>-30.89165435226100</t>
  </si>
  <si>
    <t>-55.55335818058500</t>
  </si>
  <si>
    <t>-30.89144441400740</t>
  </si>
  <si>
    <t>-55.55272006645030</t>
  </si>
  <si>
    <t>-30.89135708069090</t>
  </si>
  <si>
    <t>-55.55264649477300</t>
  </si>
  <si>
    <t>-30.89106003384200</t>
  </si>
  <si>
    <t>-55.55445436382990</t>
  </si>
  <si>
    <t>-30.89131796889780</t>
  </si>
  <si>
    <t>-5.55538654687556</t>
  </si>
  <si>
    <t>-30.89054011435150</t>
  </si>
  <si>
    <t>-55.55368753566830</t>
  </si>
  <si>
    <t>-30.89042643854900</t>
  </si>
  <si>
    <t>-55.55387771926210</t>
  </si>
  <si>
    <t>-30.89046779957690</t>
  </si>
  <si>
    <t>-55.55440402609220</t>
  </si>
  <si>
    <t>-30.89065205018700</t>
  </si>
  <si>
    <t>-55.55450559922230</t>
  </si>
  <si>
    <t>-30.89089621857850</t>
  </si>
  <si>
    <t>-55.55468007240540</t>
  </si>
  <si>
    <t>-30.89177024834330</t>
  </si>
  <si>
    <t>-55.55515740775540</t>
  </si>
  <si>
    <t>-30.89184623606270</t>
  </si>
  <si>
    <t>-55.55500450885810</t>
  </si>
  <si>
    <t>-30.89205561828040</t>
  </si>
  <si>
    <t>-5.55545697266635</t>
  </si>
  <si>
    <t>-30.89202837249740</t>
  </si>
  <si>
    <t>-55.55437381782710</t>
  </si>
  <si>
    <t>-30.89192275571790</t>
  </si>
  <si>
    <t>-55.55431129396620</t>
  </si>
  <si>
    <t>-30.89126344037880</t>
  </si>
  <si>
    <t>-55.55432976936540</t>
  </si>
  <si>
    <t>-30.89109808560740</t>
  </si>
  <si>
    <t>-55.55485567237770</t>
  </si>
  <si>
    <t>-3.08912411774842</t>
  </si>
  <si>
    <t>-55.55494376101400</t>
  </si>
  <si>
    <t>-30.89145849184750</t>
  </si>
  <si>
    <t>-55.55511255247310</t>
  </si>
  <si>
    <t>-3.08915772004075</t>
  </si>
  <si>
    <t>-55.55518822555250</t>
  </si>
  <si>
    <t>-3.08922675737228</t>
  </si>
  <si>
    <t>-55.55422627903770</t>
  </si>
  <si>
    <t>-30.89238837003480</t>
  </si>
  <si>
    <t>-55.55398170190400</t>
  </si>
  <si>
    <t>-30.89247603542750</t>
  </si>
  <si>
    <t>-55.55382898032880</t>
  </si>
  <si>
    <t>-30.89241145149630</t>
  </si>
  <si>
    <t>-55.55338164031470</t>
  </si>
  <si>
    <t>-30.89233592154510</t>
  </si>
  <si>
    <t>-55.55334048983580</t>
  </si>
  <si>
    <t>-30.89179800952640</t>
  </si>
  <si>
    <t>-55.55329818404770</t>
  </si>
  <si>
    <t>-30.89174598845150</t>
  </si>
  <si>
    <t>-55.55340351326030</t>
  </si>
  <si>
    <t>-30.89161892238960</t>
  </si>
  <si>
    <t>-55.55361536510000</t>
  </si>
  <si>
    <t>-30.89157836343380</t>
  </si>
  <si>
    <t>-55.55369748555630</t>
  </si>
  <si>
    <t>-30.89153971107700</t>
  </si>
  <si>
    <t>-55.55380465048970</t>
  </si>
  <si>
    <t>-30.89154005233050</t>
  </si>
  <si>
    <t>-55.55392370847740</t>
  </si>
  <si>
    <t>-30.89195962477780</t>
  </si>
  <si>
    <t>-55.55419323002570</t>
  </si>
  <si>
    <t>-0.30892083526903</t>
  </si>
  <si>
    <t>-55.55426444793200</t>
  </si>
  <si>
    <t>-30.89215840607140</t>
  </si>
  <si>
    <t>-5.55543027863378</t>
  </si>
  <si>
    <t>-30.89221458175460</t>
  </si>
  <si>
    <t>-55.55436660603610</t>
  </si>
  <si>
    <t>-30.89289269873760</t>
  </si>
  <si>
    <t>-5.55530421242467</t>
  </si>
  <si>
    <t>-30.89297098300800</t>
  </si>
  <si>
    <t>-55.55289995876820</t>
  </si>
  <si>
    <t>-30.89305201670200</t>
  </si>
  <si>
    <t>-55.55271549943050</t>
  </si>
  <si>
    <t>-30.89303034465280</t>
  </si>
  <si>
    <t>-55.55258537639080</t>
  </si>
  <si>
    <t>-30.89287889736570</t>
  </si>
  <si>
    <t>-55.55248633437270</t>
  </si>
  <si>
    <t>-30.89267233864520</t>
  </si>
  <si>
    <t>-55.55234250026960</t>
  </si>
  <si>
    <t>-30.89260085699490</t>
  </si>
  <si>
    <t>-5.55522555328523</t>
  </si>
  <si>
    <t>-30.89225306139450</t>
  </si>
  <si>
    <t>-55.55242507261990</t>
  </si>
  <si>
    <t>-30.89221043268990</t>
  </si>
  <si>
    <t>-5.55525378814758</t>
  </si>
  <si>
    <t>-30.89200040229820</t>
  </si>
  <si>
    <t>-55.55292423079060</t>
  </si>
  <si>
    <t>-30.89209402194860</t>
  </si>
  <si>
    <t>-5.55530281998591</t>
  </si>
  <si>
    <t>-30.89215500305510</t>
  </si>
  <si>
    <t>-55.55307009935460</t>
  </si>
  <si>
    <t>-30.89226804230980</t>
  </si>
  <si>
    <t>-55.55313224430340</t>
  </si>
  <si>
    <t>-30.89248553513070</t>
  </si>
  <si>
    <t>-55.55330914671520</t>
  </si>
  <si>
    <t>-30.89268065350580</t>
  </si>
  <si>
    <t>-55.55341706109250</t>
  </si>
  <si>
    <t>-30.89326065798640</t>
  </si>
  <si>
    <t>-55.55226883290060</t>
  </si>
  <si>
    <t>-30.89339410555870</t>
  </si>
  <si>
    <t>-55.55206493400030</t>
  </si>
  <si>
    <t>-30.89305819927730</t>
  </si>
  <si>
    <t>-55.55136275987110</t>
  </si>
  <si>
    <t>-30.89258702493560</t>
  </si>
  <si>
    <t>-5.55518687853747</t>
  </si>
  <si>
    <t>-30.89361606519320</t>
  </si>
  <si>
    <t>-55.55158329882250</t>
  </si>
  <si>
    <t>-30.89374120833300</t>
  </si>
  <si>
    <t>-55.55142236379800</t>
  </si>
  <si>
    <t>-30.89349123907550</t>
  </si>
  <si>
    <t>-55.55043212940500</t>
  </si>
  <si>
    <t>-30.89341723900790</t>
  </si>
  <si>
    <t>-5.55503564073429</t>
  </si>
  <si>
    <t>-30.89333099226870</t>
  </si>
  <si>
    <t>-55.55036594844810</t>
  </si>
  <si>
    <t>-30.89329227806460</t>
  </si>
  <si>
    <t>-55.55043482373280</t>
  </si>
  <si>
    <t>-30.89317943612420</t>
  </si>
  <si>
    <t>-5.55513110165788</t>
  </si>
  <si>
    <t>-30.89412112296950</t>
  </si>
  <si>
    <t>-55.55071531174510</t>
  </si>
  <si>
    <t>-3.08944830335707</t>
  </si>
  <si>
    <t>-55.55004581394820</t>
  </si>
  <si>
    <t>-30.89451499035530</t>
  </si>
  <si>
    <t>-55.54996611002020</t>
  </si>
  <si>
    <t>-30.89446804337150</t>
  </si>
  <si>
    <t>-55.54986118480400</t>
  </si>
  <si>
    <t>-30.89416641713070</t>
  </si>
  <si>
    <t>-55.54964728779530</t>
  </si>
  <si>
    <t>-30.89406251653420</t>
  </si>
  <si>
    <t>-55.54957819714870</t>
  </si>
  <si>
    <t>-30.89382401656230</t>
  </si>
  <si>
    <t>-55.54949461943690</t>
  </si>
  <si>
    <t>-30.89368404222930</t>
  </si>
  <si>
    <t>-55.54973550155710</t>
  </si>
  <si>
    <t>-30.89348331333330</t>
  </si>
  <si>
    <t>-55.55014663467670</t>
  </si>
  <si>
    <t>-30.89357703627640</t>
  </si>
  <si>
    <t>-55.55034039535740</t>
  </si>
  <si>
    <t>-30.89497339627550</t>
  </si>
  <si>
    <t>-55.54909498164760</t>
  </si>
  <si>
    <t>-30.89481117295060</t>
  </si>
  <si>
    <t>-55.54884255141270</t>
  </si>
  <si>
    <t>-30.89461358095480</t>
  </si>
  <si>
    <t>-55.54870941842760</t>
  </si>
  <si>
    <t>-30.89443137114050</t>
  </si>
  <si>
    <t>-55.54857845887170</t>
  </si>
  <si>
    <t>-30.89399726601670</t>
  </si>
  <si>
    <t>-5.55491142993062</t>
  </si>
  <si>
    <t>-30.89419735179530</t>
  </si>
  <si>
    <t>-55.54952245282520</t>
  </si>
  <si>
    <t>-30.89453944416720</t>
  </si>
  <si>
    <t>-55.54977516076010</t>
  </si>
  <si>
    <t>-30.89473000334120</t>
  </si>
  <si>
    <t>-55.54957533524440</t>
  </si>
  <si>
    <t>-30.89546852982570</t>
  </si>
  <si>
    <t>-55.55022297510980</t>
  </si>
  <si>
    <t>-30.89556832475230</t>
  </si>
  <si>
    <t>-55.55001179863840</t>
  </si>
  <si>
    <t>-30.89563561008120</t>
  </si>
  <si>
    <t>-55.54990968388800</t>
  </si>
  <si>
    <t>-30.89504339471480</t>
  </si>
  <si>
    <t>-55.54920446456410</t>
  </si>
  <si>
    <t>-3.08947106394669</t>
  </si>
  <si>
    <t>-55.54983584578080</t>
  </si>
  <si>
    <t>-30.89500591270710</t>
  </si>
  <si>
    <t>-55.55012654832380</t>
  </si>
  <si>
    <t>-30.89519832512060</t>
  </si>
  <si>
    <t>-55.55027711952590</t>
  </si>
  <si>
    <t>-3.08949493146517</t>
  </si>
  <si>
    <t>-55.55124179586520</t>
  </si>
  <si>
    <t>-30.89508179195320</t>
  </si>
  <si>
    <t>-55.55096504910470</t>
  </si>
  <si>
    <t>-30.89520981152570</t>
  </si>
  <si>
    <t>-5.55506718995961</t>
  </si>
  <si>
    <t>-30.89445610440470</t>
  </si>
  <si>
    <t>-55.55033739694610</t>
  </si>
  <si>
    <t>-30.89430772607160</t>
  </si>
  <si>
    <t>-55.55086387354570</t>
  </si>
  <si>
    <t>-30.89472659465380</t>
  </si>
  <si>
    <t>-55.55117298515110</t>
  </si>
  <si>
    <t>-30.89451260789110</t>
  </si>
  <si>
    <t>-55.55203444899050</t>
  </si>
  <si>
    <t>-30.89482258345520</t>
  </si>
  <si>
    <t>-55.55136122590480</t>
  </si>
  <si>
    <t>-30.89471607087960</t>
  </si>
  <si>
    <t>-55.55126405042970</t>
  </si>
  <si>
    <t>-30.89436754397620</t>
  </si>
  <si>
    <t>-55.55103561987260</t>
  </si>
  <si>
    <t>-30.89422065498810</t>
  </si>
  <si>
    <t>-55.55091842162810</t>
  </si>
  <si>
    <t>-30.89411281016420</t>
  </si>
  <si>
    <t>-5.55509304882647</t>
  </si>
  <si>
    <t>-30.89382385563210</t>
  </si>
  <si>
    <t>-55.55148549723880</t>
  </si>
  <si>
    <t>-30.89411497139820</t>
  </si>
  <si>
    <t>-5.55519712374936</t>
  </si>
  <si>
    <t>-30.89427759686450</t>
  </si>
  <si>
    <t>-55.55209736230900</t>
  </si>
  <si>
    <t>-30.89399931809870</t>
  </si>
  <si>
    <t>-55.55299064129700</t>
  </si>
  <si>
    <t>-30.89413226611560</t>
  </si>
  <si>
    <t>-55.55273680708790</t>
  </si>
  <si>
    <t>-30.89424636585010</t>
  </si>
  <si>
    <t>-55.55250174650840</t>
  </si>
  <si>
    <t>-30.89341530957110</t>
  </si>
  <si>
    <t>-55.55226050469990</t>
  </si>
  <si>
    <t>-30.89332632829160</t>
  </si>
  <si>
    <t>-55.55246033961890</t>
  </si>
  <si>
    <t>-3.08933407001422</t>
  </si>
  <si>
    <t>-55.55265610238320</t>
  </si>
  <si>
    <t>-30.89352826582710</t>
  </si>
  <si>
    <t>-5.55539163589865</t>
  </si>
  <si>
    <t>-30.89357064035030</t>
  </si>
  <si>
    <t>-55.55380579612600</t>
  </si>
  <si>
    <t>-30.89365764660680</t>
  </si>
  <si>
    <t>-55.55363596180550</t>
  </si>
  <si>
    <t>-30.89373295434760</t>
  </si>
  <si>
    <t>-55.55349978762480</t>
  </si>
  <si>
    <t>-30.89351926664590</t>
  </si>
  <si>
    <t>-55.55291442126360</t>
  </si>
  <si>
    <t>-3.08931067503368</t>
  </si>
  <si>
    <t>-55.55284174836110</t>
  </si>
  <si>
    <t>-30.89286125560390</t>
  </si>
  <si>
    <t>-55.55357604661870</t>
  </si>
  <si>
    <t>-3.08929375561799</t>
  </si>
  <si>
    <t>-55.55364413898880</t>
  </si>
  <si>
    <t>-30.89309131598310</t>
  </si>
  <si>
    <t>-55.55376627644790</t>
  </si>
  <si>
    <t>-30.89320819975110</t>
  </si>
  <si>
    <t>-55.55381434137820</t>
  </si>
  <si>
    <t>-3.08933292571517</t>
  </si>
  <si>
    <t>-5.55539101321135</t>
  </si>
  <si>
    <t>-30.89299091051840</t>
  </si>
  <si>
    <t>-55.55486737421210</t>
  </si>
  <si>
    <t>-30.89322731227270</t>
  </si>
  <si>
    <t>-55.55444687783420</t>
  </si>
  <si>
    <t>-3.08932556685757</t>
  </si>
  <si>
    <t>-55.55436306414280</t>
  </si>
  <si>
    <t>-30.89333032839870</t>
  </si>
  <si>
    <t>-5.55542474204215</t>
  </si>
  <si>
    <t>-30.89319639084200</t>
  </si>
  <si>
    <t>-55.55396496619650</t>
  </si>
  <si>
    <t>-30.89311755244180</t>
  </si>
  <si>
    <t>-55.55390986266330</t>
  </si>
  <si>
    <t>-30.89304864068000</t>
  </si>
  <si>
    <t>-55.55385957292760</t>
  </si>
  <si>
    <t>-30.89286906727230</t>
  </si>
  <si>
    <t>-55.55371637373260</t>
  </si>
  <si>
    <t>-3.08924366019993</t>
  </si>
  <si>
    <t>-55.55411258218050</t>
  </si>
  <si>
    <t>-30.89274494532280</t>
  </si>
  <si>
    <t>-55.55477943547080</t>
  </si>
  <si>
    <t>-30.89340105090870</t>
  </si>
  <si>
    <t>-55.55611092484320</t>
  </si>
  <si>
    <t>-30.89349695286670</t>
  </si>
  <si>
    <t>-55.55593169645150</t>
  </si>
  <si>
    <t>-30.89344352451770</t>
  </si>
  <si>
    <t>-55.55536001601530</t>
  </si>
  <si>
    <t>-30.89323965681490</t>
  </si>
  <si>
    <t>-55.55523051712510</t>
  </si>
  <si>
    <t>-30.89270841524960</t>
  </si>
  <si>
    <t>-55.55565866659270</t>
  </si>
  <si>
    <t>-30.89278327093340</t>
  </si>
  <si>
    <t>-55.55604519189100</t>
  </si>
  <si>
    <t>-30.89297362164680</t>
  </si>
  <si>
    <t>-55.55616672401620</t>
  </si>
  <si>
    <t>-30.89306040690700</t>
  </si>
  <si>
    <t>-55.55622264448740</t>
  </si>
  <si>
    <t>-30.89380325131130</t>
  </si>
  <si>
    <t>-55.55541028537940</t>
  </si>
  <si>
    <t>-30.89402531068680</t>
  </si>
  <si>
    <t>-55.55455710278950</t>
  </si>
  <si>
    <t>-30.89359556078340</t>
  </si>
  <si>
    <t>-5.55542509257959</t>
  </si>
  <si>
    <t>-3.08935408815193</t>
  </si>
  <si>
    <t>-55.55418619958450</t>
  </si>
  <si>
    <t>-30.89344512635630</t>
  </si>
  <si>
    <t>-55.55428511132260</t>
  </si>
  <si>
    <t>-30.89336808733620</t>
  </si>
  <si>
    <t>-55.55443243259600</t>
  </si>
  <si>
    <t>-30.89331558927020</t>
  </si>
  <si>
    <t>-55.55451823184120</t>
  </si>
  <si>
    <t>-30.89319030113420</t>
  </si>
  <si>
    <t>-55.55469984362290</t>
  </si>
  <si>
    <t>-30.89361900142950</t>
  </si>
  <si>
    <t>-55.55537262811920</t>
  </si>
  <si>
    <t>-30.89428905792710</t>
  </si>
  <si>
    <t>-55.55448646246610</t>
  </si>
  <si>
    <t>-30.89434214311780</t>
  </si>
  <si>
    <t>-5.55543837150184</t>
  </si>
  <si>
    <t>-30.89441862569650</t>
  </si>
  <si>
    <t>-5.55542136458528</t>
  </si>
  <si>
    <t>-30.89374447242650</t>
  </si>
  <si>
    <t>-5.55537042879909</t>
  </si>
  <si>
    <t>-30.89368886949420</t>
  </si>
  <si>
    <t>-55.55384739554870</t>
  </si>
  <si>
    <t>-3.08936528308805</t>
  </si>
  <si>
    <t>-55.55393031355380</t>
  </si>
  <si>
    <t>-30.89357449321430</t>
  </si>
  <si>
    <t>-55.55402456049540</t>
  </si>
  <si>
    <t>-30.89379419896910</t>
  </si>
  <si>
    <t>-55.55424198808730</t>
  </si>
  <si>
    <t>-30.89405144272450</t>
  </si>
  <si>
    <t>-55.55441730873760</t>
  </si>
  <si>
    <t>-30.89421648394310</t>
  </si>
  <si>
    <t>-55.55455016463710</t>
  </si>
  <si>
    <t>-30.89480174716180</t>
  </si>
  <si>
    <t>-55.55353036900530</t>
  </si>
  <si>
    <t>-30.89492072109960</t>
  </si>
  <si>
    <t>-55.55321238827370</t>
  </si>
  <si>
    <t>-30.89500721557530</t>
  </si>
  <si>
    <t>-55.55311296660870</t>
  </si>
  <si>
    <t>-30.89434324176850</t>
  </si>
  <si>
    <t>-5.55525887900308</t>
  </si>
  <si>
    <t>-30.89427340725370</t>
  </si>
  <si>
    <t>-55.55270252617990</t>
  </si>
  <si>
    <t>-30.89422519247470</t>
  </si>
  <si>
    <t>-55.55281814159440</t>
  </si>
  <si>
    <t>-30.89415435959120</t>
  </si>
  <si>
    <t>-55.55292832349310</t>
  </si>
  <si>
    <t>-30.89410799028370</t>
  </si>
  <si>
    <t>-55.55317110943970</t>
  </si>
  <si>
    <t>-30.89511504361890</t>
  </si>
  <si>
    <t>-55.55267593838530</t>
  </si>
  <si>
    <t>-30.89513859412500</t>
  </si>
  <si>
    <t>-55.55158696851970</t>
  </si>
  <si>
    <t>-3.08946509924264</t>
  </si>
  <si>
    <t>-55.55201090037590</t>
  </si>
  <si>
    <t>-30.89591295508110</t>
  </si>
  <si>
    <t>-55.55137700135120</t>
  </si>
  <si>
    <t>-30.89608064789500</t>
  </si>
  <si>
    <t>-55.55101381928430</t>
  </si>
  <si>
    <t>-30.89598473241910</t>
  </si>
  <si>
    <t>-55.55094732794540</t>
  </si>
  <si>
    <t>-3.08959064032851</t>
  </si>
  <si>
    <t>-5.55508810968395</t>
  </si>
  <si>
    <t>-30.89552718593100</t>
  </si>
  <si>
    <t>-55.55060664505000</t>
  </si>
  <si>
    <t>-30.89547057666750</t>
  </si>
  <si>
    <t>-55.55169572113170</t>
  </si>
  <si>
    <t>-30.89555771369080</t>
  </si>
  <si>
    <t>-55.55175056081790</t>
  </si>
  <si>
    <t>-3.08962612231057</t>
  </si>
  <si>
    <t>-55.55072885026020</t>
  </si>
  <si>
    <t>-30.89584432122480</t>
  </si>
  <si>
    <t>-55.54969471603610</t>
  </si>
  <si>
    <t>-30.89575768935060</t>
  </si>
  <si>
    <t>-55.54985622793270</t>
  </si>
  <si>
    <t>-30.89548608659650</t>
  </si>
  <si>
    <t>-55.55045671997560</t>
  </si>
  <si>
    <t>-30.89556004790480</t>
  </si>
  <si>
    <t>-5.55505233297556</t>
  </si>
  <si>
    <t>-30.89561396026800</t>
  </si>
  <si>
    <t>-55.55055186023550</t>
  </si>
  <si>
    <t>-30.89569119781870</t>
  </si>
  <si>
    <t>-55.55060738906090</t>
  </si>
  <si>
    <t>-3.08957846305729</t>
  </si>
  <si>
    <t>-55.55066547772910</t>
  </si>
  <si>
    <t>-30.89708036339030</t>
  </si>
  <si>
    <t>-55.55124019731060</t>
  </si>
  <si>
    <t>-30.89710838700100</t>
  </si>
  <si>
    <t>-55.55116035169200</t>
  </si>
  <si>
    <t>-30.89715428340260</t>
  </si>
  <si>
    <t>-55.55111038893970</t>
  </si>
  <si>
    <t>-30.89727004411370</t>
  </si>
  <si>
    <t>-55.55090294647120</t>
  </si>
  <si>
    <t>-30.89662471066140</t>
  </si>
  <si>
    <t>-55.55027897622390</t>
  </si>
  <si>
    <t>-30.89633710433000</t>
  </si>
  <si>
    <t>-55.55078001916200</t>
  </si>
  <si>
    <t>-30.89629284287270</t>
  </si>
  <si>
    <t>-55.55088669628740</t>
  </si>
  <si>
    <t>-30.89650257418430</t>
  </si>
  <si>
    <t>-55.55120594400820</t>
  </si>
  <si>
    <t>-30.89659158189550</t>
  </si>
  <si>
    <t>-55.55125100255260</t>
  </si>
  <si>
    <t>-30.89667518537270</t>
  </si>
  <si>
    <t>-5.55513052021871</t>
  </si>
  <si>
    <t>-30.89656453092950</t>
  </si>
  <si>
    <t>-55.55220800606250</t>
  </si>
  <si>
    <t>-30.89585516598410</t>
  </si>
  <si>
    <t>-55.55197155289220</t>
  </si>
  <si>
    <t>-30.89595523316640</t>
  </si>
  <si>
    <t>-5.55520377240796</t>
  </si>
  <si>
    <t>-30.89589312673860</t>
  </si>
  <si>
    <t>-55.55212255979400</t>
  </si>
  <si>
    <t>-3.08957459574475</t>
  </si>
  <si>
    <t>-55.55314820566680</t>
  </si>
  <si>
    <t>-30.89565052419510</t>
  </si>
  <si>
    <t>-55.55399508448150</t>
  </si>
  <si>
    <t>-30.89569922666740</t>
  </si>
  <si>
    <t>-55.55388225881150</t>
  </si>
  <si>
    <t>-30.89575224212200</t>
  </si>
  <si>
    <t>-55.55379291767410</t>
  </si>
  <si>
    <t>-3.08957777639829</t>
  </si>
  <si>
    <t>-55.55370686793390</t>
  </si>
  <si>
    <t>-30.89582183631520</t>
  </si>
  <si>
    <t>-55.55363037284900</t>
  </si>
  <si>
    <t>-30.89591106202840</t>
  </si>
  <si>
    <t>-55.55349345291800</t>
  </si>
  <si>
    <t>-30.89492461627070</t>
  </si>
  <si>
    <t>-55.55381748767230</t>
  </si>
  <si>
    <t>-30.89504257302290</t>
  </si>
  <si>
    <t>-55.55390941166190</t>
  </si>
  <si>
    <t>-30.89518856581860</t>
  </si>
  <si>
    <t>-55.55483015164350</t>
  </si>
  <si>
    <t>-30.89544130696850</t>
  </si>
  <si>
    <t>-55.55439154644660</t>
  </si>
  <si>
    <t>-30.89523864682100</t>
  </si>
  <si>
    <t>-55.55415428495430</t>
  </si>
  <si>
    <t>-30.89461104333550</t>
  </si>
  <si>
    <t>-55.55483066390810</t>
  </si>
  <si>
    <t>-30.89469576586030</t>
  </si>
  <si>
    <t>-55.55489497633900</t>
  </si>
  <si>
    <t>-30.89478089005040</t>
  </si>
  <si>
    <t>-55.55493475923260</t>
  </si>
  <si>
    <t>-30.89490231770030</t>
  </si>
  <si>
    <t>-55.55504571730230</t>
  </si>
  <si>
    <t>-3.08945845446189</t>
  </si>
  <si>
    <t>-55.55593827712640</t>
  </si>
  <si>
    <t>-30.89465619170210</t>
  </si>
  <si>
    <t>-55.55583666537630</t>
  </si>
  <si>
    <t>-30.89495917749610</t>
  </si>
  <si>
    <t>-55.55526097313610</t>
  </si>
  <si>
    <t>-30.89476777060730</t>
  </si>
  <si>
    <t>-55.55507412111490</t>
  </si>
  <si>
    <t>-30.89400017526080</t>
  </si>
  <si>
    <t>-5.55556383972317</t>
  </si>
  <si>
    <t>-3.08941663742198</t>
  </si>
  <si>
    <t>-55.55575720741600</t>
  </si>
  <si>
    <t>-30.89423350899240</t>
  </si>
  <si>
    <t>-55.55579875591160</t>
  </si>
  <si>
    <t>-30.89429699649480</t>
  </si>
  <si>
    <t>-55.55585501854930</t>
  </si>
  <si>
    <t>-30.89443410965320</t>
  </si>
  <si>
    <t>-55.55597246078610</t>
  </si>
  <si>
    <t>-3.08942480749495</t>
  </si>
  <si>
    <t>-55.55655500961710</t>
  </si>
  <si>
    <t>-30.89442754379910</t>
  </si>
  <si>
    <t>-55.55622296059400</t>
  </si>
  <si>
    <t>-30.89445557450640</t>
  </si>
  <si>
    <t>-55.55611014519180</t>
  </si>
  <si>
    <t>-30.89423109615260</t>
  </si>
  <si>
    <t>-5.55559329544746</t>
  </si>
  <si>
    <t>-3.08939910698039</t>
  </si>
  <si>
    <t>-55.55577686948670</t>
  </si>
  <si>
    <t>-30.89388837145610</t>
  </si>
  <si>
    <t>-55.55570501253520</t>
  </si>
  <si>
    <t>-30.89372872110050</t>
  </si>
  <si>
    <t>-55.55573765047680</t>
  </si>
  <si>
    <t>-30.89359880445260</t>
  </si>
  <si>
    <t>-55.55600081726410</t>
  </si>
  <si>
    <t>-30.89353241255820</t>
  </si>
  <si>
    <t>-55.55613726152410</t>
  </si>
  <si>
    <t>-30.89348798153550</t>
  </si>
  <si>
    <t>-55.55623007117280</t>
  </si>
  <si>
    <t>-30.89341092732870</t>
  </si>
  <si>
    <t>-55.55649683330990</t>
  </si>
  <si>
    <t>-30.89357749180000</t>
  </si>
  <si>
    <t>-55.55657543753950</t>
  </si>
  <si>
    <t>-30.89369820692560</t>
  </si>
  <si>
    <t>-55.55667328583170</t>
  </si>
  <si>
    <t>-30.89394975205970</t>
  </si>
  <si>
    <t>-55.55684090812650</t>
  </si>
  <si>
    <t>-30.89487991308210</t>
  </si>
  <si>
    <t>-55.55743628465250</t>
  </si>
  <si>
    <t>-30.89498532163190</t>
  </si>
  <si>
    <t>-0.55557244870756</t>
  </si>
  <si>
    <t>-30.89513190836310</t>
  </si>
  <si>
    <t>-55.55695009547270</t>
  </si>
  <si>
    <t>-30.89521488047580</t>
  </si>
  <si>
    <t>-55.55674655660630</t>
  </si>
  <si>
    <t>-30.89504939178660</t>
  </si>
  <si>
    <t>-5.55565572178356</t>
  </si>
  <si>
    <t>-30.89456661846300</t>
  </si>
  <si>
    <t>-55.55625945454320</t>
  </si>
  <si>
    <t>-30.89447277289740</t>
  </si>
  <si>
    <t>-55.55636781307220</t>
  </si>
  <si>
    <t>-30.89430038523460</t>
  </si>
  <si>
    <t>-55.55670967167270</t>
  </si>
  <si>
    <t>-30.89539745669800</t>
  </si>
  <si>
    <t>-5.55564074384054</t>
  </si>
  <si>
    <t>-30.89546048072110</t>
  </si>
  <si>
    <t>-5.55563218725153</t>
  </si>
  <si>
    <t>-30.89551661200660</t>
  </si>
  <si>
    <t>-55.55624120520480</t>
  </si>
  <si>
    <t>-30.89556107507200</t>
  </si>
  <si>
    <t>-55.55615450437070</t>
  </si>
  <si>
    <t>-30.89562107013520</t>
  </si>
  <si>
    <t>-55.55602701024010</t>
  </si>
  <si>
    <t>-30.89566669238330</t>
  </si>
  <si>
    <t>-55.55592626098320</t>
  </si>
  <si>
    <t>-30.89507913644130</t>
  </si>
  <si>
    <t>-55.55529142369890</t>
  </si>
  <si>
    <t>-30.89488563084570</t>
  </si>
  <si>
    <t>-55.55559205096220</t>
  </si>
  <si>
    <t>-30.89473116333180</t>
  </si>
  <si>
    <t>-55.55589137854510</t>
  </si>
  <si>
    <t>-30.89465013514650</t>
  </si>
  <si>
    <t>-55.55599855612470</t>
  </si>
  <si>
    <t>-30.89470416459800</t>
  </si>
  <si>
    <t>-55.55615961935090</t>
  </si>
  <si>
    <t>-3.08949874159019</t>
  </si>
  <si>
    <t>-55.55635392950070</t>
  </si>
  <si>
    <t>-30.89504879360510</t>
  </si>
  <si>
    <t>-55.55640351067750</t>
  </si>
  <si>
    <t>-30.89512892543080</t>
  </si>
  <si>
    <t>-55.55646447485920</t>
  </si>
  <si>
    <t>-30.89584317463530</t>
  </si>
  <si>
    <t>-55.55560309685330</t>
  </si>
  <si>
    <t>-30.89588896628210</t>
  </si>
  <si>
    <t>-55.55552977709550</t>
  </si>
  <si>
    <t>-30.89598017860020</t>
  </si>
  <si>
    <t>-55.55536797266770</t>
  </si>
  <si>
    <t>-30.89601431734060</t>
  </si>
  <si>
    <t>-55.55526877198120</t>
  </si>
  <si>
    <t>-30.89605915084810</t>
  </si>
  <si>
    <t>-55.55519723473430</t>
  </si>
  <si>
    <t>-30.89610917695040</t>
  </si>
  <si>
    <t>-55.55509225218750</t>
  </si>
  <si>
    <t>-30.89620114685080</t>
  </si>
  <si>
    <t>-55.55494092803960</t>
  </si>
  <si>
    <t>-30.89596519849990</t>
  </si>
  <si>
    <t>-55.55469426251410</t>
  </si>
  <si>
    <t>-30.89586038445570</t>
  </si>
  <si>
    <t>-55.55462769828840</t>
  </si>
  <si>
    <t>-30.89518271843700</t>
  </si>
  <si>
    <t>-55.55510713396250</t>
  </si>
  <si>
    <t>-30.89567066878540</t>
  </si>
  <si>
    <t>-55.55562211099030</t>
  </si>
  <si>
    <t>-30.89577070650150</t>
  </si>
  <si>
    <t>-55.55567774383960</t>
  </si>
  <si>
    <t>-30.89633203701550</t>
  </si>
  <si>
    <t>-5.55546646390757</t>
  </si>
  <si>
    <t>-30.89638729332360</t>
  </si>
  <si>
    <t>-55.55455728749220</t>
  </si>
  <si>
    <t>-30.89644692016470</t>
  </si>
  <si>
    <t>-55.55445050801770</t>
  </si>
  <si>
    <t>-30.89650266961520</t>
  </si>
  <si>
    <t>-55.55436933594750</t>
  </si>
  <si>
    <t>-30.89655544282040</t>
  </si>
  <si>
    <t>-55.55424872415290</t>
  </si>
  <si>
    <t>-30.89663136576260</t>
  </si>
  <si>
    <t>-55.55409216489670</t>
  </si>
  <si>
    <t>-30.89670650982400</t>
  </si>
  <si>
    <t>-55.55402286196370</t>
  </si>
  <si>
    <t>-30.89630769067280</t>
  </si>
  <si>
    <t>-5.55536736254376</t>
  </si>
  <si>
    <t>-30.89615239180710</t>
  </si>
  <si>
    <t>-55.55356295936250</t>
  </si>
  <si>
    <t>-3.08958462307355</t>
  </si>
  <si>
    <t>-55.55382617456240</t>
  </si>
  <si>
    <t>-30.89678100578850</t>
  </si>
  <si>
    <t>-55.55380079761650</t>
  </si>
  <si>
    <t>-3.08968548706233</t>
  </si>
  <si>
    <t>-55.55372095690080</t>
  </si>
  <si>
    <t>-3.08969152848363</t>
  </si>
  <si>
    <t>-55.55359119714090</t>
  </si>
  <si>
    <t>-30.89702320710320</t>
  </si>
  <si>
    <t>-55.55332571079530</t>
  </si>
  <si>
    <t>-30.89713689074920</t>
  </si>
  <si>
    <t>-55.55311725289290</t>
  </si>
  <si>
    <t>-30.89619804979770</t>
  </si>
  <si>
    <t>-55.55345769734580</t>
  </si>
  <si>
    <t>-30.89628418187160</t>
  </si>
  <si>
    <t>-55.55353301078070</t>
  </si>
  <si>
    <t>-30.89670216130810</t>
  </si>
  <si>
    <t>-55.55379374805520</t>
  </si>
  <si>
    <t>-30.89732575880840</t>
  </si>
  <si>
    <t>-55.55275965219470</t>
  </si>
  <si>
    <t>-30.89738923138440</t>
  </si>
  <si>
    <t>-55.55266231824640</t>
  </si>
  <si>
    <t>-30.89753095829230</t>
  </si>
  <si>
    <t>-55.55240659452630</t>
  </si>
  <si>
    <t>-30.89761323683250</t>
  </si>
  <si>
    <t>-5.55522244258895</t>
  </si>
  <si>
    <t>-30.89688879632440</t>
  </si>
  <si>
    <t>-55.55184816133980</t>
  </si>
  <si>
    <t>-0.30897134340062</t>
  </si>
  <si>
    <t>-55.55287005786120</t>
  </si>
  <si>
    <t>-30.89785839096060</t>
  </si>
  <si>
    <t>-55.55183595976690</t>
  </si>
  <si>
    <t>-30.89792392159760</t>
  </si>
  <si>
    <t>-55.55169258717490</t>
  </si>
  <si>
    <t>-3.08980445856144</t>
  </si>
  <si>
    <t>-55.55145128674560</t>
  </si>
  <si>
    <t>-30.89731906139770</t>
  </si>
  <si>
    <t>-55.55099807959740</t>
  </si>
  <si>
    <t>-30.89720545782530</t>
  </si>
  <si>
    <t>-55.55168639523960</t>
  </si>
  <si>
    <t>-30.89730042105170</t>
  </si>
  <si>
    <t>-55.55174015022490</t>
  </si>
  <si>
    <t>-3.08973946309185</t>
  </si>
  <si>
    <t>-55.55182198069010</t>
  </si>
  <si>
    <t>-30.89748837846820</t>
  </si>
  <si>
    <t>-55.55191658652500</t>
  </si>
  <si>
    <t>-30.89853504802740</t>
  </si>
  <si>
    <t>-55.55256418463240</t>
  </si>
  <si>
    <t>-30.89857804864930</t>
  </si>
  <si>
    <t>-55.55243910001900</t>
  </si>
  <si>
    <t>-30.89877161160770</t>
  </si>
  <si>
    <t>-55.55215366558270</t>
  </si>
  <si>
    <t>-30.89883493659560</t>
  </si>
  <si>
    <t>-55.55202866070040</t>
  </si>
  <si>
    <t>-30.89814062108180</t>
  </si>
  <si>
    <t>-55.55149764901740</t>
  </si>
  <si>
    <t>-30.89792338131690</t>
  </si>
  <si>
    <t>-55.55191695695660</t>
  </si>
  <si>
    <t>-30.89784877338480</t>
  </si>
  <si>
    <t>-5.55520264889216</t>
  </si>
  <si>
    <t>-3.08982416695048</t>
  </si>
  <si>
    <t>-55.55242708573720</t>
  </si>
  <si>
    <t>-3.08981504154845</t>
  </si>
  <si>
    <t>-5.55532592081361</t>
  </si>
  <si>
    <t>-30.89830548625740</t>
  </si>
  <si>
    <t>-55.55301795356340</t>
  </si>
  <si>
    <t>-3.08976247098488</t>
  </si>
  <si>
    <t>-55.55245118210100</t>
  </si>
  <si>
    <t>-30.89742201939310</t>
  </si>
  <si>
    <t>-55.55281182766590</t>
  </si>
  <si>
    <t>-30.89747176411920</t>
  </si>
  <si>
    <t>-55.55311382460450</t>
  </si>
  <si>
    <t>-30.90060604083680</t>
  </si>
  <si>
    <t>-55.55480198953800</t>
  </si>
  <si>
    <t>-30.89759074558920</t>
  </si>
  <si>
    <t>-55.55322725683870</t>
  </si>
  <si>
    <t>-3.08976153207478</t>
  </si>
  <si>
    <t>-55.55433791206550</t>
  </si>
  <si>
    <t>-30.89793622854300</t>
  </si>
  <si>
    <t>-5.55536529399167</t>
  </si>
  <si>
    <t>-30.89723304601320</t>
  </si>
  <si>
    <t>-55.55322456164780</t>
  </si>
  <si>
    <t>-30.89714423705420</t>
  </si>
  <si>
    <t>-55.55339048109590</t>
  </si>
  <si>
    <t>-30.89709243091420</t>
  </si>
  <si>
    <t>-55.55347787915320</t>
  </si>
  <si>
    <t>-30.89691092496610</t>
  </si>
  <si>
    <t>-5.55538305159265</t>
  </si>
  <si>
    <t>-30.89689555651660</t>
  </si>
  <si>
    <t>-55.55396620703970</t>
  </si>
  <si>
    <t>-30.89705531873170</t>
  </si>
  <si>
    <t>-55.55406822911240</t>
  </si>
  <si>
    <t>-3.08974209212296</t>
  </si>
  <si>
    <t>-55.55431927878980</t>
  </si>
  <si>
    <t>-30.89755296572300</t>
  </si>
  <si>
    <t>-55.55439139968250</t>
  </si>
  <si>
    <t>-30.89713103690950</t>
  </si>
  <si>
    <t>-55.55523272734330</t>
  </si>
  <si>
    <t>-30.89716991309310</t>
  </si>
  <si>
    <t>-55.55512994297150</t>
  </si>
  <si>
    <t>-30.89725847224730</t>
  </si>
  <si>
    <t>-55.55497152885680</t>
  </si>
  <si>
    <t>-30.89735063433940</t>
  </si>
  <si>
    <t>-55.55481062948810</t>
  </si>
  <si>
    <t>-30.89663111763240</t>
  </si>
  <si>
    <t>-55.55435529989030</t>
  </si>
  <si>
    <t>-30.89655709159380</t>
  </si>
  <si>
    <t>-55.55444423549140</t>
  </si>
  <si>
    <t>-30.89654217776140</t>
  </si>
  <si>
    <t>-55.55456633890530</t>
  </si>
  <si>
    <t>-30.89647929015710</t>
  </si>
  <si>
    <t>-55.55468851696070</t>
  </si>
  <si>
    <t>-30.89638641771260</t>
  </si>
  <si>
    <t>-5.55547923162357</t>
  </si>
  <si>
    <t>-30.89647422014180</t>
  </si>
  <si>
    <t>-55.55488212798930</t>
  </si>
  <si>
    <t>-30.89663870150190</t>
  </si>
  <si>
    <t>-55.55502841255750</t>
  </si>
  <si>
    <t>-30.89674666659880</t>
  </si>
  <si>
    <t>-55.55509604549440</t>
  </si>
  <si>
    <t>-30.89682683528580</t>
  </si>
  <si>
    <t>-55.55518148937900</t>
  </si>
  <si>
    <t>-30.89690004708500</t>
  </si>
  <si>
    <t>-55.55521731462990</t>
  </si>
  <si>
    <t>-30.89689366518310</t>
  </si>
  <si>
    <t>-55.55534615565470</t>
  </si>
  <si>
    <t>-30.89679026007730</t>
  </si>
  <si>
    <t>-55.55526251972200</t>
  </si>
  <si>
    <t>-30.89622742997320</t>
  </si>
  <si>
    <t>-55.55512097536550</t>
  </si>
  <si>
    <t>-30.89615086722840</t>
  </si>
  <si>
    <t>-55.55525577402590</t>
  </si>
  <si>
    <t>-30.89609100607610</t>
  </si>
  <si>
    <t>-55.55538749356180</t>
  </si>
  <si>
    <t>-30.89596710507680</t>
  </si>
  <si>
    <t>-55.55577729194390</t>
  </si>
  <si>
    <t>-30.89638401769750</t>
  </si>
  <si>
    <t>-55.55609062342500</t>
  </si>
  <si>
    <t>-30.89613517936580</t>
  </si>
  <si>
    <t>-55.55709753447800</t>
  </si>
  <si>
    <t>-30.89646539581190</t>
  </si>
  <si>
    <t>-55.55645861113490</t>
  </si>
  <si>
    <t>-30.89602134776760</t>
  </si>
  <si>
    <t>-55.55596189257590</t>
  </si>
  <si>
    <t>-30.89578223972990</t>
  </si>
  <si>
    <t>-55.55596606607890</t>
  </si>
  <si>
    <t>-30.89563394002700</t>
  </si>
  <si>
    <t>-55.55623607926550</t>
  </si>
  <si>
    <t>-30.89549115359450</t>
  </si>
  <si>
    <t>-55.55648054504410</t>
  </si>
  <si>
    <t>-30.89545425679550</t>
  </si>
  <si>
    <t>-55.55658709800160</t>
  </si>
  <si>
    <t>-30.89591895234580</t>
  </si>
  <si>
    <t>-55.55701884898350</t>
  </si>
  <si>
    <t>-30.89563421933490</t>
  </si>
  <si>
    <t>-55.55802590556860</t>
  </si>
  <si>
    <t>-30.89569703252650</t>
  </si>
  <si>
    <t>-5.55578976683781</t>
  </si>
  <si>
    <t>-30.89580613496540</t>
  </si>
  <si>
    <t>-5.55577083671248</t>
  </si>
  <si>
    <t>-30.89538242492280</t>
  </si>
  <si>
    <t>-55.55679444204860</t>
  </si>
  <si>
    <t>-30.89529399375930</t>
  </si>
  <si>
    <t>-55.55687495896860</t>
  </si>
  <si>
    <t>-30.89522679659550</t>
  </si>
  <si>
    <t>-55.55700772906550</t>
  </si>
  <si>
    <t>-30.89502158909730</t>
  </si>
  <si>
    <t>-55.55733992872550</t>
  </si>
  <si>
    <t>-30.89495990202290</t>
  </si>
  <si>
    <t>-55.55746724786040</t>
  </si>
  <si>
    <t>-30.89526415315290</t>
  </si>
  <si>
    <t>-5.55578019528953</t>
  </si>
  <si>
    <t>-30.89543291453360</t>
  </si>
  <si>
    <t>-55.55792540621500</t>
  </si>
  <si>
    <t>-30.89664053110840</t>
  </si>
  <si>
    <t>-55.55819994183490</t>
  </si>
  <si>
    <t>-30.89675546710010</t>
  </si>
  <si>
    <t>-55.55793924489690</t>
  </si>
  <si>
    <t>-30.89678270355990</t>
  </si>
  <si>
    <t>-5.55578210348997</t>
  </si>
  <si>
    <t>-30.89646152428590</t>
  </si>
  <si>
    <t>-55.55755830219550</t>
  </si>
  <si>
    <t>-30.89634903055560</t>
  </si>
  <si>
    <t>-55.55746832412670</t>
  </si>
  <si>
    <t>-30.89585166513120</t>
  </si>
  <si>
    <t>-55.55823478520930</t>
  </si>
  <si>
    <t>-30.89607901062810</t>
  </si>
  <si>
    <t>-55.55839250773080</t>
  </si>
  <si>
    <t>-30.89626642022240</t>
  </si>
  <si>
    <t>-0.55558496476923</t>
  </si>
  <si>
    <t>-30.89638563072400</t>
  </si>
  <si>
    <t>-55.55860003559040</t>
  </si>
  <si>
    <t>-30.89657692265420</t>
  </si>
  <si>
    <t>-55.55652144903790</t>
  </si>
  <si>
    <t>-30.89684045480800</t>
  </si>
  <si>
    <t>-55.55767122557540</t>
  </si>
  <si>
    <t>-30.89719078971050</t>
  </si>
  <si>
    <t>-55.55708040924070</t>
  </si>
  <si>
    <t>-30.89742759354130</t>
  </si>
  <si>
    <t>-55.55670152326700</t>
  </si>
  <si>
    <t>-30.89747626806170</t>
  </si>
  <si>
    <t>-55.55654733563540</t>
  </si>
  <si>
    <t>-30.89761696569570</t>
  </si>
  <si>
    <t>-55.55636604627540</t>
  </si>
  <si>
    <t>-30.89771561695810</t>
  </si>
  <si>
    <t>-55.55614377365090</t>
  </si>
  <si>
    <t>-30.89775770088430</t>
  </si>
  <si>
    <t>-55.55603200932990</t>
  </si>
  <si>
    <t>-30.89754857640830</t>
  </si>
  <si>
    <t>-55.55582493215150</t>
  </si>
  <si>
    <t>-30.89733918954820</t>
  </si>
  <si>
    <t>-55.55566761747040</t>
  </si>
  <si>
    <t>-30.89708357713730</t>
  </si>
  <si>
    <t>-55.55559568432190</t>
  </si>
  <si>
    <t>-30.89672992411380</t>
  </si>
  <si>
    <t>-55.55619300540110</t>
  </si>
  <si>
    <t>-30.89672473270750</t>
  </si>
  <si>
    <t>-55.55636566924770</t>
  </si>
  <si>
    <t>-30.89683290035740</t>
  </si>
  <si>
    <t>-55.55642030116290</t>
  </si>
  <si>
    <t>-30.89690985057270</t>
  </si>
  <si>
    <t>-55.55646204477120</t>
  </si>
  <si>
    <t>-30.89699394337580</t>
  </si>
  <si>
    <t>-55.55654400855820</t>
  </si>
  <si>
    <t>-30.89726873149560</t>
  </si>
  <si>
    <t>-55.55672622628260</t>
  </si>
  <si>
    <t>-30.89734793207250</t>
  </si>
  <si>
    <t>-0.55556778348435</t>
  </si>
  <si>
    <t>-30.89786418536010</t>
  </si>
  <si>
    <t>-55.55584829531620</t>
  </si>
  <si>
    <t>-30.89793607719300</t>
  </si>
  <si>
    <t>-55.55570862542170</t>
  </si>
  <si>
    <t>-30.89801049939630</t>
  </si>
  <si>
    <t>-55.55552229963660</t>
  </si>
  <si>
    <t>-30.89817867607350</t>
  </si>
  <si>
    <t>-5.55552675176248</t>
  </si>
  <si>
    <t>-30.89825920098980</t>
  </si>
  <si>
    <t>-55.55515130361500</t>
  </si>
  <si>
    <t>-30.89754007486320</t>
  </si>
  <si>
    <t>-55.55471061036960</t>
  </si>
  <si>
    <t>-30.89748585739390</t>
  </si>
  <si>
    <t>-55.55475654060080</t>
  </si>
  <si>
    <t>-30.89746020961380</t>
  </si>
  <si>
    <t>-55.55487115849900</t>
  </si>
  <si>
    <t>-3.08974123247934</t>
  </si>
  <si>
    <t>-55.55494803148670</t>
  </si>
  <si>
    <t>-30.89723330951030</t>
  </si>
  <si>
    <t>-55.55544033571790</t>
  </si>
  <si>
    <t>-30.89731862093610</t>
  </si>
  <si>
    <t>-55.55550577173620</t>
  </si>
  <si>
    <t>-30.89746975345860</t>
  </si>
  <si>
    <t>-55.55561927051000</t>
  </si>
  <si>
    <t>-30.89765622393210</t>
  </si>
  <si>
    <t>-55.55573851446200</t>
  </si>
  <si>
    <t>-30.89774580947650</t>
  </si>
  <si>
    <t>-55.55581269040660</t>
  </si>
  <si>
    <t>-3.08985240745513</t>
  </si>
  <si>
    <t>-55.55457614037110</t>
  </si>
  <si>
    <t>-30.89861187463260</t>
  </si>
  <si>
    <t>-55.55442366853780</t>
  </si>
  <si>
    <t>-30.89817114185500</t>
  </si>
  <si>
    <t>-55.55374157854630</t>
  </si>
  <si>
    <t>-30.89804820569690</t>
  </si>
  <si>
    <t>-55.55373487133910</t>
  </si>
  <si>
    <t>-30.89763015587230</t>
  </si>
  <si>
    <t>-5.55544494739021</t>
  </si>
  <si>
    <t>-30.89776545133620</t>
  </si>
  <si>
    <t>-55.55460039913410</t>
  </si>
  <si>
    <t>-30.89812592081570</t>
  </si>
  <si>
    <t>-55.55483107282400</t>
  </si>
  <si>
    <t>-30.89897859955900</t>
  </si>
  <si>
    <t>-55.55308829247200</t>
  </si>
  <si>
    <t>-30.89917818014260</t>
  </si>
  <si>
    <t>-55.55341210194890</t>
  </si>
  <si>
    <t>-30.89821872225710</t>
  </si>
  <si>
    <t>-55.55335700715710</t>
  </si>
  <si>
    <t>-30.89815895463430</t>
  </si>
  <si>
    <t>-55.55351271749040</t>
  </si>
  <si>
    <t>-30.89837798028870</t>
  </si>
  <si>
    <t>-55.55375362752870</t>
  </si>
  <si>
    <t>-3.08985768063481</t>
  </si>
  <si>
    <t>-55.55390034036660</t>
  </si>
  <si>
    <t>-30.89876078440440</t>
  </si>
  <si>
    <t>-55.55402425285470</t>
  </si>
  <si>
    <t>-30.89939912346930</t>
  </si>
  <si>
    <t>-55.55301092285890</t>
  </si>
  <si>
    <t>-30.89893328494390</t>
  </si>
  <si>
    <t>-55.55293019774870</t>
  </si>
  <si>
    <t>-30.89907644542400</t>
  </si>
  <si>
    <t>-55.55302971275220</t>
  </si>
  <si>
    <t>-30.89913736746350</t>
  </si>
  <si>
    <t>-5.55530645591402</t>
  </si>
  <si>
    <t>-30.89916138740700</t>
  </si>
  <si>
    <t>-55.55310756901120</t>
  </si>
  <si>
    <t>-30.89920423180840</t>
  </si>
  <si>
    <t>-55.55312080999300</t>
  </si>
  <si>
    <t>-30.90036471205260</t>
  </si>
  <si>
    <t>-55.55322796734480</t>
  </si>
  <si>
    <t>-30.90039334492460</t>
  </si>
  <si>
    <t>-55.55318615321150</t>
  </si>
  <si>
    <t>-30.89944347539450</t>
  </si>
  <si>
    <t>-5.55530854627116</t>
  </si>
  <si>
    <t>-30.89968229437830</t>
  </si>
  <si>
    <t>-55.55344913026070</t>
  </si>
  <si>
    <t>-30.89987766213870</t>
  </si>
  <si>
    <t>-55.55359931703010</t>
  </si>
  <si>
    <t>-30.90000560825010</t>
  </si>
  <si>
    <t>-55.55370576545470</t>
  </si>
  <si>
    <t>-30.90004962564360</t>
  </si>
  <si>
    <t>-55.55373431222420</t>
  </si>
  <si>
    <t>-30.89961128529750</t>
  </si>
  <si>
    <t>-55.55462128001970</t>
  </si>
  <si>
    <t>-30.89975900877750</t>
  </si>
  <si>
    <t>-55.55432733994620</t>
  </si>
  <si>
    <t>-30.89988564447090</t>
  </si>
  <si>
    <t>-55.55373740733280</t>
  </si>
  <si>
    <t>-30.89912189594130</t>
  </si>
  <si>
    <t>-55.55432150450170</t>
  </si>
  <si>
    <t>-30.89918168276600</t>
  </si>
  <si>
    <t>-55.55436591975860</t>
  </si>
  <si>
    <t>-30.89924344948900</t>
  </si>
  <si>
    <t>-5.55543863356128</t>
  </si>
  <si>
    <t>-30.89920400208070</t>
  </si>
  <si>
    <t>-55.55538342381190</t>
  </si>
  <si>
    <t>-30.89911359271940</t>
  </si>
  <si>
    <t>-55.55441956840380</t>
  </si>
  <si>
    <t>-30.89875287581520</t>
  </si>
  <si>
    <t>-55.55443476091200</t>
  </si>
  <si>
    <t>-30.89845260303950</t>
  </si>
  <si>
    <t>-55.55506043552510</t>
  </si>
  <si>
    <t>-30.89851317582150</t>
  </si>
  <si>
    <t>-55.55509977427740</t>
  </si>
  <si>
    <t>-30.89856405254320</t>
  </si>
  <si>
    <t>-55.55515550443760</t>
  </si>
  <si>
    <t>-30.89904242868580</t>
  </si>
  <si>
    <t>-55.55550386598800</t>
  </si>
  <si>
    <t>-30.89861832310850</t>
  </si>
  <si>
    <t>-55.55642898096980</t>
  </si>
  <si>
    <t>-30.89876149798470</t>
  </si>
  <si>
    <t>-55.55619951879350</t>
  </si>
  <si>
    <t>-30.89895989059250</t>
  </si>
  <si>
    <t>-55.55559967686750</t>
  </si>
  <si>
    <t>-30.89844218513150</t>
  </si>
  <si>
    <t>-55.55523165722590</t>
  </si>
  <si>
    <t>-3.08981103392689</t>
  </si>
  <si>
    <t>-55.55563890832220</t>
  </si>
  <si>
    <t>-30.89801971527950</t>
  </si>
  <si>
    <t>-55.55579358967530</t>
  </si>
  <si>
    <t>-30.89812118703530</t>
  </si>
  <si>
    <t>-55.55610248897890</t>
  </si>
  <si>
    <t>-30.89827778412970</t>
  </si>
  <si>
    <t>-55.55622123973390</t>
  </si>
  <si>
    <t>-30.89844964258690</t>
  </si>
  <si>
    <t>-55.55679089023980</t>
  </si>
  <si>
    <t>-30.89839268933160</t>
  </si>
  <si>
    <t>-55.55640944787340</t>
  </si>
  <si>
    <t>-30.89822239842650</t>
  </si>
  <si>
    <t>-55.55632747471740</t>
  </si>
  <si>
    <t>-3.08980260635614</t>
  </si>
  <si>
    <t>-55.55614755706110</t>
  </si>
  <si>
    <t>-30.89784934679690</t>
  </si>
  <si>
    <t>-55.55713021008540</t>
  </si>
  <si>
    <t>-30.89800388021780</t>
  </si>
  <si>
    <t>-55.55722114490160</t>
  </si>
  <si>
    <t>-30.89814517790900</t>
  </si>
  <si>
    <t>-55.55734645621890</t>
  </si>
  <si>
    <t>-30.89768301916440</t>
  </si>
  <si>
    <t>-55.55822172731210</t>
  </si>
  <si>
    <t>-30.89772445015640</t>
  </si>
  <si>
    <t>-55.55815064115610</t>
  </si>
  <si>
    <t>-30.89778725081540</t>
  </si>
  <si>
    <t>-55.55800333533080</t>
  </si>
  <si>
    <t>-30.89795238482150</t>
  </si>
  <si>
    <t>-55.55778908920430</t>
  </si>
  <si>
    <t>-30.89802852786780</t>
  </si>
  <si>
    <t>-55.55763049215130</t>
  </si>
  <si>
    <t>-30.89803437581290</t>
  </si>
  <si>
    <t>-55.55741714845140</t>
  </si>
  <si>
    <t>-30.89786106779430</t>
  </si>
  <si>
    <t>-55.55728784916290</t>
  </si>
  <si>
    <t>-30.89729758518570</t>
  </si>
  <si>
    <t>-55.55718696771950</t>
  </si>
  <si>
    <t>-30.89711936729660</t>
  </si>
  <si>
    <t>-55.55753019944900</t>
  </si>
  <si>
    <t>-30.89704883529680</t>
  </si>
  <si>
    <t>-55.55770738437220</t>
  </si>
  <si>
    <t>-30.89706807580860</t>
  </si>
  <si>
    <t>-55.55784709090630</t>
  </si>
  <si>
    <t>-30.89712868290250</t>
  </si>
  <si>
    <t>-55.55788628784980</t>
  </si>
  <si>
    <t>-30.89719861848850</t>
  </si>
  <si>
    <t>-5.55579466597511</t>
  </si>
  <si>
    <t>-30.89730306669540</t>
  </si>
  <si>
    <t>-55.55799870832510</t>
  </si>
  <si>
    <t>-30.89761878942400</t>
  </si>
  <si>
    <t>-55.55822408048610</t>
  </si>
  <si>
    <t>-30.89724590199070</t>
  </si>
  <si>
    <t>-55.55910308111930</t>
  </si>
  <si>
    <t>-30.89751921432610</t>
  </si>
  <si>
    <t>-55.55853113986400</t>
  </si>
  <si>
    <t>-30.89758421706650</t>
  </si>
  <si>
    <t>-55.55841141927310</t>
  </si>
  <si>
    <t>-30.89652936306460</t>
  </si>
  <si>
    <t>-55.55857726462720</t>
  </si>
  <si>
    <t>-30.89748456911780</t>
  </si>
  <si>
    <t>-55.55828312644590</t>
  </si>
  <si>
    <t>-30.89669211822510</t>
  </si>
  <si>
    <t>-55.55883848549750</t>
  </si>
  <si>
    <t>-30.89691398971780</t>
  </si>
  <si>
    <t>-55.55899321352380</t>
  </si>
  <si>
    <t>-30.89700683987150</t>
  </si>
  <si>
    <t>-55.55906979705310</t>
  </si>
  <si>
    <t>-3.08981452669544</t>
  </si>
  <si>
    <t>-55.55937310619390</t>
  </si>
  <si>
    <t>-30.89821584464110</t>
  </si>
  <si>
    <t>-55.55920009590780</t>
  </si>
  <si>
    <t>-30.89831357563100</t>
  </si>
  <si>
    <t>-55.55904833859880</t>
  </si>
  <si>
    <t>-30.89837007488140</t>
  </si>
  <si>
    <t>-55.55893937571930</t>
  </si>
  <si>
    <t>-30.89826109157400</t>
  </si>
  <si>
    <t>-5.55588323670594</t>
  </si>
  <si>
    <t>-30.89795507802610</t>
  </si>
  <si>
    <t>-55.55858310635540</t>
  </si>
  <si>
    <t>-3.08976159926261</t>
  </si>
  <si>
    <t>-55.55857332856370</t>
  </si>
  <si>
    <t>-30.89751823933650</t>
  </si>
  <si>
    <t>-55.55873784967350</t>
  </si>
  <si>
    <t>-0.30897449843604</t>
  </si>
  <si>
    <t>-55.55893107517930</t>
  </si>
  <si>
    <t>-30.89735811642780</t>
  </si>
  <si>
    <t>-55.55911182356620</t>
  </si>
  <si>
    <t>-30.89731620584960</t>
  </si>
  <si>
    <t>-55.55924895370420</t>
  </si>
  <si>
    <t>-30.89740117468370</t>
  </si>
  <si>
    <t>-55.55930820980250</t>
  </si>
  <si>
    <t>-30.89776592886920</t>
  </si>
  <si>
    <t>-55.55961068231050</t>
  </si>
  <si>
    <t>-30.89848542338250</t>
  </si>
  <si>
    <t>-55.55876615539080</t>
  </si>
  <si>
    <t>-30.89862305577820</t>
  </si>
  <si>
    <t>-55.55849038231930</t>
  </si>
  <si>
    <t>-30.89870786091020</t>
  </si>
  <si>
    <t>-55.55833716944660</t>
  </si>
  <si>
    <t>-30.89888202315240</t>
  </si>
  <si>
    <t>-55.55805296769320</t>
  </si>
  <si>
    <t>-30.89881116594130</t>
  </si>
  <si>
    <t>-55.55795164838930</t>
  </si>
  <si>
    <t>-30.89845179549980</t>
  </si>
  <si>
    <t>-55.55770277551740</t>
  </si>
  <si>
    <t>-30.89830300289280</t>
  </si>
  <si>
    <t>-55.55758629766310</t>
  </si>
  <si>
    <t>-30.89794566677450</t>
  </si>
  <si>
    <t>-55.55801260691430</t>
  </si>
  <si>
    <t>-30.89792010249290</t>
  </si>
  <si>
    <t>-55.55845591921940</t>
  </si>
  <si>
    <t>-30.89807714992910</t>
  </si>
  <si>
    <t>-55.55855072403580</t>
  </si>
  <si>
    <t>-30.89825153408120</t>
  </si>
  <si>
    <t>-55.55866251291160</t>
  </si>
  <si>
    <t>-30.89896060880240</t>
  </si>
  <si>
    <t>-55.55784476560120</t>
  </si>
  <si>
    <t>-3.08990338059469</t>
  </si>
  <si>
    <t>-55.55773979274680</t>
  </si>
  <si>
    <t>-30.89933498471370</t>
  </si>
  <si>
    <t>-5.55571847795241</t>
  </si>
  <si>
    <t>-30.89855076895870</t>
  </si>
  <si>
    <t>-55.55690841930020</t>
  </si>
  <si>
    <t>-30.89844084959000</t>
  </si>
  <si>
    <t>-55.55706777715950</t>
  </si>
  <si>
    <t>-30.89843686518160</t>
  </si>
  <si>
    <t>-55.55755867631700</t>
  </si>
  <si>
    <t>-30.89862712539640</t>
  </si>
  <si>
    <t>-55.55770911456240</t>
  </si>
  <si>
    <t>-3.08994892155382</t>
  </si>
  <si>
    <t>-55.55692293763750</t>
  </si>
  <si>
    <t>-30.89953496359020</t>
  </si>
  <si>
    <t>-55.55677902779210</t>
  </si>
  <si>
    <t>-30.89971985060430</t>
  </si>
  <si>
    <t>-55.55638296283040</t>
  </si>
  <si>
    <t>-30.89884367484810</t>
  </si>
  <si>
    <t>-55.55628361282680</t>
  </si>
  <si>
    <t>-3.08987663838697</t>
  </si>
  <si>
    <t>-55.55643909407490</t>
  </si>
  <si>
    <t>-30.89873290122190</t>
  </si>
  <si>
    <t>-55.55650414326180</t>
  </si>
  <si>
    <t>-30.89878304161980</t>
  </si>
  <si>
    <t>-55.55658600255410</t>
  </si>
  <si>
    <t>-30.89888580724520</t>
  </si>
  <si>
    <t>-55.55664424805770</t>
  </si>
  <si>
    <t>-30.89894327097870</t>
  </si>
  <si>
    <t>-55.55670419467380</t>
  </si>
  <si>
    <t>-30.89900298843080</t>
  </si>
  <si>
    <t>-55.55672231643350</t>
  </si>
  <si>
    <t>-30.89906675802510</t>
  </si>
  <si>
    <t>-55.55676958521200</t>
  </si>
  <si>
    <t>-30.89913472799600</t>
  </si>
  <si>
    <t>-55.55681996755830</t>
  </si>
  <si>
    <t>-30.89925422164910</t>
  </si>
  <si>
    <t>-55.55690575704280</t>
  </si>
  <si>
    <t>-30.89936978007320</t>
  </si>
  <si>
    <t>-55.55698872143210</t>
  </si>
  <si>
    <t>-30.90021112680920</t>
  </si>
  <si>
    <t>-55.55552087358770</t>
  </si>
  <si>
    <t>-30.89928978746670</t>
  </si>
  <si>
    <t>-55.55548520134810</t>
  </si>
  <si>
    <t>-30.89926466580280</t>
  </si>
  <si>
    <t>-55.55566400281830</t>
  </si>
  <si>
    <t>-30.89945617149280</t>
  </si>
  <si>
    <t>-55.55580519734810</t>
  </si>
  <si>
    <t>-30.89971830642980</t>
  </si>
  <si>
    <t>-55.55597679830660</t>
  </si>
  <si>
    <t>-30.89987824870310</t>
  </si>
  <si>
    <t>-5.55560633502613</t>
  </si>
  <si>
    <t>-30.90041435726560</t>
  </si>
  <si>
    <t>-55.55409994105750</t>
  </si>
  <si>
    <t>-30.90007292913480</t>
  </si>
  <si>
    <t>-55.55395938778890</t>
  </si>
  <si>
    <t>-30.89983868234220</t>
  </si>
  <si>
    <t>-55.55442159888330</t>
  </si>
  <si>
    <t>-0.30900494786962</t>
  </si>
  <si>
    <t>-55.55495842921570</t>
  </si>
  <si>
    <t>-30.90091384894350</t>
  </si>
  <si>
    <t>-55.55426926853030</t>
  </si>
  <si>
    <t>-30.90097125096410</t>
  </si>
  <si>
    <t>-55.55413903278240</t>
  </si>
  <si>
    <t>-30.90100322615770</t>
  </si>
  <si>
    <t>-55.55408833605940</t>
  </si>
  <si>
    <t>-30.90167250019510</t>
  </si>
  <si>
    <t>-55.55478734437960</t>
  </si>
  <si>
    <t>-30.90176785020540</t>
  </si>
  <si>
    <t>-55.55459896787100</t>
  </si>
  <si>
    <t>-30.90182343380110</t>
  </si>
  <si>
    <t>-55.55451915249720</t>
  </si>
  <si>
    <t>-30.90194069285350</t>
  </si>
  <si>
    <t>-55.55423932937360</t>
  </si>
  <si>
    <t>-30.90200079556340</t>
  </si>
  <si>
    <t>-55.55416955279840</t>
  </si>
  <si>
    <t>-30.90118585531640</t>
  </si>
  <si>
    <t>-55.55387905218930</t>
  </si>
  <si>
    <t>-30.90158067028520</t>
  </si>
  <si>
    <t>-55.55482576677250</t>
  </si>
  <si>
    <t>-30.90127331017760</t>
  </si>
  <si>
    <t>-55.55471913173890</t>
  </si>
  <si>
    <t>-30.90060263035420</t>
  </si>
  <si>
    <t>-55.55499395345850</t>
  </si>
  <si>
    <t>-30.90078566187460</t>
  </si>
  <si>
    <t>-5.55554789653796</t>
  </si>
  <si>
    <t>-30.90075989824120</t>
  </si>
  <si>
    <t>-55.55658522630580</t>
  </si>
  <si>
    <t>-30.90085352316900</t>
  </si>
  <si>
    <t>-55.55632961392010</t>
  </si>
  <si>
    <t>-30.90103367798990</t>
  </si>
  <si>
    <t>-55.55580375883430</t>
  </si>
  <si>
    <t>-30.90032703731160</t>
  </si>
  <si>
    <t>-0.55555511142638</t>
  </si>
  <si>
    <t>-30.90012969103500</t>
  </si>
  <si>
    <t>-55.55592619166510</t>
  </si>
  <si>
    <t>-30.90007351223040</t>
  </si>
  <si>
    <t>-55.55600370083400</t>
  </si>
  <si>
    <t>-30.90002298272880</t>
  </si>
  <si>
    <t>-5.55561124266466</t>
  </si>
  <si>
    <t>-30.90010147439820</t>
  </si>
  <si>
    <t>-55.55627152745830</t>
  </si>
  <si>
    <t>-30.90020734153950</t>
  </si>
  <si>
    <t>-55.55631818971470</t>
  </si>
  <si>
    <t>-30.90030882428740</t>
  </si>
  <si>
    <t>-55.55641059655580</t>
  </si>
  <si>
    <t>-30.90042089983240</t>
  </si>
  <si>
    <t>-55.55645983090560</t>
  </si>
  <si>
    <t>-30.90062414599760</t>
  </si>
  <si>
    <t>-55.55660827972680</t>
  </si>
  <si>
    <t>-30.90057009219380</t>
  </si>
  <si>
    <t>-55.55684104633200</t>
  </si>
  <si>
    <t>-30.90050744742050</t>
  </si>
  <si>
    <t>-5.55566771467919</t>
  </si>
  <si>
    <t>-30.90007175730760</t>
  </si>
  <si>
    <t>-55.55638336244620</t>
  </si>
  <si>
    <t>-30.89980559777950</t>
  </si>
  <si>
    <t>-55.55650982813220</t>
  </si>
  <si>
    <t>-30.89970921024850</t>
  </si>
  <si>
    <t>-5.55572196065091</t>
  </si>
  <si>
    <t>-30.89984526727900</t>
  </si>
  <si>
    <t>-55.55731631385090</t>
  </si>
  <si>
    <t>-30.89983411408250</t>
  </si>
  <si>
    <t>-55.55828943753470</t>
  </si>
  <si>
    <t>-30.89988194250980</t>
  </si>
  <si>
    <t>-55.55818248742860</t>
  </si>
  <si>
    <t>-30.89994996120820</t>
  </si>
  <si>
    <t>-5.55580267796489</t>
  </si>
  <si>
    <t>-30.89982096851190</t>
  </si>
  <si>
    <t>-55.55743198045520</t>
  </si>
  <si>
    <t>-30.89960557393080</t>
  </si>
  <si>
    <t>-55.55726587037080</t>
  </si>
  <si>
    <t>-30.89942514464440</t>
  </si>
  <si>
    <t>-55.55727605224330</t>
  </si>
  <si>
    <t>-30.89933073346080</t>
  </si>
  <si>
    <t>-55.55740154674310</t>
  </si>
  <si>
    <t>-30.89925225355100</t>
  </si>
  <si>
    <t>-55.55813029609160</t>
  </si>
  <si>
    <t>-30.89948114187480</t>
  </si>
  <si>
    <t>-55.55829755436860</t>
  </si>
  <si>
    <t>-3.08997110155668</t>
  </si>
  <si>
    <t>-5.55584925175644</t>
  </si>
  <si>
    <t>-30.89940004912190</t>
  </si>
  <si>
    <t>-55.55909867320920</t>
  </si>
  <si>
    <t>-30.89948888898360</t>
  </si>
  <si>
    <t>-55.55893759371770</t>
  </si>
  <si>
    <t>-30.89962267438020</t>
  </si>
  <si>
    <t>-55.55873080946780</t>
  </si>
  <si>
    <t>-30.89940381591890</t>
  </si>
  <si>
    <t>-55.55840336273730</t>
  </si>
  <si>
    <t>-30.89888077279260</t>
  </si>
  <si>
    <t>-55.55827175393780</t>
  </si>
  <si>
    <t>-3.08987395707401</t>
  </si>
  <si>
    <t>-55.55856543104980</t>
  </si>
  <si>
    <t>-30.89864273594500</t>
  </si>
  <si>
    <t>-55.55872548566360</t>
  </si>
  <si>
    <t>-30.89861745483430</t>
  </si>
  <si>
    <t>-55.55892883892260</t>
  </si>
  <si>
    <t>-30.89906010133050</t>
  </si>
  <si>
    <t>-55.55927510529850</t>
  </si>
  <si>
    <t>-30.89919392156440</t>
  </si>
  <si>
    <t>-55.55936125001630</t>
  </si>
  <si>
    <t>-30.89873241098840</t>
  </si>
  <si>
    <t>-55.56025266498590</t>
  </si>
  <si>
    <t>-30.89884116104770</t>
  </si>
  <si>
    <t>-55.56008369365750</t>
  </si>
  <si>
    <t>-0.30898908633606</t>
  </si>
  <si>
    <t>-5.55599852049962</t>
  </si>
  <si>
    <t>-30.89891486415520</t>
  </si>
  <si>
    <t>-55.55928825309410</t>
  </si>
  <si>
    <t>-3.08984875693826</t>
  </si>
  <si>
    <t>-55.55903111392590</t>
  </si>
  <si>
    <t>-30.89840891251770</t>
  </si>
  <si>
    <t>-55.55911755399820</t>
  </si>
  <si>
    <t>-3.08983607272093</t>
  </si>
  <si>
    <t>-55.55924464415150</t>
  </si>
  <si>
    <t>-30.89825762940470</t>
  </si>
  <si>
    <t>-5.55593872327627</t>
  </si>
  <si>
    <t>-30.89811895858090</t>
  </si>
  <si>
    <t>-5.55596782493603</t>
  </si>
  <si>
    <t>-30.89823837928640</t>
  </si>
  <si>
    <t>-55.55993077110040</t>
  </si>
  <si>
    <t>-30.89842202516310</t>
  </si>
  <si>
    <t>-55.56004300832060</t>
  </si>
  <si>
    <t>-30.89850674700040</t>
  </si>
  <si>
    <t>-5.55601168791515</t>
  </si>
  <si>
    <t>-30.88771718269560</t>
  </si>
  <si>
    <t>-55.54857129686820</t>
  </si>
  <si>
    <t>-30.88749897092780</t>
  </si>
  <si>
    <t>-55.54807398530850</t>
  </si>
  <si>
    <t>-3.08872382710238</t>
  </si>
  <si>
    <t>-55.54828950826270</t>
  </si>
  <si>
    <t>-30.88730723637800</t>
  </si>
  <si>
    <t>-55.54838825467330</t>
  </si>
  <si>
    <t>-3.08881267611347</t>
  </si>
  <si>
    <t>-55.54770177758380</t>
  </si>
  <si>
    <t>-30.88837284943970</t>
  </si>
  <si>
    <t>-55.54763783590260</t>
  </si>
  <si>
    <t>-30.89008270385900</t>
  </si>
  <si>
    <t>-55.54611455011760</t>
  </si>
  <si>
    <t>-30.89007031502620</t>
  </si>
  <si>
    <t>-55.54638057534040</t>
  </si>
  <si>
    <t>-30.88994243446320</t>
  </si>
  <si>
    <t>-5.55461939638805</t>
  </si>
  <si>
    <t>-30.88988761613530</t>
  </si>
  <si>
    <t>-55.54624866811120</t>
  </si>
  <si>
    <t>-30.89003914608250</t>
  </si>
  <si>
    <t>-55.54650660025930</t>
  </si>
  <si>
    <t>-30.89009261834100</t>
  </si>
  <si>
    <t>-55.54659545960350</t>
  </si>
  <si>
    <t>Total de Arboles</t>
  </si>
  <si>
    <t>Digita la zona a consultar ==&gt;</t>
  </si>
  <si>
    <t xml:space="preserve">     TOTAL EN GENERAL O SEGUN FILTRO REALIZADO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</si>
</sst>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3">
    <font>
      <sz val="10.0"/>
      <color rgb="FF000000"/>
      <name val="Arial"/>
      <scheme val="minor"/>
    </font>
    <font>
      <b/>
      <sz val="17.0"/>
      <color rgb="FF000000"/>
      <name val="Arial"/>
    </font>
    <font/>
    <font>
      <b/>
      <sz val="12.0"/>
      <color rgb="FFFFFFFF"/>
      <name val="Arial"/>
    </font>
    <font>
      <color rgb="FF000000"/>
      <name val="Arial"/>
      <scheme val="minor"/>
    </font>
    <font>
      <b/>
      <sz val="22.0"/>
      <color rgb="FF000000"/>
      <name val="Arial"/>
    </font>
    <font>
      <b/>
      <sz val="14.0"/>
      <color theme="1"/>
      <name val="Arial"/>
    </font>
    <font>
      <b/>
      <sz val="12.0"/>
      <color theme="1"/>
      <name val="Arial"/>
    </font>
    <font>
      <color theme="1"/>
      <name val="Arial"/>
      <scheme val="minor"/>
    </font>
    <font>
      <color theme="1"/>
      <name val="Arial"/>
    </font>
    <font>
      <sz val="7.0"/>
      <color theme="1"/>
      <name val="Arial"/>
    </font>
    <font>
      <u/>
      <sz val="8.0"/>
      <color rgb="FF1155CC"/>
      <name val="Arial"/>
    </font>
    <font>
      <u/>
      <sz val="7.0"/>
      <color rgb="FF1155CC"/>
      <name val="Arial"/>
    </font>
    <font>
      <u/>
      <sz val="8.0"/>
      <color rgb="FF1155CC"/>
      <name val="Arial"/>
    </font>
    <font>
      <u/>
      <sz val="8.0"/>
      <color rgb="FF1155CC"/>
      <name val="Arial"/>
    </font>
    <font>
      <u/>
      <sz val="8.0"/>
      <color rgb="FF1155CC"/>
      <name val="Arial"/>
    </font>
    <font>
      <u/>
      <sz val="8.0"/>
      <color rgb="FF1155CC"/>
      <name val="Arial"/>
    </font>
    <font>
      <u/>
      <sz val="8.0"/>
      <color rgb="FF1155CC"/>
      <name val="Arial"/>
    </font>
    <font>
      <u/>
      <sz val="8.0"/>
      <color rgb="FF1155CC"/>
      <name val="Arial"/>
    </font>
    <font>
      <u/>
      <sz val="8.0"/>
      <color rgb="FF1155CC"/>
      <name val="Arial"/>
    </font>
    <font>
      <b/>
      <sz val="21.0"/>
      <color rgb="FFFFFFFF"/>
      <name val="Arial"/>
      <scheme val="minor"/>
    </font>
    <font>
      <b/>
      <sz val="24.0"/>
      <color rgb="FFFFFFFF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b/>
      <sz val="33.0"/>
      <color theme="1"/>
      <name val="Arial"/>
      <scheme val="minor"/>
    </font>
    <font>
      <b/>
      <sz val="21.0"/>
      <color theme="1"/>
      <name val="Arial"/>
      <scheme val="minor"/>
    </font>
    <font>
      <b/>
      <sz val="33.0"/>
      <color rgb="FFFF0000"/>
      <name val="Arial"/>
      <scheme val="minor"/>
    </font>
    <font>
      <b/>
      <sz val="30.0"/>
      <color rgb="FFFF0000"/>
      <name val="Arial"/>
      <scheme val="minor"/>
    </font>
    <font>
      <b/>
      <sz val="2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356854"/>
        <bgColor rgb="FF356854"/>
      </patternFill>
    </fill>
    <fill>
      <patternFill patternType="solid">
        <fgColor rgb="FFFFFFFF"/>
        <bgColor rgb="FFFFFFFF"/>
      </patternFill>
    </fill>
  </fills>
  <borders count="1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3" fontId="3" numFmtId="49" xfId="0" applyAlignment="1" applyFill="1" applyFont="1" applyNumberFormat="1">
      <alignment horizontal="center" readingOrder="0" vertical="center"/>
    </xf>
    <xf borderId="0" fillId="2" fontId="4" numFmtId="0" xfId="0" applyAlignment="1" applyFont="1">
      <alignment vertical="center"/>
    </xf>
    <xf borderId="1" fillId="2" fontId="5" numFmtId="49" xfId="0" applyAlignment="1" applyBorder="1" applyFont="1" applyNumberFormat="1">
      <alignment horizontal="center" readingOrder="0" vertical="center"/>
    </xf>
    <xf borderId="4" fillId="2" fontId="6" numFmtId="49" xfId="0" applyAlignment="1" applyBorder="1" applyFont="1" applyNumberFormat="1">
      <alignment horizontal="center"/>
    </xf>
    <xf borderId="5" fillId="0" fontId="7" numFmtId="49" xfId="0" applyAlignment="1" applyBorder="1" applyFont="1" applyNumberFormat="1">
      <alignment horizontal="center" readingOrder="0" shrinkToFit="0" vertical="center" wrapText="0"/>
    </xf>
    <xf borderId="6" fillId="0" fontId="7" numFmtId="49" xfId="0" applyAlignment="1" applyBorder="1" applyFont="1" applyNumberFormat="1">
      <alignment horizontal="center" readingOrder="0" shrinkToFit="0" vertical="center" wrapText="0"/>
    </xf>
    <xf borderId="6" fillId="0" fontId="7" numFmtId="49" xfId="0" applyAlignment="1" applyBorder="1" applyFont="1" applyNumberFormat="1">
      <alignment horizontal="center" readingOrder="0" shrinkToFit="0" vertical="center" wrapText="0"/>
    </xf>
    <xf borderId="7" fillId="0" fontId="7" numFmtId="49" xfId="0" applyAlignment="1" applyBorder="1" applyFont="1" applyNumberFormat="1">
      <alignment horizontal="center" readingOrder="0" shrinkToFit="0" vertical="center" wrapText="0"/>
    </xf>
    <xf borderId="0" fillId="0" fontId="8" numFmtId="0" xfId="0" applyAlignment="1" applyFont="1">
      <alignment vertical="center"/>
    </xf>
    <xf quotePrefix="1" borderId="4" fillId="0" fontId="9" numFmtId="49" xfId="0" applyAlignment="1" applyBorder="1" applyFont="1" applyNumberFormat="1">
      <alignment horizontal="center" shrinkToFit="0" vertical="center" wrapText="0"/>
    </xf>
    <xf borderId="4" fillId="0" fontId="9" numFmtId="0" xfId="0" applyAlignment="1" applyBorder="1" applyFont="1">
      <alignment horizontal="center" readingOrder="0" shrinkToFit="0" vertical="center" wrapText="0"/>
    </xf>
    <xf borderId="4" fillId="0" fontId="10" numFmtId="0" xfId="0" applyAlignment="1" applyBorder="1" applyFont="1">
      <alignment horizontal="center" shrinkToFit="0" vertical="center" wrapText="0"/>
    </xf>
    <xf borderId="4" fillId="0" fontId="11" numFmtId="0" xfId="0" applyAlignment="1" applyBorder="1" applyFont="1">
      <alignment shrinkToFit="0" vertical="center" wrapText="1"/>
    </xf>
    <xf quotePrefix="1" borderId="4" fillId="0" fontId="9" numFmtId="0" xfId="0" applyAlignment="1" applyBorder="1" applyFont="1">
      <alignment horizontal="center" shrinkToFit="0" vertical="center" wrapText="0"/>
    </xf>
    <xf quotePrefix="1" borderId="4" fillId="0" fontId="8" numFmtId="0" xfId="0" applyAlignment="1" applyBorder="1" applyFont="1">
      <alignment horizontal="center" readingOrder="0" shrinkToFit="0" vertical="center" wrapText="0"/>
    </xf>
    <xf quotePrefix="1" borderId="4" fillId="4" fontId="9" numFmtId="0" xfId="0" applyAlignment="1" applyBorder="1" applyFill="1" applyFont="1">
      <alignment horizontal="center" shrinkToFit="0" vertical="center" wrapText="0"/>
    </xf>
    <xf borderId="4" fillId="0" fontId="10" numFmtId="0" xfId="0" applyAlignment="1" applyBorder="1" applyFont="1">
      <alignment horizontal="center" readingOrder="0" shrinkToFit="0" vertical="center" wrapText="0"/>
    </xf>
    <xf borderId="4" fillId="0" fontId="10" numFmtId="0" xfId="0" applyAlignment="1" applyBorder="1" applyFont="1">
      <alignment horizontal="center" shrinkToFit="0" vertical="center" wrapText="1"/>
    </xf>
    <xf borderId="4" fillId="0" fontId="12" numFmtId="0" xfId="0" applyAlignment="1" applyBorder="1" applyFont="1">
      <alignment shrinkToFit="0" vertical="center" wrapText="1"/>
    </xf>
    <xf borderId="4" fillId="0" fontId="10" numFmtId="0" xfId="0" applyAlignment="1" applyBorder="1" applyFont="1">
      <alignment horizontal="center" readingOrder="0" shrinkToFit="0" vertical="center" wrapText="1"/>
    </xf>
    <xf borderId="8" fillId="0" fontId="13" numFmtId="0" xfId="0" applyAlignment="1" applyBorder="1" applyFont="1">
      <alignment shrinkToFit="0" vertical="center" wrapText="1"/>
    </xf>
    <xf borderId="9" fillId="0" fontId="14" numFmtId="0" xfId="0" applyAlignment="1" applyBorder="1" applyFont="1">
      <alignment shrinkToFit="0" vertical="center" wrapText="1"/>
    </xf>
    <xf quotePrefix="1" borderId="4" fillId="0" fontId="9" numFmtId="49" xfId="0" applyAlignment="1" applyBorder="1" applyFont="1" applyNumberFormat="1">
      <alignment shrinkToFit="0" vertical="bottom" wrapText="0"/>
    </xf>
    <xf borderId="4" fillId="0" fontId="15" numFmtId="0" xfId="0" applyAlignment="1" applyBorder="1" applyFont="1">
      <alignment shrinkToFit="0" vertical="center" wrapText="1"/>
    </xf>
    <xf quotePrefix="1" borderId="10" fillId="0" fontId="9" numFmtId="49" xfId="0" applyAlignment="1" applyBorder="1" applyFont="1" applyNumberFormat="1">
      <alignment shrinkToFit="0" vertical="bottom" wrapText="0"/>
    </xf>
    <xf quotePrefix="1" borderId="11" fillId="0" fontId="9" numFmtId="49" xfId="0" applyAlignment="1" applyBorder="1" applyFont="1" applyNumberFormat="1">
      <alignment shrinkToFit="0" vertical="bottom" wrapText="0"/>
    </xf>
    <xf borderId="11" fillId="0" fontId="9" numFmtId="0" xfId="0" applyAlignment="1" applyBorder="1" applyFont="1">
      <alignment horizontal="center" readingOrder="0" shrinkToFit="0" vertical="center" wrapText="0"/>
    </xf>
    <xf borderId="11" fillId="0" fontId="10" numFmtId="0" xfId="0" applyAlignment="1" applyBorder="1" applyFont="1">
      <alignment horizontal="center" readingOrder="0" shrinkToFit="0" vertical="center" wrapText="1"/>
    </xf>
    <xf borderId="11" fillId="0" fontId="16" numFmtId="0" xfId="0" applyAlignment="1" applyBorder="1" applyFont="1">
      <alignment shrinkToFit="0" vertical="center" wrapText="1"/>
    </xf>
    <xf borderId="12" fillId="0" fontId="17" numFmtId="0" xfId="0" applyAlignment="1" applyBorder="1" applyFont="1">
      <alignment shrinkToFit="0" vertical="center" wrapText="1"/>
    </xf>
    <xf quotePrefix="1" borderId="13" fillId="0" fontId="9" numFmtId="49" xfId="0" applyAlignment="1" applyBorder="1" applyFont="1" applyNumberFormat="1">
      <alignment shrinkToFit="0" vertical="bottom" wrapText="0"/>
    </xf>
    <xf quotePrefix="1" borderId="8" fillId="0" fontId="9" numFmtId="49" xfId="0" applyAlignment="1" applyBorder="1" applyFont="1" applyNumberFormat="1">
      <alignment shrinkToFit="0" vertical="bottom" wrapText="0"/>
    </xf>
    <xf borderId="8" fillId="0" fontId="9" numFmtId="0" xfId="0" applyAlignment="1" applyBorder="1" applyFont="1">
      <alignment horizontal="center" readingOrder="0" shrinkToFit="0" vertical="center" wrapText="0"/>
    </xf>
    <xf borderId="8" fillId="0" fontId="10" numFmtId="0" xfId="0" applyAlignment="1" applyBorder="1" applyFont="1">
      <alignment horizontal="center" readingOrder="0" shrinkToFit="0" vertical="center" wrapText="1"/>
    </xf>
    <xf borderId="10" fillId="0" fontId="9" numFmtId="49" xfId="0" applyAlignment="1" applyBorder="1" applyFont="1" applyNumberFormat="1">
      <alignment shrinkToFit="0" vertical="bottom" wrapText="0"/>
    </xf>
    <xf borderId="11" fillId="0" fontId="9" numFmtId="49" xfId="0" applyAlignment="1" applyBorder="1" applyFont="1" applyNumberFormat="1">
      <alignment shrinkToFit="0" vertical="bottom" wrapText="0"/>
    </xf>
    <xf borderId="13" fillId="0" fontId="9" numFmtId="49" xfId="0" applyAlignment="1" applyBorder="1" applyFont="1" applyNumberFormat="1">
      <alignment shrinkToFit="0" vertical="bottom" wrapText="0"/>
    </xf>
    <xf borderId="8" fillId="0" fontId="9" numFmtId="49" xfId="0" applyAlignment="1" applyBorder="1" applyFont="1" applyNumberFormat="1">
      <alignment shrinkToFit="0" vertical="bottom" wrapText="0"/>
    </xf>
    <xf borderId="14" fillId="0" fontId="9" numFmtId="49" xfId="0" applyAlignment="1" applyBorder="1" applyFont="1" applyNumberFormat="1">
      <alignment shrinkToFit="0" vertical="bottom" wrapText="0"/>
    </xf>
    <xf borderId="15" fillId="0" fontId="9" numFmtId="49" xfId="0" applyAlignment="1" applyBorder="1" applyFont="1" applyNumberFormat="1">
      <alignment shrinkToFit="0" vertical="bottom" wrapText="0"/>
    </xf>
    <xf borderId="15" fillId="0" fontId="9" numFmtId="0" xfId="0" applyAlignment="1" applyBorder="1" applyFont="1">
      <alignment horizontal="center" readingOrder="0" shrinkToFit="0" vertical="center" wrapText="0"/>
    </xf>
    <xf borderId="15" fillId="0" fontId="10" numFmtId="0" xfId="0" applyAlignment="1" applyBorder="1" applyFont="1">
      <alignment horizontal="center" readingOrder="0" shrinkToFit="0" vertical="center" wrapText="1"/>
    </xf>
    <xf borderId="15" fillId="0" fontId="18" numFmtId="0" xfId="0" applyAlignment="1" applyBorder="1" applyFont="1">
      <alignment shrinkToFit="0" vertical="center" wrapText="1"/>
    </xf>
    <xf borderId="16" fillId="0" fontId="19" numFmtId="0" xfId="0" applyAlignment="1" applyBorder="1" applyFont="1">
      <alignment shrinkToFit="0" vertical="center" wrapText="1"/>
    </xf>
    <xf borderId="0" fillId="3" fontId="20" numFmtId="0" xfId="0" applyAlignment="1" applyFont="1">
      <alignment horizontal="center" readingOrder="0" shrinkToFit="0" vertical="center" wrapText="1"/>
    </xf>
    <xf borderId="0" fillId="3" fontId="20" numFmtId="0" xfId="0" applyAlignment="1" applyFont="1">
      <alignment horizontal="center" vertical="center"/>
    </xf>
    <xf borderId="0" fillId="3" fontId="8" numFmtId="0" xfId="0" applyFont="1"/>
    <xf borderId="0" fillId="3" fontId="21" numFmtId="0" xfId="0" applyAlignment="1" applyFont="1">
      <alignment horizontal="center" readingOrder="0" shrinkToFit="0" vertical="center" wrapText="1"/>
    </xf>
    <xf borderId="0" fillId="3" fontId="21" numFmtId="0" xfId="0" applyAlignment="1" applyFont="1">
      <alignment horizontal="center" readingOrder="0" vertical="center"/>
    </xf>
    <xf borderId="0" fillId="0" fontId="8" numFmtId="49" xfId="0" applyAlignment="1" applyFont="1" applyNumberFormat="1">
      <alignment readingOrder="0"/>
    </xf>
    <xf borderId="0" fillId="0" fontId="8" numFmtId="49" xfId="0" applyAlignment="1" applyFont="1" applyNumberFormat="1">
      <alignment readingOrder="0"/>
    </xf>
    <xf borderId="5" fillId="0" fontId="8" numFmtId="49" xfId="0" applyAlignment="1" applyBorder="1" applyFont="1" applyNumberFormat="1">
      <alignment horizontal="left" readingOrder="0" shrinkToFit="0" vertical="center" wrapText="0"/>
    </xf>
    <xf borderId="6" fillId="0" fontId="8" numFmtId="49" xfId="0" applyAlignment="1" applyBorder="1" applyFont="1" applyNumberFormat="1">
      <alignment horizontal="left" readingOrder="0" shrinkToFit="0" vertical="center" wrapText="0"/>
    </xf>
    <xf borderId="6" fillId="0" fontId="8" numFmtId="49" xfId="0" applyAlignment="1" applyBorder="1" applyFont="1" applyNumberFormat="1">
      <alignment horizontal="left" readingOrder="0" shrinkToFit="0" vertical="center" wrapText="0"/>
    </xf>
    <xf borderId="7" fillId="0" fontId="8" numFmtId="49" xfId="0" applyAlignment="1" applyBorder="1" applyFont="1" applyNumberFormat="1">
      <alignment horizontal="left" readingOrder="0" shrinkToFit="0" vertical="center" wrapText="0"/>
    </xf>
    <xf borderId="13" fillId="0" fontId="8" numFmtId="49" xfId="0" applyAlignment="1" applyBorder="1" applyFont="1" applyNumberFormat="1">
      <alignment shrinkToFit="0" vertical="center" wrapText="0"/>
    </xf>
    <xf borderId="8" fillId="0" fontId="8" numFmtId="49" xfId="0" applyAlignment="1" applyBorder="1" applyFont="1" applyNumberFormat="1">
      <alignment shrinkToFit="0" vertical="center" wrapText="0"/>
    </xf>
    <xf borderId="8" fillId="0" fontId="8" numFmtId="0" xfId="0" applyAlignment="1" applyBorder="1" applyFont="1">
      <alignment shrinkToFit="0" vertical="center" wrapText="0"/>
    </xf>
    <xf borderId="8" fillId="0" fontId="22" numFmtId="0" xfId="0" applyAlignment="1" applyBorder="1" applyFont="1">
      <alignment shrinkToFit="0" vertical="center" wrapText="0"/>
    </xf>
    <xf borderId="9" fillId="0" fontId="23" numFmtId="0" xfId="0" applyAlignment="1" applyBorder="1" applyFont="1">
      <alignment shrinkToFit="0" vertical="center" wrapText="0"/>
    </xf>
    <xf borderId="0" fillId="0" fontId="8" numFmtId="0" xfId="0" applyFont="1"/>
    <xf borderId="10" fillId="0" fontId="8" numFmtId="0" xfId="0" applyAlignment="1" applyBorder="1" applyFont="1">
      <alignment shrinkToFit="0" vertical="center" wrapText="0"/>
    </xf>
    <xf borderId="11" fillId="0" fontId="8" numFmtId="0" xfId="0" applyAlignment="1" applyBorder="1" applyFont="1">
      <alignment shrinkToFit="0" vertical="center" wrapText="0"/>
    </xf>
    <xf borderId="11" fillId="0" fontId="24" numFmtId="0" xfId="0" applyAlignment="1" applyBorder="1" applyFont="1">
      <alignment shrinkToFit="0" vertical="center" wrapText="0"/>
    </xf>
    <xf borderId="12" fillId="0" fontId="25" numFmtId="0" xfId="0" applyAlignment="1" applyBorder="1" applyFont="1">
      <alignment shrinkToFit="0" vertical="center" wrapText="0"/>
    </xf>
    <xf borderId="13" fillId="0" fontId="8" numFmtId="0" xfId="0" applyAlignment="1" applyBorder="1" applyFont="1">
      <alignment shrinkToFit="0" vertical="center" wrapText="0"/>
    </xf>
    <xf borderId="14" fillId="0" fontId="8" numFmtId="0" xfId="0" applyAlignment="1" applyBorder="1" applyFont="1">
      <alignment shrinkToFit="0" vertical="center" wrapText="0"/>
    </xf>
    <xf borderId="15" fillId="0" fontId="8" numFmtId="0" xfId="0" applyAlignment="1" applyBorder="1" applyFont="1">
      <alignment shrinkToFit="0" vertical="center" wrapText="0"/>
    </xf>
    <xf borderId="15" fillId="0" fontId="26" numFmtId="0" xfId="0" applyAlignment="1" applyBorder="1" applyFont="1">
      <alignment shrinkToFit="0" vertical="center" wrapText="0"/>
    </xf>
    <xf borderId="16" fillId="0" fontId="27" numFmtId="0" xfId="0" applyAlignment="1" applyBorder="1" applyFont="1">
      <alignment shrinkToFit="0" vertical="center" wrapText="0"/>
    </xf>
    <xf borderId="0" fillId="0" fontId="8" numFmtId="0" xfId="0" applyAlignment="1" applyFont="1">
      <alignment horizontal="center"/>
    </xf>
    <xf borderId="0" fillId="0" fontId="28" numFmtId="0" xfId="0" applyAlignment="1" applyFont="1">
      <alignment horizontal="center" readingOrder="0" vertical="center"/>
    </xf>
    <xf borderId="4" fillId="0" fontId="29" numFmtId="0" xfId="0" applyAlignment="1" applyBorder="1" applyFont="1">
      <alignment horizontal="center" readingOrder="0"/>
    </xf>
    <xf borderId="4" fillId="0" fontId="30" numFmtId="0" xfId="0" applyAlignment="1" applyBorder="1" applyFont="1">
      <alignment horizontal="center"/>
    </xf>
    <xf borderId="4" fillId="0" fontId="31" numFmtId="0" xfId="0" applyAlignment="1" applyBorder="1" applyFont="1">
      <alignment horizontal="center"/>
    </xf>
    <xf borderId="0" fillId="2" fontId="32" numFmtId="49" xfId="0" applyAlignment="1" applyFont="1" applyNumberFormat="1">
      <alignment horizontal="center" readingOrder="0" vertical="center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3">
    <tableStyle count="3" pivot="0" name="Arbolado en Rivera-style">
      <tableStyleElement dxfId="1" type="headerRow"/>
      <tableStyleElement dxfId="2" type="firstRowStripe"/>
      <tableStyleElement dxfId="3" type="secondRowStripe"/>
    </tableStyle>
    <tableStyle count="3" pivot="0" name="Arbolado en Rivera-style 2">
      <tableStyleElement dxfId="4" type="headerRow"/>
      <tableStyleElement dxfId="2" type="firstRowStripe"/>
      <tableStyleElement dxfId="5" type="secondRowStripe"/>
    </tableStyle>
    <tableStyle count="3" pivot="0" name="Consultar Zona-style">
      <tableStyleElement dxfId="4" type="headerRow"/>
      <tableStyleElement dxfId="2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D1:G2" displayName="Table_1" name="Table_1" id="1">
  <tableColumns count="4">
    <tableColumn name="Zona 1" id="1"/>
    <tableColumn name="Zona 2" id="2"/>
    <tableColumn name="Zona 3" id="3"/>
    <tableColumn name="Zona 4" id="4"/>
  </tableColumns>
  <tableStyleInfo name="Arbolado en Rivera-style" showColumnStripes="0" showFirstColumn="1" showLastColumn="1" showRowStripes="1"/>
</table>
</file>

<file path=xl/tables/table2.xml><?xml version="1.0" encoding="utf-8"?>
<table xmlns="http://schemas.openxmlformats.org/spreadsheetml/2006/main" ref="A3:G4257" displayName="ZONA_1" name="ZONA_1" id="2">
  <tableColumns count="7">
    <tableColumn name="Latitud" id="1"/>
    <tableColumn name="Longitud" id="2"/>
    <tableColumn name="Zona" id="3"/>
    <tableColumn name="Manzana" id="4"/>
    <tableColumn name="Nro de Árbol" id="5"/>
    <tableColumn name="Google Maps" id="6"/>
    <tableColumn name="Google Eart" id="7"/>
  </tableColumns>
  <tableStyleInfo name="Arbolado en Rivera-style 2" showColumnStripes="0" showFirstColumn="1" showLastColumn="1" showRowStripes="1"/>
</table>
</file>

<file path=xl/tables/table3.xml><?xml version="1.0" encoding="utf-8"?>
<table xmlns="http://schemas.openxmlformats.org/spreadsheetml/2006/main" ref="A3:G1353" displayName="Zona_Filtrada" name="Zona_Filtrada" id="3">
  <tableColumns count="7">
    <tableColumn name="Latitud" id="1"/>
    <tableColumn name="Longitud" id="2"/>
    <tableColumn name="Zona" id="3"/>
    <tableColumn name="Manzana" id="4"/>
    <tableColumn name="Nro de Árbol" id="5"/>
    <tableColumn name="Google Maps" id="6"/>
    <tableColumn name="Google Eart" id="7"/>
  </tableColumns>
  <tableStyleInfo name="Consultar Zon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392" Type="http://schemas.openxmlformats.org/officeDocument/2006/relationships/hyperlink" Target="https://earth.google.com/web/search/-0.3090714757785,-55.5404144039185" TargetMode="External"/><Relationship Id="rId391" Type="http://schemas.openxmlformats.org/officeDocument/2006/relationships/hyperlink" Target="https://www.google.com/maps/search/?api=1&amp;query=-0.3090714757785,-55.5404144039185" TargetMode="External"/><Relationship Id="rId390" Type="http://schemas.openxmlformats.org/officeDocument/2006/relationships/hyperlink" Target="https://earth.google.com/web/search/-30.9069224168798,-55.5408510259735" TargetMode="External"/><Relationship Id="rId1" Type="http://schemas.openxmlformats.org/officeDocument/2006/relationships/hyperlink" Target="https://www.google.com/maps/search/?api=1&amp;query=-30.9085623369631,-55.5418202149917" TargetMode="External"/><Relationship Id="rId2" Type="http://schemas.openxmlformats.org/officeDocument/2006/relationships/hyperlink" Target="https://earth.google.com/web/search/-30.9085623369631,-55.5418202149917" TargetMode="External"/><Relationship Id="rId3" Type="http://schemas.openxmlformats.org/officeDocument/2006/relationships/hyperlink" Target="https://www.google.com/maps/search/?api=1&amp;query=-30.9086786225937,-55.5415908393606" TargetMode="External"/><Relationship Id="rId4" Type="http://schemas.openxmlformats.org/officeDocument/2006/relationships/hyperlink" Target="https://earth.google.com/web/search/-30.9086786225937,-55.5415908393606" TargetMode="External"/><Relationship Id="rId2180" Type="http://schemas.openxmlformats.org/officeDocument/2006/relationships/hyperlink" Target="https://earth.google.com/web/search/-30.8973302216526,-55.5408226919036" TargetMode="External"/><Relationship Id="rId2181" Type="http://schemas.openxmlformats.org/officeDocument/2006/relationships/hyperlink" Target="https://www.google.com/maps/search/?api=1&amp;query=-30.8972171118245,-55.5410393285147" TargetMode="External"/><Relationship Id="rId2182" Type="http://schemas.openxmlformats.org/officeDocument/2006/relationships/hyperlink" Target="https://earth.google.com/web/search/-30.8972171118245,-55.5410393285147" TargetMode="External"/><Relationship Id="rId2183" Type="http://schemas.openxmlformats.org/officeDocument/2006/relationships/hyperlink" Target="https://www.google.com/maps/search/?api=1&amp;query=-30.8991185273018,-55.5354067809209" TargetMode="External"/><Relationship Id="rId9" Type="http://schemas.openxmlformats.org/officeDocument/2006/relationships/hyperlink" Target="https://www.google.com/maps/search/?api=1&amp;query=-30.9084599238673,-55.5410184784325" TargetMode="External"/><Relationship Id="rId385" Type="http://schemas.openxmlformats.org/officeDocument/2006/relationships/hyperlink" Target="https://www.google.com/maps/search/?api=1&amp;query=-30.9055322670694,-55.5454667316567" TargetMode="External"/><Relationship Id="rId2184" Type="http://schemas.openxmlformats.org/officeDocument/2006/relationships/hyperlink" Target="https://earth.google.com/web/search/-30.8991185273018,-55.5354067809209" TargetMode="External"/><Relationship Id="rId384" Type="http://schemas.openxmlformats.org/officeDocument/2006/relationships/hyperlink" Target="https://earth.google.com/web/search/-30.9054256892652,-55.5451422184561" TargetMode="External"/><Relationship Id="rId2185" Type="http://schemas.openxmlformats.org/officeDocument/2006/relationships/hyperlink" Target="https://www.google.com/maps/search/?api=1&amp;query=-30.8992627663952,-55.5351300070335" TargetMode="External"/><Relationship Id="rId383" Type="http://schemas.openxmlformats.org/officeDocument/2006/relationships/hyperlink" Target="https://www.google.com/maps/search/?api=1&amp;query=-30.9054256892652,-55.5451422184561" TargetMode="External"/><Relationship Id="rId2186" Type="http://schemas.openxmlformats.org/officeDocument/2006/relationships/hyperlink" Target="https://earth.google.com/web/search/-30.8992627663952,-55.5351300070335" TargetMode="External"/><Relationship Id="rId382" Type="http://schemas.openxmlformats.org/officeDocument/2006/relationships/hyperlink" Target="https://earth.google.com/web/search/-30.9053827699247,-55.5451064876404" TargetMode="External"/><Relationship Id="rId2187" Type="http://schemas.openxmlformats.org/officeDocument/2006/relationships/hyperlink" Target="https://www.google.com/maps/search/?api=1&amp;query=-30.8993007165468,-55.5350487530961" TargetMode="External"/><Relationship Id="rId5" Type="http://schemas.openxmlformats.org/officeDocument/2006/relationships/hyperlink" Target="https://www.google.com/maps/search/?api=1&amp;query=-30.9087625761143,-55.5414192426538" TargetMode="External"/><Relationship Id="rId389" Type="http://schemas.openxmlformats.org/officeDocument/2006/relationships/hyperlink" Target="https://www.google.com/maps/search/?api=1&amp;query=-30.9069224168798,-55.5408510259735" TargetMode="External"/><Relationship Id="rId2188" Type="http://schemas.openxmlformats.org/officeDocument/2006/relationships/hyperlink" Target="https://earth.google.com/web/search/-30.8993007165468,-55.5350487530961" TargetMode="External"/><Relationship Id="rId6" Type="http://schemas.openxmlformats.org/officeDocument/2006/relationships/hyperlink" Target="https://earth.google.com/web/search/-30.9087625761143,-55.5414192426538" TargetMode="External"/><Relationship Id="rId388" Type="http://schemas.openxmlformats.org/officeDocument/2006/relationships/hyperlink" Target="https://earth.google.com/web/search/-30.9055060741693,-55.5455062195995" TargetMode="External"/><Relationship Id="rId2189" Type="http://schemas.openxmlformats.org/officeDocument/2006/relationships/hyperlink" Target="https://www.google.com/maps/search/?api=1&amp;query=-30.8998243707252,-55.5348442015356" TargetMode="External"/><Relationship Id="rId7" Type="http://schemas.openxmlformats.org/officeDocument/2006/relationships/hyperlink" Target="https://www.google.com/maps/search/?api=1&amp;query=-3.0908807464794,-55.5413455882343" TargetMode="External"/><Relationship Id="rId387" Type="http://schemas.openxmlformats.org/officeDocument/2006/relationships/hyperlink" Target="https://www.google.com/maps/search/?api=1&amp;query=-30.9055060741693,-55.5455062195995" TargetMode="External"/><Relationship Id="rId8" Type="http://schemas.openxmlformats.org/officeDocument/2006/relationships/hyperlink" Target="https://earth.google.com/web/search/-3.0908807464794,-55.5413455882343" TargetMode="External"/><Relationship Id="rId386" Type="http://schemas.openxmlformats.org/officeDocument/2006/relationships/hyperlink" Target="https://earth.google.com/web/search/-30.9055322670694,-55.5454667316567" TargetMode="External"/><Relationship Id="rId381" Type="http://schemas.openxmlformats.org/officeDocument/2006/relationships/hyperlink" Target="https://www.google.com/maps/search/?api=1&amp;query=-30.9053827699247,-55.5451064876404" TargetMode="External"/><Relationship Id="rId380" Type="http://schemas.openxmlformats.org/officeDocument/2006/relationships/hyperlink" Target="https://earth.google.com/web/search/-30.9051747474747,-55.5449922094491" TargetMode="External"/><Relationship Id="rId379" Type="http://schemas.openxmlformats.org/officeDocument/2006/relationships/hyperlink" Target="https://www.google.com/maps/search/?api=1&amp;query=-30.9051747474747,-55.5449922094491" TargetMode="External"/><Relationship Id="rId2170" Type="http://schemas.openxmlformats.org/officeDocument/2006/relationships/hyperlink" Target="https://earth.google.com/web/search/-30.8979981246765,-55.5413497459045" TargetMode="External"/><Relationship Id="rId2171" Type="http://schemas.openxmlformats.org/officeDocument/2006/relationships/hyperlink" Target="https://www.google.com/maps/search/?api=1&amp;query=-30.8980688866958,-55.5412593826228" TargetMode="External"/><Relationship Id="rId2172" Type="http://schemas.openxmlformats.org/officeDocument/2006/relationships/hyperlink" Target="https://earth.google.com/web/search/-30.8980688866958,-55.5412593826228" TargetMode="External"/><Relationship Id="rId374" Type="http://schemas.openxmlformats.org/officeDocument/2006/relationships/hyperlink" Target="https://earth.google.com/web/search/-30.9050944125149,-55.5444698178377" TargetMode="External"/><Relationship Id="rId2173" Type="http://schemas.openxmlformats.org/officeDocument/2006/relationships/hyperlink" Target="https://www.google.com/maps/search/?api=1&amp;query=-30.8980172644362,-55.5411293065341" TargetMode="External"/><Relationship Id="rId373" Type="http://schemas.openxmlformats.org/officeDocument/2006/relationships/hyperlink" Target="https://www.google.com/maps/search/?api=1&amp;query=-30.9050944125149,-55.5444698178377" TargetMode="External"/><Relationship Id="rId2174" Type="http://schemas.openxmlformats.org/officeDocument/2006/relationships/hyperlink" Target="https://earth.google.com/web/search/-30.8980172644362,-55.5411293065341" TargetMode="External"/><Relationship Id="rId372" Type="http://schemas.openxmlformats.org/officeDocument/2006/relationships/hyperlink" Target="https://earth.google.com/web/search/-30.9051339981951,-55.5444047065325" TargetMode="External"/><Relationship Id="rId2175" Type="http://schemas.openxmlformats.org/officeDocument/2006/relationships/hyperlink" Target="https://www.google.com/maps/search/?api=1&amp;query=-30.8979529051311,-5.5541082071278" TargetMode="External"/><Relationship Id="rId371" Type="http://schemas.openxmlformats.org/officeDocument/2006/relationships/hyperlink" Target="https://www.google.com/maps/search/?api=1&amp;query=-30.9051339981951,-55.5444047065325" TargetMode="External"/><Relationship Id="rId2176" Type="http://schemas.openxmlformats.org/officeDocument/2006/relationships/hyperlink" Target="https://earth.google.com/web/search/-30.8979529051311,-5.5541082071278" TargetMode="External"/><Relationship Id="rId378" Type="http://schemas.openxmlformats.org/officeDocument/2006/relationships/hyperlink" Target="https://earth.google.com/web/search/-30.9051087478662,-55.5449413417364" TargetMode="External"/><Relationship Id="rId2177" Type="http://schemas.openxmlformats.org/officeDocument/2006/relationships/hyperlink" Target="https://www.google.com/maps/search/?api=1&amp;query=-30.8974666285866,-55.5407460755374" TargetMode="External"/><Relationship Id="rId377" Type="http://schemas.openxmlformats.org/officeDocument/2006/relationships/hyperlink" Target="https://www.google.com/maps/search/?api=1&amp;query=-30.9051087478662,-55.5449413417364" TargetMode="External"/><Relationship Id="rId2178" Type="http://schemas.openxmlformats.org/officeDocument/2006/relationships/hyperlink" Target="https://earth.google.com/web/search/-30.8974666285866,-55.5407460755374" TargetMode="External"/><Relationship Id="rId376" Type="http://schemas.openxmlformats.org/officeDocument/2006/relationships/hyperlink" Target="https://earth.google.com/web/search/-30.9050330444944,-55.5445903268797" TargetMode="External"/><Relationship Id="rId2179" Type="http://schemas.openxmlformats.org/officeDocument/2006/relationships/hyperlink" Target="https://www.google.com/maps/search/?api=1&amp;query=-30.8973302216526,-55.5408226919036" TargetMode="External"/><Relationship Id="rId375" Type="http://schemas.openxmlformats.org/officeDocument/2006/relationships/hyperlink" Target="https://www.google.com/maps/search/?api=1&amp;query=-30.9050330444944,-55.5445903268797" TargetMode="External"/><Relationship Id="rId2190" Type="http://schemas.openxmlformats.org/officeDocument/2006/relationships/hyperlink" Target="https://earth.google.com/web/search/-30.8998243707252,-55.5348442015356" TargetMode="External"/><Relationship Id="rId2191" Type="http://schemas.openxmlformats.org/officeDocument/2006/relationships/hyperlink" Target="https://www.google.com/maps/search/?api=1&amp;query=-30.8999887271415,-55.5349860175962" TargetMode="External"/><Relationship Id="rId2192" Type="http://schemas.openxmlformats.org/officeDocument/2006/relationships/hyperlink" Target="https://earth.google.com/web/search/-30.8999887271415,-55.5349860175962" TargetMode="External"/><Relationship Id="rId2193" Type="http://schemas.openxmlformats.org/officeDocument/2006/relationships/hyperlink" Target="https://www.google.com/maps/search/?api=1&amp;query=-30.9001494910488,-55.5350796502981" TargetMode="External"/><Relationship Id="rId2194" Type="http://schemas.openxmlformats.org/officeDocument/2006/relationships/hyperlink" Target="https://earth.google.com/web/search/-30.9001494910488,-55.5350796502981" TargetMode="External"/><Relationship Id="rId396" Type="http://schemas.openxmlformats.org/officeDocument/2006/relationships/hyperlink" Target="https://earth.google.com/web/search/-30.9071638755838,-55.5401024041676" TargetMode="External"/><Relationship Id="rId2195" Type="http://schemas.openxmlformats.org/officeDocument/2006/relationships/hyperlink" Target="https://www.google.com/maps/search/?api=1&amp;query=-30.9001931999452,-55.5352153001735" TargetMode="External"/><Relationship Id="rId395" Type="http://schemas.openxmlformats.org/officeDocument/2006/relationships/hyperlink" Target="https://www.google.com/maps/search/?api=1&amp;query=-30.9071638755838,-55.5401024041676" TargetMode="External"/><Relationship Id="rId2196" Type="http://schemas.openxmlformats.org/officeDocument/2006/relationships/hyperlink" Target="https://earth.google.com/web/search/-30.9001931999452,-55.5352153001735" TargetMode="External"/><Relationship Id="rId394" Type="http://schemas.openxmlformats.org/officeDocument/2006/relationships/hyperlink" Target="https://earth.google.com/web/search/-30.9071969273133,-55.5403312928597" TargetMode="External"/><Relationship Id="rId2197" Type="http://schemas.openxmlformats.org/officeDocument/2006/relationships/hyperlink" Target="https://www.google.com/maps/search/?api=1&amp;query=-3.0900125083475,-55.5353351457291" TargetMode="External"/><Relationship Id="rId393" Type="http://schemas.openxmlformats.org/officeDocument/2006/relationships/hyperlink" Target="https://www.google.com/maps/search/?api=1&amp;query=-30.9071969273133,-55.5403312928597" TargetMode="External"/><Relationship Id="rId2198" Type="http://schemas.openxmlformats.org/officeDocument/2006/relationships/hyperlink" Target="https://earth.google.com/web/search/-3.0900125083475,-55.5353351457291" TargetMode="External"/><Relationship Id="rId2199" Type="http://schemas.openxmlformats.org/officeDocument/2006/relationships/hyperlink" Target="https://www.google.com/maps/search/?api=1&amp;query=-0.3090002739567,-55.5355092746382" TargetMode="External"/><Relationship Id="rId399" Type="http://schemas.openxmlformats.org/officeDocument/2006/relationships/hyperlink" Target="https://www.google.com/maps/search/?api=1&amp;query=-30.9068307839872,-55.5398599696736" TargetMode="External"/><Relationship Id="rId398" Type="http://schemas.openxmlformats.org/officeDocument/2006/relationships/hyperlink" Target="https://earth.google.com/web/search/-30.9070876316905,-55.5400351815124" TargetMode="External"/><Relationship Id="rId397" Type="http://schemas.openxmlformats.org/officeDocument/2006/relationships/hyperlink" Target="https://www.google.com/maps/search/?api=1&amp;query=-30.9070876316905,-55.5400351815124" TargetMode="External"/><Relationship Id="rId1730" Type="http://schemas.openxmlformats.org/officeDocument/2006/relationships/hyperlink" Target="https://earth.google.com/web/search/-30.9002870857884,-55.5400885137726" TargetMode="External"/><Relationship Id="rId1731" Type="http://schemas.openxmlformats.org/officeDocument/2006/relationships/hyperlink" Target="https://www.google.com/maps/search/?api=1&amp;query=-30.9003578483828,-55.5401358863141" TargetMode="External"/><Relationship Id="rId1732" Type="http://schemas.openxmlformats.org/officeDocument/2006/relationships/hyperlink" Target="https://earth.google.com/web/search/-30.9003578483828,-55.5401358863141" TargetMode="External"/><Relationship Id="rId1733" Type="http://schemas.openxmlformats.org/officeDocument/2006/relationships/hyperlink" Target="https://www.google.com/maps/search/?api=1&amp;query=-30.9005262739409,-55.5402373646918" TargetMode="External"/><Relationship Id="rId1734" Type="http://schemas.openxmlformats.org/officeDocument/2006/relationships/hyperlink" Target="https://earth.google.com/web/search/-30.9005262739409,-55.5402373646918" TargetMode="External"/><Relationship Id="rId1735" Type="http://schemas.openxmlformats.org/officeDocument/2006/relationships/hyperlink" Target="https://www.google.com/maps/search/?api=1&amp;query=-30.9006483322524,-55.5403147050468" TargetMode="External"/><Relationship Id="rId1736" Type="http://schemas.openxmlformats.org/officeDocument/2006/relationships/hyperlink" Target="https://earth.google.com/web/search/-30.9006483322524,-55.5403147050468" TargetMode="External"/><Relationship Id="rId1737" Type="http://schemas.openxmlformats.org/officeDocument/2006/relationships/hyperlink" Target="https://www.google.com/maps/search/?api=1&amp;query=-3.0899808087968,-55.5420387643365" TargetMode="External"/><Relationship Id="rId1738" Type="http://schemas.openxmlformats.org/officeDocument/2006/relationships/hyperlink" Target="https://earth.google.com/web/search/-3.0899808087968,-55.5420387643365" TargetMode="External"/><Relationship Id="rId1739" Type="http://schemas.openxmlformats.org/officeDocument/2006/relationships/hyperlink" Target="https://www.google.com/maps/search/?api=1&amp;query=-30.8999076558609,-55.5418681884091" TargetMode="External"/><Relationship Id="rId1720" Type="http://schemas.openxmlformats.org/officeDocument/2006/relationships/hyperlink" Target="https://earth.google.com/web/search/-30.9000611437303,-55.5397473938854" TargetMode="External"/><Relationship Id="rId1721" Type="http://schemas.openxmlformats.org/officeDocument/2006/relationships/hyperlink" Target="https://www.google.com/maps/search/?api=1&amp;query=-30.9000246713337,-55.5398050847498" TargetMode="External"/><Relationship Id="rId1722" Type="http://schemas.openxmlformats.org/officeDocument/2006/relationships/hyperlink" Target="https://earth.google.com/web/search/-30.9000246713337,-55.5398050847498" TargetMode="External"/><Relationship Id="rId1723" Type="http://schemas.openxmlformats.org/officeDocument/2006/relationships/hyperlink" Target="https://www.google.com/maps/search/?api=1&amp;query=-30.9000760255131,-55.5399532531723" TargetMode="External"/><Relationship Id="rId1724" Type="http://schemas.openxmlformats.org/officeDocument/2006/relationships/hyperlink" Target="https://earth.google.com/web/search/-30.9000760255131,-55.5399532531723" TargetMode="External"/><Relationship Id="rId1725" Type="http://schemas.openxmlformats.org/officeDocument/2006/relationships/hyperlink" Target="https://www.google.com/maps/search/?api=1&amp;query=-30.9001529067848,-55.5399943347356" TargetMode="External"/><Relationship Id="rId1726" Type="http://schemas.openxmlformats.org/officeDocument/2006/relationships/hyperlink" Target="https://earth.google.com/web/search/-30.9001529067848,-55.5399943347356" TargetMode="External"/><Relationship Id="rId1727" Type="http://schemas.openxmlformats.org/officeDocument/2006/relationships/hyperlink" Target="https://www.google.com/maps/search/?api=1&amp;query=-3.0900215802662,-55.5400421916428" TargetMode="External"/><Relationship Id="rId1728" Type="http://schemas.openxmlformats.org/officeDocument/2006/relationships/hyperlink" Target="https://earth.google.com/web/search/-3.0900215802662,-55.5400421916428" TargetMode="External"/><Relationship Id="rId1729" Type="http://schemas.openxmlformats.org/officeDocument/2006/relationships/hyperlink" Target="https://www.google.com/maps/search/?api=1&amp;query=-30.9002870857884,-55.5400885137726" TargetMode="External"/><Relationship Id="rId1752" Type="http://schemas.openxmlformats.org/officeDocument/2006/relationships/hyperlink" Target="https://earth.google.com/web/search/-30.8995450099101,-55.5409459067957" TargetMode="External"/><Relationship Id="rId1753" Type="http://schemas.openxmlformats.org/officeDocument/2006/relationships/hyperlink" Target="https://www.google.com/maps/search/?api=1&amp;query=-30.8993679296502,-55.5410206354865" TargetMode="External"/><Relationship Id="rId2600" Type="http://schemas.openxmlformats.org/officeDocument/2006/relationships/hyperlink" Target="https://earth.google.com/web/search/-30.8979776531613,-55.5352931614346" TargetMode="External"/><Relationship Id="rId1754" Type="http://schemas.openxmlformats.org/officeDocument/2006/relationships/hyperlink" Target="https://earth.google.com/web/search/-30.8993679296502,-55.5410206354865" TargetMode="External"/><Relationship Id="rId2601" Type="http://schemas.openxmlformats.org/officeDocument/2006/relationships/hyperlink" Target="https://www.google.com/maps/search/?api=1&amp;query=-30.8978695933645,-55.5355124608961" TargetMode="External"/><Relationship Id="rId1755" Type="http://schemas.openxmlformats.org/officeDocument/2006/relationships/hyperlink" Target="https://www.google.com/maps/search/?api=1&amp;query=-30.8993538113655,-55.5428983809807" TargetMode="External"/><Relationship Id="rId2602" Type="http://schemas.openxmlformats.org/officeDocument/2006/relationships/hyperlink" Target="https://earth.google.com/web/search/-30.8978695933645,-55.5355124608961" TargetMode="External"/><Relationship Id="rId1756" Type="http://schemas.openxmlformats.org/officeDocument/2006/relationships/hyperlink" Target="https://earth.google.com/web/search/-30.8993538113655,-55.5428983809807" TargetMode="External"/><Relationship Id="rId2603" Type="http://schemas.openxmlformats.org/officeDocument/2006/relationships/hyperlink" Target="https://www.google.com/maps/search/?api=1&amp;query=-3.0896562067953,-55.5360403340452" TargetMode="External"/><Relationship Id="rId1757" Type="http://schemas.openxmlformats.org/officeDocument/2006/relationships/hyperlink" Target="https://www.google.com/maps/search/?api=1&amp;query=-30.8994718198101,-5.5542657875662" TargetMode="External"/><Relationship Id="rId2604" Type="http://schemas.openxmlformats.org/officeDocument/2006/relationships/hyperlink" Target="https://earth.google.com/web/search/-3.0896562067953,-55.5360403340452" TargetMode="External"/><Relationship Id="rId1758" Type="http://schemas.openxmlformats.org/officeDocument/2006/relationships/hyperlink" Target="https://earth.google.com/web/search/-30.8994718198101,-5.5542657875662" TargetMode="External"/><Relationship Id="rId2605" Type="http://schemas.openxmlformats.org/officeDocument/2006/relationships/hyperlink" Target="https://www.google.com/maps/search/?api=1&amp;query=-30.8966599947885,-0.0555358337787" TargetMode="External"/><Relationship Id="rId1759" Type="http://schemas.openxmlformats.org/officeDocument/2006/relationships/hyperlink" Target="https://www.google.com/maps/search/?api=1&amp;query=-30.8995345677224,-55.5425151804646" TargetMode="External"/><Relationship Id="rId2606" Type="http://schemas.openxmlformats.org/officeDocument/2006/relationships/hyperlink" Target="https://earth.google.com/web/search/-30.8966599947885,-0.0555358337787" TargetMode="External"/><Relationship Id="rId808" Type="http://schemas.openxmlformats.org/officeDocument/2006/relationships/hyperlink" Target="https://earth.google.com/web/search/-30.9043612961341,-55.5416140498916" TargetMode="External"/><Relationship Id="rId2607" Type="http://schemas.openxmlformats.org/officeDocument/2006/relationships/hyperlink" Target="https://www.google.com/maps/search/?api=1&amp;query=-30.8968852646629,-55.5353831819498" TargetMode="External"/><Relationship Id="rId807" Type="http://schemas.openxmlformats.org/officeDocument/2006/relationships/hyperlink" Target="https://www.google.com/maps/search/?api=1&amp;query=-30.9043612961341,-55.5416140498916" TargetMode="External"/><Relationship Id="rId2608" Type="http://schemas.openxmlformats.org/officeDocument/2006/relationships/hyperlink" Target="https://earth.google.com/web/search/-30.8968852646629,-55.5353831819498" TargetMode="External"/><Relationship Id="rId806" Type="http://schemas.openxmlformats.org/officeDocument/2006/relationships/hyperlink" Target="https://earth.google.com/web/search/-30.9045256146764,-55.5406071151513" TargetMode="External"/><Relationship Id="rId2609" Type="http://schemas.openxmlformats.org/officeDocument/2006/relationships/hyperlink" Target="https://www.google.com/maps/search/?api=1&amp;query=-30.8969421159855,-55.5352997666516" TargetMode="External"/><Relationship Id="rId805" Type="http://schemas.openxmlformats.org/officeDocument/2006/relationships/hyperlink" Target="https://www.google.com/maps/search/?api=1&amp;query=-30.9045256146764,-55.5406071151513" TargetMode="External"/><Relationship Id="rId809" Type="http://schemas.openxmlformats.org/officeDocument/2006/relationships/hyperlink" Target="https://www.google.com/maps/search/?api=1&amp;query=-3.0904416492246,-55.5415121772057" TargetMode="External"/><Relationship Id="rId800" Type="http://schemas.openxmlformats.org/officeDocument/2006/relationships/hyperlink" Target="https://earth.google.com/web/search/-30.9043532264327,-55.5397665249431" TargetMode="External"/><Relationship Id="rId804" Type="http://schemas.openxmlformats.org/officeDocument/2006/relationships/hyperlink" Target="https://earth.google.com/web/search/-30.9041469559614,-5.5540144618786" TargetMode="External"/><Relationship Id="rId803" Type="http://schemas.openxmlformats.org/officeDocument/2006/relationships/hyperlink" Target="https://www.google.com/maps/search/?api=1&amp;query=-30.9041469559614,-5.5540144618786" TargetMode="External"/><Relationship Id="rId802" Type="http://schemas.openxmlformats.org/officeDocument/2006/relationships/hyperlink" Target="https://earth.google.com/web/search/-30.9042615270054,-55.5399379614439" TargetMode="External"/><Relationship Id="rId801" Type="http://schemas.openxmlformats.org/officeDocument/2006/relationships/hyperlink" Target="https://www.google.com/maps/search/?api=1&amp;query=-30.9042615270054,-55.5399379614439" TargetMode="External"/><Relationship Id="rId1750" Type="http://schemas.openxmlformats.org/officeDocument/2006/relationships/hyperlink" Target="https://earth.google.com/web/search/-30.8996221184731,-55.5410172880143" TargetMode="External"/><Relationship Id="rId1751" Type="http://schemas.openxmlformats.org/officeDocument/2006/relationships/hyperlink" Target="https://www.google.com/maps/search/?api=1&amp;query=-30.8995450099101,-55.5409459067957" TargetMode="External"/><Relationship Id="rId1741" Type="http://schemas.openxmlformats.org/officeDocument/2006/relationships/hyperlink" Target="https://www.google.com/maps/search/?api=1&amp;query=-30.8999561735876,-55.5417738039687" TargetMode="External"/><Relationship Id="rId1742" Type="http://schemas.openxmlformats.org/officeDocument/2006/relationships/hyperlink" Target="https://earth.google.com/web/search/-30.8999561735876,-55.5417738039687" TargetMode="External"/><Relationship Id="rId1743" Type="http://schemas.openxmlformats.org/officeDocument/2006/relationships/hyperlink" Target="https://www.google.com/maps/search/?api=1&amp;query=-30.9001127958718,-55.5415177895694" TargetMode="External"/><Relationship Id="rId1744" Type="http://schemas.openxmlformats.org/officeDocument/2006/relationships/hyperlink" Target="https://earth.google.com/web/search/-30.9001127958718,-55.5415177895694" TargetMode="External"/><Relationship Id="rId1745" Type="http://schemas.openxmlformats.org/officeDocument/2006/relationships/hyperlink" Target="https://www.google.com/maps/search/?api=1&amp;query=-30.8999978980679,-5.5541293263021" TargetMode="External"/><Relationship Id="rId1746" Type="http://schemas.openxmlformats.org/officeDocument/2006/relationships/hyperlink" Target="https://earth.google.com/web/search/-30.8999978980679,-5.5541293263021" TargetMode="External"/><Relationship Id="rId1747" Type="http://schemas.openxmlformats.org/officeDocument/2006/relationships/hyperlink" Target="https://www.google.com/maps/search/?api=1&amp;query=-30.8999285961299,-55.5412412519249" TargetMode="External"/><Relationship Id="rId1748" Type="http://schemas.openxmlformats.org/officeDocument/2006/relationships/hyperlink" Target="https://earth.google.com/web/search/-30.8999285961299,-55.5412412519249" TargetMode="External"/><Relationship Id="rId1749" Type="http://schemas.openxmlformats.org/officeDocument/2006/relationships/hyperlink" Target="https://www.google.com/maps/search/?api=1&amp;query=-30.8996221184731,-55.5410172880143" TargetMode="External"/><Relationship Id="rId1740" Type="http://schemas.openxmlformats.org/officeDocument/2006/relationships/hyperlink" Target="https://earth.google.com/web/search/-30.8999076558609,-55.5418681884091" TargetMode="External"/><Relationship Id="rId1710" Type="http://schemas.openxmlformats.org/officeDocument/2006/relationships/hyperlink" Target="https://earth.google.com/web/search/-30.9002987195356,-55.5392796543089" TargetMode="External"/><Relationship Id="rId1711" Type="http://schemas.openxmlformats.org/officeDocument/2006/relationships/hyperlink" Target="https://www.google.com/maps/search/?api=1&amp;query=-30.9002183486138,-55.5394344424728" TargetMode="External"/><Relationship Id="rId1712" Type="http://schemas.openxmlformats.org/officeDocument/2006/relationships/hyperlink" Target="https://earth.google.com/web/search/-30.9002183486138,-55.5394344424728" TargetMode="External"/><Relationship Id="rId1713" Type="http://schemas.openxmlformats.org/officeDocument/2006/relationships/hyperlink" Target="https://www.google.com/maps/search/?api=1&amp;query=-30.9001596521565,-55.5395454752952" TargetMode="External"/><Relationship Id="rId1714" Type="http://schemas.openxmlformats.org/officeDocument/2006/relationships/hyperlink" Target="https://earth.google.com/web/search/-30.9001596521565,-55.5395454752952" TargetMode="External"/><Relationship Id="rId1715" Type="http://schemas.openxmlformats.org/officeDocument/2006/relationships/hyperlink" Target="https://www.google.com/maps/search/?api=1&amp;query=-30.9001301311004,-55.5396113824194" TargetMode="External"/><Relationship Id="rId1716" Type="http://schemas.openxmlformats.org/officeDocument/2006/relationships/hyperlink" Target="https://earth.google.com/web/search/-30.9001301311004,-55.5396113824194" TargetMode="External"/><Relationship Id="rId1717" Type="http://schemas.openxmlformats.org/officeDocument/2006/relationships/hyperlink" Target="https://www.google.com/maps/search/?api=1&amp;query=-30.9000890698024,-55.5396774596172" TargetMode="External"/><Relationship Id="rId1718" Type="http://schemas.openxmlformats.org/officeDocument/2006/relationships/hyperlink" Target="https://earth.google.com/web/search/-30.9000890698024,-55.5396774596172" TargetMode="External"/><Relationship Id="rId1719" Type="http://schemas.openxmlformats.org/officeDocument/2006/relationships/hyperlink" Target="https://www.google.com/maps/search/?api=1&amp;query=-30.9000611437303,-55.5397473938854" TargetMode="External"/><Relationship Id="rId1700" Type="http://schemas.openxmlformats.org/officeDocument/2006/relationships/hyperlink" Target="https://earth.google.com/web/search/-30.9010752242575,-55.5396605405385" TargetMode="External"/><Relationship Id="rId1701" Type="http://schemas.openxmlformats.org/officeDocument/2006/relationships/hyperlink" Target="https://www.google.com/maps/search/?api=1&amp;query=-30.9010834895092,-55.5394839716835" TargetMode="External"/><Relationship Id="rId1702" Type="http://schemas.openxmlformats.org/officeDocument/2006/relationships/hyperlink" Target="https://earth.google.com/web/search/-30.9010834895092,-55.5394839716835" TargetMode="External"/><Relationship Id="rId1703" Type="http://schemas.openxmlformats.org/officeDocument/2006/relationships/hyperlink" Target="https://www.google.com/maps/search/?api=1&amp;query=-3.0900826942565,-55.5393056862897" TargetMode="External"/><Relationship Id="rId1704" Type="http://schemas.openxmlformats.org/officeDocument/2006/relationships/hyperlink" Target="https://earth.google.com/web/search/-3.0900826942565,-55.5393056862897" TargetMode="External"/><Relationship Id="rId1705" Type="http://schemas.openxmlformats.org/officeDocument/2006/relationships/hyperlink" Target="https://www.google.com/maps/search/?api=1&amp;query=-30.9005686806024,-55.5391604587614" TargetMode="External"/><Relationship Id="rId1706" Type="http://schemas.openxmlformats.org/officeDocument/2006/relationships/hyperlink" Target="https://earth.google.com/web/search/-30.9005686806024,-55.5391604587614" TargetMode="External"/><Relationship Id="rId1707" Type="http://schemas.openxmlformats.org/officeDocument/2006/relationships/hyperlink" Target="https://www.google.com/maps/search/?api=1&amp;query=-3.0900492270274,-55.5391001719088" TargetMode="External"/><Relationship Id="rId1708" Type="http://schemas.openxmlformats.org/officeDocument/2006/relationships/hyperlink" Target="https://earth.google.com/web/search/-3.0900492270274,-55.5391001719088" TargetMode="External"/><Relationship Id="rId1709" Type="http://schemas.openxmlformats.org/officeDocument/2006/relationships/hyperlink" Target="https://www.google.com/maps/search/?api=1&amp;query=-30.9002987195356,-55.5392796543089" TargetMode="External"/><Relationship Id="rId40" Type="http://schemas.openxmlformats.org/officeDocument/2006/relationships/hyperlink" Target="https://earth.google.com/web/search/-30.9074627076052,-55.5426823250918" TargetMode="External"/><Relationship Id="rId1334" Type="http://schemas.openxmlformats.org/officeDocument/2006/relationships/hyperlink" Target="https://earth.google.com/web/search/-30.9003067299395,-55.5433277057102" TargetMode="External"/><Relationship Id="rId2665" Type="http://schemas.openxmlformats.org/officeDocument/2006/relationships/hyperlink" Target="https://www.google.com/maps/search/?api=1&amp;query=-30.8959016441651,-55.5402313660069" TargetMode="External"/><Relationship Id="rId1335" Type="http://schemas.openxmlformats.org/officeDocument/2006/relationships/hyperlink" Target="https://www.google.com/maps/search/?api=1&amp;query=-30.9001927282029,-55.5435254095072" TargetMode="External"/><Relationship Id="rId2666" Type="http://schemas.openxmlformats.org/officeDocument/2006/relationships/hyperlink" Target="https://earth.google.com/web/search/-30.8959016441651,-55.5402313660069" TargetMode="External"/><Relationship Id="rId42" Type="http://schemas.openxmlformats.org/officeDocument/2006/relationships/hyperlink" Target="https://earth.google.com/web/search/-30.9075273857691,-55.5427303207558" TargetMode="External"/><Relationship Id="rId1336" Type="http://schemas.openxmlformats.org/officeDocument/2006/relationships/hyperlink" Target="https://earth.google.com/web/search/-30.9001927282029,-55.5435254095072" TargetMode="External"/><Relationship Id="rId2667" Type="http://schemas.openxmlformats.org/officeDocument/2006/relationships/hyperlink" Target="https://www.google.com/maps/search/?api=1&amp;query=-30.8959016441652,-55.5402724846683" TargetMode="External"/><Relationship Id="rId41" Type="http://schemas.openxmlformats.org/officeDocument/2006/relationships/hyperlink" Target="https://www.google.com/maps/search/?api=1&amp;query=-30.9075273857691,-55.5427303207558" TargetMode="External"/><Relationship Id="rId1337" Type="http://schemas.openxmlformats.org/officeDocument/2006/relationships/hyperlink" Target="https://www.google.com/maps/search/?api=1&amp;query=-30.9001408090291,-55.5436073502946" TargetMode="External"/><Relationship Id="rId2668" Type="http://schemas.openxmlformats.org/officeDocument/2006/relationships/hyperlink" Target="https://earth.google.com/web/search/-30.8959016441652,-55.5402724846683" TargetMode="External"/><Relationship Id="rId44" Type="http://schemas.openxmlformats.org/officeDocument/2006/relationships/hyperlink" Target="https://earth.google.com/web/search/-30.9075822782725,-55.5427740294405" TargetMode="External"/><Relationship Id="rId1338" Type="http://schemas.openxmlformats.org/officeDocument/2006/relationships/hyperlink" Target="https://earth.google.com/web/search/-30.9001408090291,-55.5436073502946" TargetMode="External"/><Relationship Id="rId2669" Type="http://schemas.openxmlformats.org/officeDocument/2006/relationships/hyperlink" Target="https://www.google.com/maps/search/?api=1&amp;query=-30.8959016441653,-55.5403068374629" TargetMode="External"/><Relationship Id="rId43" Type="http://schemas.openxmlformats.org/officeDocument/2006/relationships/hyperlink" Target="https://www.google.com/maps/search/?api=1&amp;query=-30.9075822782725,-55.5427740294405" TargetMode="External"/><Relationship Id="rId1339" Type="http://schemas.openxmlformats.org/officeDocument/2006/relationships/hyperlink" Target="https://www.google.com/maps/search/?api=1&amp;query=-30.9002014206773,-55.5438102241546" TargetMode="External"/><Relationship Id="rId46" Type="http://schemas.openxmlformats.org/officeDocument/2006/relationships/hyperlink" Target="https://earth.google.com/web/search/-30.9075354914976,-55.5437551141324" TargetMode="External"/><Relationship Id="rId45" Type="http://schemas.openxmlformats.org/officeDocument/2006/relationships/hyperlink" Target="https://www.google.com/maps/search/?api=1&amp;query=-30.9075354914976,-55.5437551141324" TargetMode="External"/><Relationship Id="rId745" Type="http://schemas.openxmlformats.org/officeDocument/2006/relationships/hyperlink" Target="https://www.google.com/maps/search/?api=1&amp;query=-30.9038147879052,-55.5440060886097" TargetMode="External"/><Relationship Id="rId744" Type="http://schemas.openxmlformats.org/officeDocument/2006/relationships/hyperlink" Target="https://earth.google.com/web/search/-3.0903906266257,-55.5440581999956" TargetMode="External"/><Relationship Id="rId743" Type="http://schemas.openxmlformats.org/officeDocument/2006/relationships/hyperlink" Target="https://www.google.com/maps/search/?api=1&amp;query=-3.0903906266257,-55.5440581999956" TargetMode="External"/><Relationship Id="rId742" Type="http://schemas.openxmlformats.org/officeDocument/2006/relationships/hyperlink" Target="https://earth.google.com/web/search/-30.9039863755868,-55.5441209489927" TargetMode="External"/><Relationship Id="rId749" Type="http://schemas.openxmlformats.org/officeDocument/2006/relationships/hyperlink" Target="https://www.google.com/maps/search/?api=1&amp;query=-30.9035670204376,-55.5438304200754" TargetMode="External"/><Relationship Id="rId748" Type="http://schemas.openxmlformats.org/officeDocument/2006/relationships/hyperlink" Target="https://earth.google.com/web/search/-30.9037294641053,-55.5439448506212" TargetMode="External"/><Relationship Id="rId747" Type="http://schemas.openxmlformats.org/officeDocument/2006/relationships/hyperlink" Target="https://www.google.com/maps/search/?api=1&amp;query=-30.9037294641053,-55.5439448506212" TargetMode="External"/><Relationship Id="rId746" Type="http://schemas.openxmlformats.org/officeDocument/2006/relationships/hyperlink" Target="https://earth.google.com/web/search/-30.9038147879052,-55.5440060886097" TargetMode="External"/><Relationship Id="rId48" Type="http://schemas.openxmlformats.org/officeDocument/2006/relationships/hyperlink" Target="https://earth.google.com/web/search/-30.9076562242556,-55.5435237631524" TargetMode="External"/><Relationship Id="rId47" Type="http://schemas.openxmlformats.org/officeDocument/2006/relationships/hyperlink" Target="https://www.google.com/maps/search/?api=1&amp;query=-30.9076562242556,-55.5435237631524" TargetMode="External"/><Relationship Id="rId49" Type="http://schemas.openxmlformats.org/officeDocument/2006/relationships/hyperlink" Target="https://www.google.com/maps/search/?api=1&amp;query=-30.9078120862629,-55.5432170505174" TargetMode="External"/><Relationship Id="rId2660" Type="http://schemas.openxmlformats.org/officeDocument/2006/relationships/hyperlink" Target="https://earth.google.com/web/search/-30.8959016441648,-55.5392270293214" TargetMode="External"/><Relationship Id="rId741" Type="http://schemas.openxmlformats.org/officeDocument/2006/relationships/hyperlink" Target="https://www.google.com/maps/search/?api=1&amp;query=-30.9039863755868,-55.5441209489927" TargetMode="External"/><Relationship Id="rId1330" Type="http://schemas.openxmlformats.org/officeDocument/2006/relationships/hyperlink" Target="https://earth.google.com/web/search/-30.9004569920979,-55.5430496091677" TargetMode="External"/><Relationship Id="rId2661" Type="http://schemas.openxmlformats.org/officeDocument/2006/relationships/hyperlink" Target="https://www.google.com/maps/search/?api=1&amp;query=-30.8959016441649,-55.5397009817358" TargetMode="External"/><Relationship Id="rId740" Type="http://schemas.openxmlformats.org/officeDocument/2006/relationships/hyperlink" Target="https://earth.google.com/web/search/-30.9039068137378,-55.5444463142144" TargetMode="External"/><Relationship Id="rId1331" Type="http://schemas.openxmlformats.org/officeDocument/2006/relationships/hyperlink" Target="https://www.google.com/maps/search/?api=1&amp;query=-30.9004092773196,-55.5431530408174" TargetMode="External"/><Relationship Id="rId2662" Type="http://schemas.openxmlformats.org/officeDocument/2006/relationships/hyperlink" Target="https://earth.google.com/web/search/-30.8959016441649,-55.5397009817358" TargetMode="External"/><Relationship Id="rId1332" Type="http://schemas.openxmlformats.org/officeDocument/2006/relationships/hyperlink" Target="https://earth.google.com/web/search/-30.9004092773196,-55.5431530408174" TargetMode="External"/><Relationship Id="rId2663" Type="http://schemas.openxmlformats.org/officeDocument/2006/relationships/hyperlink" Target="https://www.google.com/maps/search/?api=1&amp;query=-30.8959016441650,-55.5400927948178" TargetMode="External"/><Relationship Id="rId1333" Type="http://schemas.openxmlformats.org/officeDocument/2006/relationships/hyperlink" Target="https://www.google.com/maps/search/?api=1&amp;query=-30.9003067299395,-55.5433277057102" TargetMode="External"/><Relationship Id="rId2664" Type="http://schemas.openxmlformats.org/officeDocument/2006/relationships/hyperlink" Target="https://earth.google.com/web/search/-30.8959016441650,-55.5400927948178" TargetMode="External"/><Relationship Id="rId1323" Type="http://schemas.openxmlformats.org/officeDocument/2006/relationships/hyperlink" Target="https://www.google.com/maps/search/?api=1&amp;query=-30.9010547954593,-55.5432905493962" TargetMode="External"/><Relationship Id="rId2654" Type="http://schemas.openxmlformats.org/officeDocument/2006/relationships/hyperlink" Target="https://earth.google.com/web/search/-30.8959889861714,-55.5384257046004" TargetMode="External"/><Relationship Id="rId1324" Type="http://schemas.openxmlformats.org/officeDocument/2006/relationships/hyperlink" Target="https://earth.google.com/web/search/-30.9010547954593,-55.5432905493962" TargetMode="External"/><Relationship Id="rId2655" Type="http://schemas.openxmlformats.org/officeDocument/2006/relationships/hyperlink" Target="https://www.google.com/maps/search/?api=1&amp;query=-30.8960641189631,-55.5389165377045" TargetMode="External"/><Relationship Id="rId31" Type="http://schemas.openxmlformats.org/officeDocument/2006/relationships/hyperlink" Target="https://www.google.com/maps/search/?api=1&amp;query=-30.9074482802175,-55.5420887869302" TargetMode="External"/><Relationship Id="rId1325" Type="http://schemas.openxmlformats.org/officeDocument/2006/relationships/hyperlink" Target="https://www.google.com/maps/search/?api=1&amp;query=-30.9009535123055,-55.5432182340427" TargetMode="External"/><Relationship Id="rId2656" Type="http://schemas.openxmlformats.org/officeDocument/2006/relationships/hyperlink" Target="https://earth.google.com/web/search/-30.8960641189631,-55.5389165377045" TargetMode="External"/><Relationship Id="rId30" Type="http://schemas.openxmlformats.org/officeDocument/2006/relationships/hyperlink" Target="https://earth.google.com/web/search/-3.0907480214178,-55.5420297790972" TargetMode="External"/><Relationship Id="rId1326" Type="http://schemas.openxmlformats.org/officeDocument/2006/relationships/hyperlink" Target="https://earth.google.com/web/search/-30.9009535123055,-55.5432182340427" TargetMode="External"/><Relationship Id="rId2657" Type="http://schemas.openxmlformats.org/officeDocument/2006/relationships/hyperlink" Target="https://www.google.com/maps/search/?api=1&amp;query=-3.0895965771624,-55.5391095901734" TargetMode="External"/><Relationship Id="rId33" Type="http://schemas.openxmlformats.org/officeDocument/2006/relationships/hyperlink" Target="https://www.google.com/maps/search/?api=1&amp;query=-30.9073537140691,-55.5422311231855" TargetMode="External"/><Relationship Id="rId1327" Type="http://schemas.openxmlformats.org/officeDocument/2006/relationships/hyperlink" Target="https://www.google.com/maps/search/?api=1&amp;query=-30.9006076139134,-55.5429837046285" TargetMode="External"/><Relationship Id="rId2658" Type="http://schemas.openxmlformats.org/officeDocument/2006/relationships/hyperlink" Target="https://earth.google.com/web/search/-3.0895965771624,-55.5391095901734" TargetMode="External"/><Relationship Id="rId32" Type="http://schemas.openxmlformats.org/officeDocument/2006/relationships/hyperlink" Target="https://earth.google.com/web/search/-30.9074482802175,-55.5420887869302" TargetMode="External"/><Relationship Id="rId1328" Type="http://schemas.openxmlformats.org/officeDocument/2006/relationships/hyperlink" Target="https://earth.google.com/web/search/-30.9006076139134,-55.5429837046285" TargetMode="External"/><Relationship Id="rId2659" Type="http://schemas.openxmlformats.org/officeDocument/2006/relationships/hyperlink" Target="https://www.google.com/maps/search/?api=1&amp;query=-30.8959016441648,-55.5392270293214" TargetMode="External"/><Relationship Id="rId35" Type="http://schemas.openxmlformats.org/officeDocument/2006/relationships/hyperlink" Target="https://www.google.com/maps/search/?api=1&amp;query=-30.9073077100211,-55.5423590117613" TargetMode="External"/><Relationship Id="rId1329" Type="http://schemas.openxmlformats.org/officeDocument/2006/relationships/hyperlink" Target="https://www.google.com/maps/search/?api=1&amp;query=-30.9004569920979,-55.5430496091677" TargetMode="External"/><Relationship Id="rId34" Type="http://schemas.openxmlformats.org/officeDocument/2006/relationships/hyperlink" Target="https://earth.google.com/web/search/-30.9073537140691,-55.5422311231855" TargetMode="External"/><Relationship Id="rId739" Type="http://schemas.openxmlformats.org/officeDocument/2006/relationships/hyperlink" Target="https://www.google.com/maps/search/?api=1&amp;query=-30.9039068137378,-55.5444463142144" TargetMode="External"/><Relationship Id="rId734" Type="http://schemas.openxmlformats.org/officeDocument/2006/relationships/hyperlink" Target="https://earth.google.com/web/search/-30.9037365066353,-55.5438315826274" TargetMode="External"/><Relationship Id="rId733" Type="http://schemas.openxmlformats.org/officeDocument/2006/relationships/hyperlink" Target="https://www.google.com/maps/search/?api=1&amp;query=-30.9037365066353,-55.5438315826274" TargetMode="External"/><Relationship Id="rId732" Type="http://schemas.openxmlformats.org/officeDocument/2006/relationships/hyperlink" Target="https://earth.google.com/web/search/-30.9036906690202,-55.5437877272325" TargetMode="External"/><Relationship Id="rId731" Type="http://schemas.openxmlformats.org/officeDocument/2006/relationships/hyperlink" Target="https://www.google.com/maps/search/?api=1&amp;query=-30.9036906690202,-55.5437877272325" TargetMode="External"/><Relationship Id="rId738" Type="http://schemas.openxmlformats.org/officeDocument/2006/relationships/hyperlink" Target="https://earth.google.com/web/search/-30.9037851591917,-55.5447123746647" TargetMode="External"/><Relationship Id="rId737" Type="http://schemas.openxmlformats.org/officeDocument/2006/relationships/hyperlink" Target="https://www.google.com/maps/search/?api=1&amp;query=-30.9037851591917,-55.5447123746647" TargetMode="External"/><Relationship Id="rId736" Type="http://schemas.openxmlformats.org/officeDocument/2006/relationships/hyperlink" Target="https://earth.google.com/web/search/-30.9036855703475,-55.5448862726465" TargetMode="External"/><Relationship Id="rId735" Type="http://schemas.openxmlformats.org/officeDocument/2006/relationships/hyperlink" Target="https://www.google.com/maps/search/?api=1&amp;query=-30.9036855703475,-55.5448862726465" TargetMode="External"/><Relationship Id="rId37" Type="http://schemas.openxmlformats.org/officeDocument/2006/relationships/hyperlink" Target="https://www.google.com/maps/search/?api=1&amp;query=-30.9072961761128,-55.5425670856449" TargetMode="External"/><Relationship Id="rId36" Type="http://schemas.openxmlformats.org/officeDocument/2006/relationships/hyperlink" Target="https://earth.google.com/web/search/-30.9073077100211,-55.5423590117613" TargetMode="External"/><Relationship Id="rId39" Type="http://schemas.openxmlformats.org/officeDocument/2006/relationships/hyperlink" Target="https://www.google.com/maps/search/?api=1&amp;query=-30.9074627076052,-55.5426823250918" TargetMode="External"/><Relationship Id="rId38" Type="http://schemas.openxmlformats.org/officeDocument/2006/relationships/hyperlink" Target="https://earth.google.com/web/search/-30.9072961761128,-55.5425670856449" TargetMode="External"/><Relationship Id="rId730" Type="http://schemas.openxmlformats.org/officeDocument/2006/relationships/hyperlink" Target="https://earth.google.com/web/search/-30.9035599058351,-5.5543708521359" TargetMode="External"/><Relationship Id="rId2650" Type="http://schemas.openxmlformats.org/officeDocument/2006/relationships/hyperlink" Target="https://earth.google.com/web/search/-30.8956991177174,-55.5382139025218" TargetMode="External"/><Relationship Id="rId1320" Type="http://schemas.openxmlformats.org/officeDocument/2006/relationships/hyperlink" Target="https://earth.google.com/web/search/-30.9010661601938,-55.5437282722097" TargetMode="External"/><Relationship Id="rId2651" Type="http://schemas.openxmlformats.org/officeDocument/2006/relationships/hyperlink" Target="https://www.google.com/maps/search/?api=1&amp;query=-3.0895768704798,-55.5382661581234" TargetMode="External"/><Relationship Id="rId1321" Type="http://schemas.openxmlformats.org/officeDocument/2006/relationships/hyperlink" Target="https://www.google.com/maps/search/?api=1&amp;query=-30.9011284112498,-55.5436110083281" TargetMode="External"/><Relationship Id="rId2652" Type="http://schemas.openxmlformats.org/officeDocument/2006/relationships/hyperlink" Target="https://earth.google.com/web/search/-3.0895768704798,-55.5382661581234" TargetMode="External"/><Relationship Id="rId1322" Type="http://schemas.openxmlformats.org/officeDocument/2006/relationships/hyperlink" Target="https://earth.google.com/web/search/-30.9011284112498,-55.5436110083281" TargetMode="External"/><Relationship Id="rId2653" Type="http://schemas.openxmlformats.org/officeDocument/2006/relationships/hyperlink" Target="https://www.google.com/maps/search/?api=1&amp;query=-30.8959889861714,-55.5384257046004" TargetMode="External"/><Relationship Id="rId1356" Type="http://schemas.openxmlformats.org/officeDocument/2006/relationships/hyperlink" Target="https://earth.google.com/web/search/-30.9023031021822,-55.5377675486998" TargetMode="External"/><Relationship Id="rId2203" Type="http://schemas.openxmlformats.org/officeDocument/2006/relationships/hyperlink" Target="https://www.google.com/maps/search/?api=1&amp;query=-3.0899923335301,-55.5357023826731" TargetMode="External"/><Relationship Id="rId2687" Type="http://schemas.openxmlformats.org/officeDocument/2006/relationships/hyperlink" Target="https://www.google.com/maps/search/?api=1&amp;query=-30.8959016441662,-55.5369647109911" TargetMode="External"/><Relationship Id="rId1357" Type="http://schemas.openxmlformats.org/officeDocument/2006/relationships/hyperlink" Target="https://www.google.com/maps/search/?api=1&amp;query=-30.9023617778439,-55.5378077672697" TargetMode="External"/><Relationship Id="rId2204" Type="http://schemas.openxmlformats.org/officeDocument/2006/relationships/hyperlink" Target="https://earth.google.com/web/search/-3.0899923335301,-55.5357023826731" TargetMode="External"/><Relationship Id="rId2688" Type="http://schemas.openxmlformats.org/officeDocument/2006/relationships/hyperlink" Target="https://earth.google.com/web/search/-30.8959016441662,-55.5369647109911" TargetMode="External"/><Relationship Id="rId20" Type="http://schemas.openxmlformats.org/officeDocument/2006/relationships/hyperlink" Target="https://earth.google.com/web/search/-30.9081135870265,-55.5419103805931" TargetMode="External"/><Relationship Id="rId1358" Type="http://schemas.openxmlformats.org/officeDocument/2006/relationships/hyperlink" Target="https://earth.google.com/web/search/-30.9023617778439,-55.5378077672697" TargetMode="External"/><Relationship Id="rId2205" Type="http://schemas.openxmlformats.org/officeDocument/2006/relationships/hyperlink" Target="https://www.google.com/maps/search/?api=1&amp;query=-30.8998849478153,-55.5357824611749" TargetMode="External"/><Relationship Id="rId2689" Type="http://schemas.openxmlformats.org/officeDocument/2006/relationships/hyperlink" Target="https://www.google.com/maps/search/?api=1&amp;query=-30.8959016441663,-55.5372280297546" TargetMode="External"/><Relationship Id="rId1359" Type="http://schemas.openxmlformats.org/officeDocument/2006/relationships/hyperlink" Target="https://www.google.com/maps/search/?api=1&amp;query=-30.9025205039907,-55.5379364231284" TargetMode="External"/><Relationship Id="rId2206" Type="http://schemas.openxmlformats.org/officeDocument/2006/relationships/hyperlink" Target="https://earth.google.com/web/search/-30.8998849478153,-55.5357824611749" TargetMode="External"/><Relationship Id="rId22" Type="http://schemas.openxmlformats.org/officeDocument/2006/relationships/hyperlink" Target="https://earth.google.com/web/search/-30.9082121113853,-55.5424420073895" TargetMode="External"/><Relationship Id="rId2207" Type="http://schemas.openxmlformats.org/officeDocument/2006/relationships/hyperlink" Target="https://www.google.com/maps/search/?api=1&amp;query=-30.8998517313611,-55.5358507610829" TargetMode="External"/><Relationship Id="rId21" Type="http://schemas.openxmlformats.org/officeDocument/2006/relationships/hyperlink" Target="https://www.google.com/maps/search/?api=1&amp;query=-30.9082121113853,-55.5424420073895" TargetMode="External"/><Relationship Id="rId2208" Type="http://schemas.openxmlformats.org/officeDocument/2006/relationships/hyperlink" Target="https://earth.google.com/web/search/-30.8998517313611,-55.5358507610829" TargetMode="External"/><Relationship Id="rId24" Type="http://schemas.openxmlformats.org/officeDocument/2006/relationships/hyperlink" Target="https://earth.google.com/web/search/-30.9083080232214,-55.5422930184486" TargetMode="External"/><Relationship Id="rId2209" Type="http://schemas.openxmlformats.org/officeDocument/2006/relationships/hyperlink" Target="https://www.google.com/maps/search/?api=1&amp;query=-30.8998046099616,-5.5535928193997" TargetMode="External"/><Relationship Id="rId23" Type="http://schemas.openxmlformats.org/officeDocument/2006/relationships/hyperlink" Target="https://www.google.com/maps/search/?api=1&amp;query=-30.9083080232214,-55.5422930184486" TargetMode="External"/><Relationship Id="rId767" Type="http://schemas.openxmlformats.org/officeDocument/2006/relationships/hyperlink" Target="https://www.google.com/maps/search/?api=1&amp;query=-30.9054687850875,-55.5395051997123" TargetMode="External"/><Relationship Id="rId766" Type="http://schemas.openxmlformats.org/officeDocument/2006/relationships/hyperlink" Target="https://earth.google.com/web/search/-30.9054000023043,-55.5396352572232" TargetMode="External"/><Relationship Id="rId765" Type="http://schemas.openxmlformats.org/officeDocument/2006/relationships/hyperlink" Target="https://www.google.com/maps/search/?api=1&amp;query=-30.9054000023043,-55.5396352572232" TargetMode="External"/><Relationship Id="rId764" Type="http://schemas.openxmlformats.org/officeDocument/2006/relationships/hyperlink" Target="https://earth.google.com/web/search/-30.9053601220487,-55.5397034235913" TargetMode="External"/><Relationship Id="rId769" Type="http://schemas.openxmlformats.org/officeDocument/2006/relationships/hyperlink" Target="https://www.google.com/maps/search/?api=1&amp;query=-30.9055017589884,-55.5394538304954" TargetMode="External"/><Relationship Id="rId768" Type="http://schemas.openxmlformats.org/officeDocument/2006/relationships/hyperlink" Target="https://earth.google.com/web/search/-30.9054687850875,-55.5395051997123" TargetMode="External"/><Relationship Id="rId26" Type="http://schemas.openxmlformats.org/officeDocument/2006/relationships/hyperlink" Target="https://earth.google.com/web/search/-30.9081344080317,-55.5420404251968" TargetMode="External"/><Relationship Id="rId25" Type="http://schemas.openxmlformats.org/officeDocument/2006/relationships/hyperlink" Target="https://www.google.com/maps/search/?api=1&amp;query=-30.9081344080317,-55.5420404251968" TargetMode="External"/><Relationship Id="rId2680" Type="http://schemas.openxmlformats.org/officeDocument/2006/relationships/hyperlink" Target="https://earth.google.com/web/search/-30.8959016441658,-55.5477018452598" TargetMode="External"/><Relationship Id="rId28" Type="http://schemas.openxmlformats.org/officeDocument/2006/relationships/hyperlink" Target="https://earth.google.com/web/search/-3.0907749592464,-55.5417715928406" TargetMode="External"/><Relationship Id="rId1350" Type="http://schemas.openxmlformats.org/officeDocument/2006/relationships/hyperlink" Target="https://earth.google.com/web/search/-30.9029656608156,-55.5381174739293" TargetMode="External"/><Relationship Id="rId2681" Type="http://schemas.openxmlformats.org/officeDocument/2006/relationships/hyperlink" Target="https://www.google.com/maps/search/?api=1&amp;query=-30.8959016441659,-0.5554131620649" TargetMode="External"/><Relationship Id="rId27" Type="http://schemas.openxmlformats.org/officeDocument/2006/relationships/hyperlink" Target="https://www.google.com/maps/search/?api=1&amp;query=-3.0907749592464,-55.5417715928406" TargetMode="External"/><Relationship Id="rId1351" Type="http://schemas.openxmlformats.org/officeDocument/2006/relationships/hyperlink" Target="https://www.google.com/maps/search/?api=1&amp;query=-30.9030633537783,-55.5379298050188" TargetMode="External"/><Relationship Id="rId2682" Type="http://schemas.openxmlformats.org/officeDocument/2006/relationships/hyperlink" Target="https://earth.google.com/web/search/-30.8959016441659,-0.5554131620649" TargetMode="External"/><Relationship Id="rId763" Type="http://schemas.openxmlformats.org/officeDocument/2006/relationships/hyperlink" Target="https://www.google.com/maps/search/?api=1&amp;query=-30.9053601220487,-55.5397034235913" TargetMode="External"/><Relationship Id="rId1352" Type="http://schemas.openxmlformats.org/officeDocument/2006/relationships/hyperlink" Target="https://earth.google.com/web/search/-30.9030633537783,-55.5379298050188" TargetMode="External"/><Relationship Id="rId2683" Type="http://schemas.openxmlformats.org/officeDocument/2006/relationships/hyperlink" Target="https://www.google.com/maps/search/?api=1&amp;query=-30.8959016441660,-55.5340165279831" TargetMode="External"/><Relationship Id="rId29" Type="http://schemas.openxmlformats.org/officeDocument/2006/relationships/hyperlink" Target="https://www.google.com/maps/search/?api=1&amp;query=-3.0907480214178,-55.5420297790972" TargetMode="External"/><Relationship Id="rId762" Type="http://schemas.openxmlformats.org/officeDocument/2006/relationships/hyperlink" Target="https://earth.google.com/web/search/-30.9033865060893,-55.5448286387854" TargetMode="External"/><Relationship Id="rId1353" Type="http://schemas.openxmlformats.org/officeDocument/2006/relationships/hyperlink" Target="https://www.google.com/maps/search/?api=1&amp;query=-30.9028132077807,-5.5537008126342" TargetMode="External"/><Relationship Id="rId2200" Type="http://schemas.openxmlformats.org/officeDocument/2006/relationships/hyperlink" Target="https://earth.google.com/web/search/-0.3090002739567,-55.5355092746382" TargetMode="External"/><Relationship Id="rId2684" Type="http://schemas.openxmlformats.org/officeDocument/2006/relationships/hyperlink" Target="https://earth.google.com/web/search/-30.8959016441660,-55.5340165279831" TargetMode="External"/><Relationship Id="rId761" Type="http://schemas.openxmlformats.org/officeDocument/2006/relationships/hyperlink" Target="https://www.google.com/maps/search/?api=1&amp;query=-30.9033865060893,-55.5448286387854" TargetMode="External"/><Relationship Id="rId1354" Type="http://schemas.openxmlformats.org/officeDocument/2006/relationships/hyperlink" Target="https://earth.google.com/web/search/-30.9028132077807,-5.5537008126342" TargetMode="External"/><Relationship Id="rId2201" Type="http://schemas.openxmlformats.org/officeDocument/2006/relationships/hyperlink" Target="https://www.google.com/maps/search/?api=1&amp;query=-30.8999580929387,-55.5356157719271" TargetMode="External"/><Relationship Id="rId2685" Type="http://schemas.openxmlformats.org/officeDocument/2006/relationships/hyperlink" Target="https://www.google.com/maps/search/?api=1&amp;query=-30.8959016441661,-55.5340763571212" TargetMode="External"/><Relationship Id="rId760" Type="http://schemas.openxmlformats.org/officeDocument/2006/relationships/hyperlink" Target="https://earth.google.com/web/search/-30.9029700060409,-55.5444200649392" TargetMode="External"/><Relationship Id="rId1355" Type="http://schemas.openxmlformats.org/officeDocument/2006/relationships/hyperlink" Target="https://www.google.com/maps/search/?api=1&amp;query=-30.9023031021822,-55.5377675486998" TargetMode="External"/><Relationship Id="rId2202" Type="http://schemas.openxmlformats.org/officeDocument/2006/relationships/hyperlink" Target="https://earth.google.com/web/search/-30.8999580929387,-55.5356157719271" TargetMode="External"/><Relationship Id="rId2686" Type="http://schemas.openxmlformats.org/officeDocument/2006/relationships/hyperlink" Target="https://earth.google.com/web/search/-30.8959016441661,-55.5340763571212" TargetMode="External"/><Relationship Id="rId1345" Type="http://schemas.openxmlformats.org/officeDocument/2006/relationships/hyperlink" Target="https://www.google.com/maps/search/?api=1&amp;query=-30.9006313235958,-55.5441230420559" TargetMode="External"/><Relationship Id="rId2676" Type="http://schemas.openxmlformats.org/officeDocument/2006/relationships/hyperlink" Target="https://earth.google.com/web/search/-30.8959016441656,-55.5401630058676" TargetMode="External"/><Relationship Id="rId1346" Type="http://schemas.openxmlformats.org/officeDocument/2006/relationships/hyperlink" Target="https://earth.google.com/web/search/-30.9006313235958,-55.5441230420559" TargetMode="External"/><Relationship Id="rId2677" Type="http://schemas.openxmlformats.org/officeDocument/2006/relationships/hyperlink" Target="https://www.google.com/maps/search/?api=1&amp;query=-30.8959016441657,-55.5401112176754" TargetMode="External"/><Relationship Id="rId1347" Type="http://schemas.openxmlformats.org/officeDocument/2006/relationships/hyperlink" Target="https://www.google.com/maps/search/?api=1&amp;query=-30.9007023719299,-55.5441793384086" TargetMode="External"/><Relationship Id="rId2678" Type="http://schemas.openxmlformats.org/officeDocument/2006/relationships/hyperlink" Target="https://earth.google.com/web/search/-30.8959016441657,-55.5401112176754" TargetMode="External"/><Relationship Id="rId1348" Type="http://schemas.openxmlformats.org/officeDocument/2006/relationships/hyperlink" Target="https://earth.google.com/web/search/-30.9007023719299,-55.5441793384086" TargetMode="External"/><Relationship Id="rId2679" Type="http://schemas.openxmlformats.org/officeDocument/2006/relationships/hyperlink" Target="https://www.google.com/maps/search/?api=1&amp;query=-30.8959016441658,-55.5477018452598" TargetMode="External"/><Relationship Id="rId11" Type="http://schemas.openxmlformats.org/officeDocument/2006/relationships/hyperlink" Target="https://www.google.com/maps/search/?api=1&amp;query=-30.9079826306537,-55.5410682577867" TargetMode="External"/><Relationship Id="rId1349" Type="http://schemas.openxmlformats.org/officeDocument/2006/relationships/hyperlink" Target="https://www.google.com/maps/search/?api=1&amp;query=-30.9029656608156,-55.5381174739293" TargetMode="External"/><Relationship Id="rId10" Type="http://schemas.openxmlformats.org/officeDocument/2006/relationships/hyperlink" Target="https://earth.google.com/web/search/-30.9084599238673,-55.5410184784325" TargetMode="External"/><Relationship Id="rId13" Type="http://schemas.openxmlformats.org/officeDocument/2006/relationships/hyperlink" Target="https://www.google.com/maps/search/?api=1&amp;query=-30.9078322812076,-55.5416879006129" TargetMode="External"/><Relationship Id="rId12" Type="http://schemas.openxmlformats.org/officeDocument/2006/relationships/hyperlink" Target="https://earth.google.com/web/search/-30.9079826306537,-55.5410682577867" TargetMode="External"/><Relationship Id="rId756" Type="http://schemas.openxmlformats.org/officeDocument/2006/relationships/hyperlink" Target="https://earth.google.com/web/search/-30.9031321867305,-5.5544111313636" TargetMode="External"/><Relationship Id="rId755" Type="http://schemas.openxmlformats.org/officeDocument/2006/relationships/hyperlink" Target="https://www.google.com/maps/search/?api=1&amp;query=-30.9031321867305,-5.5544111313636" TargetMode="External"/><Relationship Id="rId754" Type="http://schemas.openxmlformats.org/officeDocument/2006/relationships/hyperlink" Target="https://earth.google.com/web/search/-30.9032648209029,-55.5438705842896" TargetMode="External"/><Relationship Id="rId753" Type="http://schemas.openxmlformats.org/officeDocument/2006/relationships/hyperlink" Target="https://www.google.com/maps/search/?api=1&amp;query=-30.9032648209029,-55.5438705842896" TargetMode="External"/><Relationship Id="rId759" Type="http://schemas.openxmlformats.org/officeDocument/2006/relationships/hyperlink" Target="https://www.google.com/maps/search/?api=1&amp;query=-30.9029700060409,-55.5444200649392" TargetMode="External"/><Relationship Id="rId758" Type="http://schemas.openxmlformats.org/officeDocument/2006/relationships/hyperlink" Target="https://earth.google.com/web/search/-30.9030706957733,-55.5442358442992" TargetMode="External"/><Relationship Id="rId757" Type="http://schemas.openxmlformats.org/officeDocument/2006/relationships/hyperlink" Target="https://www.google.com/maps/search/?api=1&amp;query=-30.9030706957733,-55.5442358442992" TargetMode="External"/><Relationship Id="rId15" Type="http://schemas.openxmlformats.org/officeDocument/2006/relationships/hyperlink" Target="https://www.google.com/maps/search/?api=1&amp;query=-3.0907949434123,-55.5417827169845" TargetMode="External"/><Relationship Id="rId14" Type="http://schemas.openxmlformats.org/officeDocument/2006/relationships/hyperlink" Target="https://earth.google.com/web/search/-30.9078322812076,-55.5416879006129" TargetMode="External"/><Relationship Id="rId17" Type="http://schemas.openxmlformats.org/officeDocument/2006/relationships/hyperlink" Target="https://www.google.com/maps/search/?api=1&amp;query=-30.9080100681708,-55.5418156220984" TargetMode="External"/><Relationship Id="rId2670" Type="http://schemas.openxmlformats.org/officeDocument/2006/relationships/hyperlink" Target="https://earth.google.com/web/search/-30.8959016441653,-55.5403068374629" TargetMode="External"/><Relationship Id="rId16" Type="http://schemas.openxmlformats.org/officeDocument/2006/relationships/hyperlink" Target="https://earth.google.com/web/search/-3.0907949434123,-55.5417827169845" TargetMode="External"/><Relationship Id="rId1340" Type="http://schemas.openxmlformats.org/officeDocument/2006/relationships/hyperlink" Target="https://earth.google.com/web/search/-30.9002014206773,-55.5438102241546" TargetMode="External"/><Relationship Id="rId2671" Type="http://schemas.openxmlformats.org/officeDocument/2006/relationships/hyperlink" Target="https://www.google.com/maps/search/?api=1&amp;query=-30.8959016441654,-55.5402678705696" TargetMode="External"/><Relationship Id="rId19" Type="http://schemas.openxmlformats.org/officeDocument/2006/relationships/hyperlink" Target="https://www.google.com/maps/search/?api=1&amp;query=-30.9081135870265,-55.5419103805931" TargetMode="External"/><Relationship Id="rId752" Type="http://schemas.openxmlformats.org/officeDocument/2006/relationships/hyperlink" Target="https://earth.google.com/web/search/-30.9034738459597,-5.5543758053095" TargetMode="External"/><Relationship Id="rId1341" Type="http://schemas.openxmlformats.org/officeDocument/2006/relationships/hyperlink" Target="https://www.google.com/maps/search/?api=1&amp;query=-30.9003200251517,-55.5439228635196" TargetMode="External"/><Relationship Id="rId2672" Type="http://schemas.openxmlformats.org/officeDocument/2006/relationships/hyperlink" Target="https://earth.google.com/web/search/-30.8959016441654,-55.5402678705696" TargetMode="External"/><Relationship Id="rId18" Type="http://schemas.openxmlformats.org/officeDocument/2006/relationships/hyperlink" Target="https://earth.google.com/web/search/-30.9080100681708,-55.5418156220984" TargetMode="External"/><Relationship Id="rId751" Type="http://schemas.openxmlformats.org/officeDocument/2006/relationships/hyperlink" Target="https://www.google.com/maps/search/?api=1&amp;query=-30.9034738459597,-5.5543758053095" TargetMode="External"/><Relationship Id="rId1342" Type="http://schemas.openxmlformats.org/officeDocument/2006/relationships/hyperlink" Target="https://earth.google.com/web/search/-30.9003200251517,-55.5439228635196" TargetMode="External"/><Relationship Id="rId2673" Type="http://schemas.openxmlformats.org/officeDocument/2006/relationships/hyperlink" Target="https://www.google.com/maps/search/?api=1&amp;query=-30.8959016441655,-55.5402201920356" TargetMode="External"/><Relationship Id="rId750" Type="http://schemas.openxmlformats.org/officeDocument/2006/relationships/hyperlink" Target="https://earth.google.com/web/search/-30.9035670204376,-55.5438304200754" TargetMode="External"/><Relationship Id="rId1343" Type="http://schemas.openxmlformats.org/officeDocument/2006/relationships/hyperlink" Target="https://www.google.com/maps/search/?api=1&amp;query=-30.9004147540826,-55.5439661617162" TargetMode="External"/><Relationship Id="rId2674" Type="http://schemas.openxmlformats.org/officeDocument/2006/relationships/hyperlink" Target="https://earth.google.com/web/search/-30.8959016441655,-55.5402201920356" TargetMode="External"/><Relationship Id="rId1344" Type="http://schemas.openxmlformats.org/officeDocument/2006/relationships/hyperlink" Target="https://earth.google.com/web/search/-30.9004147540826,-55.5439661617162" TargetMode="External"/><Relationship Id="rId2675" Type="http://schemas.openxmlformats.org/officeDocument/2006/relationships/hyperlink" Target="https://www.google.com/maps/search/?api=1&amp;query=-30.8959016441656,-55.5401630058676" TargetMode="External"/><Relationship Id="rId84" Type="http://schemas.openxmlformats.org/officeDocument/2006/relationships/hyperlink" Target="https://earth.google.com/web/search/-30.9071297727334,-55.5445367111796" TargetMode="External"/><Relationship Id="rId1774" Type="http://schemas.openxmlformats.org/officeDocument/2006/relationships/hyperlink" Target="https://earth.google.com/web/search/-3.0898788948376,-55.5428040889904" TargetMode="External"/><Relationship Id="rId2621" Type="http://schemas.openxmlformats.org/officeDocument/2006/relationships/hyperlink" Target="https://www.google.com/maps/search/?api=1&amp;query=-30.8960086732351,-55.5373606951136" TargetMode="External"/><Relationship Id="rId83" Type="http://schemas.openxmlformats.org/officeDocument/2006/relationships/hyperlink" Target="https://www.google.com/maps/search/?api=1&amp;query=-30.9071297727334,-55.5445367111796" TargetMode="External"/><Relationship Id="rId1775" Type="http://schemas.openxmlformats.org/officeDocument/2006/relationships/hyperlink" Target="https://www.google.com/maps/search/?api=1&amp;query=-30.8989446458185,-55.5429037260542" TargetMode="External"/><Relationship Id="rId2622" Type="http://schemas.openxmlformats.org/officeDocument/2006/relationships/hyperlink" Target="https://earth.google.com/web/search/-30.8960086732351,-55.5373606951136" TargetMode="External"/><Relationship Id="rId86" Type="http://schemas.openxmlformats.org/officeDocument/2006/relationships/hyperlink" Target="https://earth.google.com/web/search/-30.9071733943285,-55.5444300996043" TargetMode="External"/><Relationship Id="rId1776" Type="http://schemas.openxmlformats.org/officeDocument/2006/relationships/hyperlink" Target="https://earth.google.com/web/search/-30.8989446458185,-55.5429037260542" TargetMode="External"/><Relationship Id="rId2623" Type="http://schemas.openxmlformats.org/officeDocument/2006/relationships/hyperlink" Target="https://www.google.com/maps/search/?api=1&amp;query=-30.8965378051648,-5.5537537847828" TargetMode="External"/><Relationship Id="rId85" Type="http://schemas.openxmlformats.org/officeDocument/2006/relationships/hyperlink" Target="https://www.google.com/maps/search/?api=1&amp;query=-30.9071733943285,-55.5444300996043" TargetMode="External"/><Relationship Id="rId1777" Type="http://schemas.openxmlformats.org/officeDocument/2006/relationships/hyperlink" Target="https://www.google.com/maps/search/?api=1&amp;query=-30.8990590203809,-55.5429910045694" TargetMode="External"/><Relationship Id="rId2624" Type="http://schemas.openxmlformats.org/officeDocument/2006/relationships/hyperlink" Target="https://earth.google.com/web/search/-30.8965378051648,-5.5537537847828" TargetMode="External"/><Relationship Id="rId88" Type="http://schemas.openxmlformats.org/officeDocument/2006/relationships/hyperlink" Target="https://earth.google.com/web/search/-30.9072143978296,-55.5443573171663" TargetMode="External"/><Relationship Id="rId1778" Type="http://schemas.openxmlformats.org/officeDocument/2006/relationships/hyperlink" Target="https://earth.google.com/web/search/-30.8990590203809,-55.5429910045694" TargetMode="External"/><Relationship Id="rId2625" Type="http://schemas.openxmlformats.org/officeDocument/2006/relationships/hyperlink" Target="https://www.google.com/maps/search/?api=1&amp;query=-3.0896321875264,-55.5384382019302" TargetMode="External"/><Relationship Id="rId87" Type="http://schemas.openxmlformats.org/officeDocument/2006/relationships/hyperlink" Target="https://www.google.com/maps/search/?api=1&amp;query=-30.9072143978296,-55.5443573171663" TargetMode="External"/><Relationship Id="rId1779" Type="http://schemas.openxmlformats.org/officeDocument/2006/relationships/hyperlink" Target="https://www.google.com/maps/search/?api=1&amp;query=-30.9014807336292,-55.5368482930629" TargetMode="External"/><Relationship Id="rId2626" Type="http://schemas.openxmlformats.org/officeDocument/2006/relationships/hyperlink" Target="https://earth.google.com/web/search/-3.0896321875264,-55.5384382019302" TargetMode="External"/><Relationship Id="rId2627" Type="http://schemas.openxmlformats.org/officeDocument/2006/relationships/hyperlink" Target="https://www.google.com/maps/search/?api=1&amp;query=-30.8962550623162,-5.5538496312835" TargetMode="External"/><Relationship Id="rId89" Type="http://schemas.openxmlformats.org/officeDocument/2006/relationships/hyperlink" Target="https://www.google.com/maps/search/?api=1&amp;query=-30.9070738360768,-55.5437918760122" TargetMode="External"/><Relationship Id="rId2628" Type="http://schemas.openxmlformats.org/officeDocument/2006/relationships/hyperlink" Target="https://earth.google.com/web/search/-30.8962550623162,-5.5538496312835" TargetMode="External"/><Relationship Id="rId709" Type="http://schemas.openxmlformats.org/officeDocument/2006/relationships/hyperlink" Target="https://www.google.com/maps/search/?api=1&amp;query=-30.9042107142048,-55.5430131978059" TargetMode="External"/><Relationship Id="rId2629" Type="http://schemas.openxmlformats.org/officeDocument/2006/relationships/hyperlink" Target="https://www.google.com/maps/search/?api=1&amp;query=-30.8961556190949,-55.5384575615177" TargetMode="External"/><Relationship Id="rId708" Type="http://schemas.openxmlformats.org/officeDocument/2006/relationships/hyperlink" Target="https://earth.google.com/web/search/-30.9042947622983,-55.5430427130328" TargetMode="External"/><Relationship Id="rId707" Type="http://schemas.openxmlformats.org/officeDocument/2006/relationships/hyperlink" Target="https://www.google.com/maps/search/?api=1&amp;query=-30.9042947622983,-55.5430427130328" TargetMode="External"/><Relationship Id="rId706" Type="http://schemas.openxmlformats.org/officeDocument/2006/relationships/hyperlink" Target="https://earth.google.com/web/search/-30.9043287134649,-55.5430833622782" TargetMode="External"/><Relationship Id="rId80" Type="http://schemas.openxmlformats.org/officeDocument/2006/relationships/hyperlink" Target="https://earth.google.com/web/search/-30.9073004928676,-55.5438249711472" TargetMode="External"/><Relationship Id="rId82" Type="http://schemas.openxmlformats.org/officeDocument/2006/relationships/hyperlink" Target="https://earth.google.com/web/search/-30.9071056056609,-55.5445685897008" TargetMode="External"/><Relationship Id="rId81" Type="http://schemas.openxmlformats.org/officeDocument/2006/relationships/hyperlink" Target="https://www.google.com/maps/search/?api=1&amp;query=-30.9071056056609,-55.5445685897008" TargetMode="External"/><Relationship Id="rId701" Type="http://schemas.openxmlformats.org/officeDocument/2006/relationships/hyperlink" Target="https://www.google.com/maps/search/?api=1&amp;query=-30.9043164301473,-55.5429367281264" TargetMode="External"/><Relationship Id="rId700" Type="http://schemas.openxmlformats.org/officeDocument/2006/relationships/hyperlink" Target="https://earth.google.com/web/search/-30.9042841450238,-55.5429187468875" TargetMode="External"/><Relationship Id="rId705" Type="http://schemas.openxmlformats.org/officeDocument/2006/relationships/hyperlink" Target="https://www.google.com/maps/search/?api=1&amp;query=-30.9043287134649,-55.5430833622782" TargetMode="External"/><Relationship Id="rId704" Type="http://schemas.openxmlformats.org/officeDocument/2006/relationships/hyperlink" Target="https://earth.google.com/web/search/-30.9043554897188,-55.5429648407775" TargetMode="External"/><Relationship Id="rId703" Type="http://schemas.openxmlformats.org/officeDocument/2006/relationships/hyperlink" Target="https://www.google.com/maps/search/?api=1&amp;query=-30.9043554897188,-55.5429648407775" TargetMode="External"/><Relationship Id="rId702" Type="http://schemas.openxmlformats.org/officeDocument/2006/relationships/hyperlink" Target="https://earth.google.com/web/search/-30.9043164301473,-55.5429367281264" TargetMode="External"/><Relationship Id="rId1770" Type="http://schemas.openxmlformats.org/officeDocument/2006/relationships/hyperlink" Target="https://earth.google.com/web/search/-30.8986401730833,-55.5424126983571" TargetMode="External"/><Relationship Id="rId1771" Type="http://schemas.openxmlformats.org/officeDocument/2006/relationships/hyperlink" Target="https://www.google.com/maps/search/?api=1&amp;query=-30.8985833676843,-55.5426687926474" TargetMode="External"/><Relationship Id="rId1772" Type="http://schemas.openxmlformats.org/officeDocument/2006/relationships/hyperlink" Target="https://earth.google.com/web/search/-30.8985833676843,-55.5426687926474" TargetMode="External"/><Relationship Id="rId1773" Type="http://schemas.openxmlformats.org/officeDocument/2006/relationships/hyperlink" Target="https://www.google.com/maps/search/?api=1&amp;query=-3.0898788948376,-55.5428040889904" TargetMode="External"/><Relationship Id="rId2620" Type="http://schemas.openxmlformats.org/officeDocument/2006/relationships/hyperlink" Target="https://earth.google.com/web/search/-30.8959507650838,-55.5374417268602" TargetMode="External"/><Relationship Id="rId73" Type="http://schemas.openxmlformats.org/officeDocument/2006/relationships/hyperlink" Target="https://www.google.com/maps/search/?api=1&amp;query=-30.9071088354935,-55.5436987262569" TargetMode="External"/><Relationship Id="rId1763" Type="http://schemas.openxmlformats.org/officeDocument/2006/relationships/hyperlink" Target="https://www.google.com/maps/search/?api=1&amp;query=-30.8988482702087,-55.5419937079268" TargetMode="External"/><Relationship Id="rId2610" Type="http://schemas.openxmlformats.org/officeDocument/2006/relationships/hyperlink" Target="https://earth.google.com/web/search/-30.8969421159855,-55.5352997666516" TargetMode="External"/><Relationship Id="rId72" Type="http://schemas.openxmlformats.org/officeDocument/2006/relationships/hyperlink" Target="https://earth.google.com/web/search/-30.9070328985863,-55.5436463693993" TargetMode="External"/><Relationship Id="rId1764" Type="http://schemas.openxmlformats.org/officeDocument/2006/relationships/hyperlink" Target="https://earth.google.com/web/search/-30.8988482702087,-55.5419937079268" TargetMode="External"/><Relationship Id="rId2611" Type="http://schemas.openxmlformats.org/officeDocument/2006/relationships/hyperlink" Target="https://www.google.com/maps/search/?api=1&amp;query=-30.8975161517748,-55.5361583178206" TargetMode="External"/><Relationship Id="rId75" Type="http://schemas.openxmlformats.org/officeDocument/2006/relationships/hyperlink" Target="https://www.google.com/maps/search/?api=1&amp;query=-30.9071502584214,-55.5437317207205" TargetMode="External"/><Relationship Id="rId1765" Type="http://schemas.openxmlformats.org/officeDocument/2006/relationships/hyperlink" Target="https://www.google.com/maps/search/?api=1&amp;query=-30.8987509886421,-55.5421641677721" TargetMode="External"/><Relationship Id="rId2612" Type="http://schemas.openxmlformats.org/officeDocument/2006/relationships/hyperlink" Target="https://earth.google.com/web/search/-30.8975161517748,-55.5361583178206" TargetMode="External"/><Relationship Id="rId74" Type="http://schemas.openxmlformats.org/officeDocument/2006/relationships/hyperlink" Target="https://earth.google.com/web/search/-30.9071088354935,-55.5436987262569" TargetMode="External"/><Relationship Id="rId1766" Type="http://schemas.openxmlformats.org/officeDocument/2006/relationships/hyperlink" Target="https://earth.google.com/web/search/-30.8987509886421,-55.5421641677721" TargetMode="External"/><Relationship Id="rId2613" Type="http://schemas.openxmlformats.org/officeDocument/2006/relationships/hyperlink" Target="https://www.google.com/maps/search/?api=1&amp;query=-30.8972547674617,-55.5366253882645" TargetMode="External"/><Relationship Id="rId77" Type="http://schemas.openxmlformats.org/officeDocument/2006/relationships/hyperlink" Target="https://www.google.com/maps/search/?api=1&amp;query=-30.9072288023408,-55.5437843609142" TargetMode="External"/><Relationship Id="rId1767" Type="http://schemas.openxmlformats.org/officeDocument/2006/relationships/hyperlink" Target="https://www.google.com/maps/search/?api=1&amp;query=-30.8987195564006,-5.5542262734812" TargetMode="External"/><Relationship Id="rId2614" Type="http://schemas.openxmlformats.org/officeDocument/2006/relationships/hyperlink" Target="https://earth.google.com/web/search/-30.8972547674617,-55.5366253882645" TargetMode="External"/><Relationship Id="rId76" Type="http://schemas.openxmlformats.org/officeDocument/2006/relationships/hyperlink" Target="https://earth.google.com/web/search/-30.9071502584214,-55.5437317207205" TargetMode="External"/><Relationship Id="rId1768" Type="http://schemas.openxmlformats.org/officeDocument/2006/relationships/hyperlink" Target="https://earth.google.com/web/search/-30.8987195564006,-5.5542262734812" TargetMode="External"/><Relationship Id="rId2615" Type="http://schemas.openxmlformats.org/officeDocument/2006/relationships/hyperlink" Target="https://www.google.com/maps/search/?api=1&amp;query=-30.8964012435919,-55.5373354601504" TargetMode="External"/><Relationship Id="rId79" Type="http://schemas.openxmlformats.org/officeDocument/2006/relationships/hyperlink" Target="https://www.google.com/maps/search/?api=1&amp;query=-30.9073004928676,-55.5438249711472" TargetMode="External"/><Relationship Id="rId1769" Type="http://schemas.openxmlformats.org/officeDocument/2006/relationships/hyperlink" Target="https://www.google.com/maps/search/?api=1&amp;query=-30.8986401730833,-55.5424126983571" TargetMode="External"/><Relationship Id="rId2616" Type="http://schemas.openxmlformats.org/officeDocument/2006/relationships/hyperlink" Target="https://earth.google.com/web/search/-30.8964012435919,-55.5373354601504" TargetMode="External"/><Relationship Id="rId78" Type="http://schemas.openxmlformats.org/officeDocument/2006/relationships/hyperlink" Target="https://earth.google.com/web/search/-30.9072288023408,-55.5437843609142" TargetMode="External"/><Relationship Id="rId2617" Type="http://schemas.openxmlformats.org/officeDocument/2006/relationships/hyperlink" Target="https://www.google.com/maps/search/?api=1&amp;query=-30.8956804939312,-55.5379907853632" TargetMode="External"/><Relationship Id="rId2618" Type="http://schemas.openxmlformats.org/officeDocument/2006/relationships/hyperlink" Target="https://earth.google.com/web/search/-30.8956804939312,-55.5379907853632" TargetMode="External"/><Relationship Id="rId2619" Type="http://schemas.openxmlformats.org/officeDocument/2006/relationships/hyperlink" Target="https://www.google.com/maps/search/?api=1&amp;query=-30.8959507650838,-55.5374417268602" TargetMode="External"/><Relationship Id="rId71" Type="http://schemas.openxmlformats.org/officeDocument/2006/relationships/hyperlink" Target="https://www.google.com/maps/search/?api=1&amp;query=-30.9070328985863,-55.5436463693993" TargetMode="External"/><Relationship Id="rId70" Type="http://schemas.openxmlformats.org/officeDocument/2006/relationships/hyperlink" Target="https://earth.google.com/web/search/-30.9068299118868,-55.5434995658306" TargetMode="External"/><Relationship Id="rId1760" Type="http://schemas.openxmlformats.org/officeDocument/2006/relationships/hyperlink" Target="https://earth.google.com/web/search/-30.8995345677224,-55.5425151804646" TargetMode="External"/><Relationship Id="rId1761" Type="http://schemas.openxmlformats.org/officeDocument/2006/relationships/hyperlink" Target="https://www.google.com/maps/search/?api=1&amp;query=-30.8995950054744,-5.5542385261588" TargetMode="External"/><Relationship Id="rId1762" Type="http://schemas.openxmlformats.org/officeDocument/2006/relationships/hyperlink" Target="https://earth.google.com/web/search/-30.8995950054744,-5.5542385261588" TargetMode="External"/><Relationship Id="rId62" Type="http://schemas.openxmlformats.org/officeDocument/2006/relationships/hyperlink" Target="https://earth.google.com/web/search/-30.9068740946408,-55.5431574555906" TargetMode="External"/><Relationship Id="rId1312" Type="http://schemas.openxmlformats.org/officeDocument/2006/relationships/hyperlink" Target="https://earth.google.com/web/search/-30.9011739333327,-55.5432502313648" TargetMode="External"/><Relationship Id="rId1796" Type="http://schemas.openxmlformats.org/officeDocument/2006/relationships/hyperlink" Target="https://earth.google.com/web/search/-30.9009304457051,-55.5360250954764" TargetMode="External"/><Relationship Id="rId2643" Type="http://schemas.openxmlformats.org/officeDocument/2006/relationships/hyperlink" Target="https://www.google.com/maps/search/?api=1&amp;query=-3.0895326613357,-55.5386500520819" TargetMode="External"/><Relationship Id="rId61" Type="http://schemas.openxmlformats.org/officeDocument/2006/relationships/hyperlink" Target="https://www.google.com/maps/search/?api=1&amp;query=-30.9068740946408,-55.5431574555906" TargetMode="External"/><Relationship Id="rId1313" Type="http://schemas.openxmlformats.org/officeDocument/2006/relationships/hyperlink" Target="https://www.google.com/maps/search/?api=1&amp;query=-30.9012373461805,-55.5432863474526" TargetMode="External"/><Relationship Id="rId1797" Type="http://schemas.openxmlformats.org/officeDocument/2006/relationships/hyperlink" Target="https://www.google.com/maps/search/?api=1&amp;query=-30.9007123150005,-55.5364450249713" TargetMode="External"/><Relationship Id="rId2644" Type="http://schemas.openxmlformats.org/officeDocument/2006/relationships/hyperlink" Target="https://earth.google.com/web/search/-3.0895326613357,-55.5386500520819" TargetMode="External"/><Relationship Id="rId64" Type="http://schemas.openxmlformats.org/officeDocument/2006/relationships/hyperlink" Target="https://earth.google.com/web/search/-30.9068413277749,-55.5432232033536" TargetMode="External"/><Relationship Id="rId1314" Type="http://schemas.openxmlformats.org/officeDocument/2006/relationships/hyperlink" Target="https://earth.google.com/web/search/-30.9012373461805,-55.5432863474526" TargetMode="External"/><Relationship Id="rId1798" Type="http://schemas.openxmlformats.org/officeDocument/2006/relationships/hyperlink" Target="https://earth.google.com/web/search/-30.9007123150005,-55.5364450249713" TargetMode="External"/><Relationship Id="rId2645" Type="http://schemas.openxmlformats.org/officeDocument/2006/relationships/hyperlink" Target="https://www.google.com/maps/search/?api=1&amp;query=-30.8953798174934,-55.5385361083628" TargetMode="External"/><Relationship Id="rId63" Type="http://schemas.openxmlformats.org/officeDocument/2006/relationships/hyperlink" Target="https://www.google.com/maps/search/?api=1&amp;query=-30.9068413277749,-55.5432232033536" TargetMode="External"/><Relationship Id="rId1315" Type="http://schemas.openxmlformats.org/officeDocument/2006/relationships/hyperlink" Target="https://www.google.com/maps/search/?api=1&amp;query=-30.9009784401968,-55.5438908112847" TargetMode="External"/><Relationship Id="rId1799" Type="http://schemas.openxmlformats.org/officeDocument/2006/relationships/hyperlink" Target="https://www.google.com/maps/search/?api=1&amp;query=-30.9007036385183,-55.5366279743852" TargetMode="External"/><Relationship Id="rId2646" Type="http://schemas.openxmlformats.org/officeDocument/2006/relationships/hyperlink" Target="https://earth.google.com/web/search/-30.8953798174934,-55.5385361083628" TargetMode="External"/><Relationship Id="rId66" Type="http://schemas.openxmlformats.org/officeDocument/2006/relationships/hyperlink" Target="https://earth.google.com/web/search/-30.9067932269615,-55.5433067577572" TargetMode="External"/><Relationship Id="rId1316" Type="http://schemas.openxmlformats.org/officeDocument/2006/relationships/hyperlink" Target="https://earth.google.com/web/search/-30.9009784401968,-55.5438908112847" TargetMode="External"/><Relationship Id="rId2647" Type="http://schemas.openxmlformats.org/officeDocument/2006/relationships/hyperlink" Target="https://www.google.com/maps/search/?api=1&amp;query=-30.8954424228303,-55.5384015442807" TargetMode="External"/><Relationship Id="rId65" Type="http://schemas.openxmlformats.org/officeDocument/2006/relationships/hyperlink" Target="https://www.google.com/maps/search/?api=1&amp;query=-30.9067932269615,-55.5433067577572" TargetMode="External"/><Relationship Id="rId1317" Type="http://schemas.openxmlformats.org/officeDocument/2006/relationships/hyperlink" Target="https://www.google.com/maps/search/?api=1&amp;query=-30.9010159301989,-55.5438098409405" TargetMode="External"/><Relationship Id="rId2648" Type="http://schemas.openxmlformats.org/officeDocument/2006/relationships/hyperlink" Target="https://earth.google.com/web/search/-30.8954424228303,-55.5384015442807" TargetMode="External"/><Relationship Id="rId68" Type="http://schemas.openxmlformats.org/officeDocument/2006/relationships/hyperlink" Target="https://earth.google.com/web/search/-30.9067659259172,-55.5434602654541" TargetMode="External"/><Relationship Id="rId1318" Type="http://schemas.openxmlformats.org/officeDocument/2006/relationships/hyperlink" Target="https://earth.google.com/web/search/-30.9010159301989,-55.5438098409405" TargetMode="External"/><Relationship Id="rId2649" Type="http://schemas.openxmlformats.org/officeDocument/2006/relationships/hyperlink" Target="https://www.google.com/maps/search/?api=1&amp;query=-30.8956991177174,-55.5382139025218" TargetMode="External"/><Relationship Id="rId67" Type="http://schemas.openxmlformats.org/officeDocument/2006/relationships/hyperlink" Target="https://www.google.com/maps/search/?api=1&amp;query=-30.9067659259172,-55.5434602654541" TargetMode="External"/><Relationship Id="rId1319" Type="http://schemas.openxmlformats.org/officeDocument/2006/relationships/hyperlink" Target="https://www.google.com/maps/search/?api=1&amp;query=-30.9010661601938,-55.5437282722097" TargetMode="External"/><Relationship Id="rId729" Type="http://schemas.openxmlformats.org/officeDocument/2006/relationships/hyperlink" Target="https://www.google.com/maps/search/?api=1&amp;query=-30.9035599058351,-5.5543708521359" TargetMode="External"/><Relationship Id="rId728" Type="http://schemas.openxmlformats.org/officeDocument/2006/relationships/hyperlink" Target="https://earth.google.com/web/search/-30.9035221300649,-55.5436790318857" TargetMode="External"/><Relationship Id="rId60" Type="http://schemas.openxmlformats.org/officeDocument/2006/relationships/hyperlink" Target="https://earth.google.com/web/search/-30.9071059743995,-55.5427194527044" TargetMode="External"/><Relationship Id="rId723" Type="http://schemas.openxmlformats.org/officeDocument/2006/relationships/hyperlink" Target="https://www.google.com/maps/search/?api=1&amp;query=-30.9034371920426,-55.5436235851232" TargetMode="External"/><Relationship Id="rId722" Type="http://schemas.openxmlformats.org/officeDocument/2006/relationships/hyperlink" Target="https://earth.google.com/web/search/-30.9034635038154,-55.5434880495688" TargetMode="External"/><Relationship Id="rId721" Type="http://schemas.openxmlformats.org/officeDocument/2006/relationships/hyperlink" Target="https://www.google.com/maps/search/?api=1&amp;query=-30.9034635038154,-55.5434880495688" TargetMode="External"/><Relationship Id="rId720" Type="http://schemas.openxmlformats.org/officeDocument/2006/relationships/hyperlink" Target="https://earth.google.com/web/search/-30.9035016555571,-5.5543381010809" TargetMode="External"/><Relationship Id="rId727" Type="http://schemas.openxmlformats.org/officeDocument/2006/relationships/hyperlink" Target="https://www.google.com/maps/search/?api=1&amp;query=-30.9035221300649,-55.5436790318857" TargetMode="External"/><Relationship Id="rId726" Type="http://schemas.openxmlformats.org/officeDocument/2006/relationships/hyperlink" Target="https://earth.google.com/web/search/-30.9034772706099,-55.5436573428606" TargetMode="External"/><Relationship Id="rId725" Type="http://schemas.openxmlformats.org/officeDocument/2006/relationships/hyperlink" Target="https://www.google.com/maps/search/?api=1&amp;query=-30.9034772706099,-55.5436573428606" TargetMode="External"/><Relationship Id="rId724" Type="http://schemas.openxmlformats.org/officeDocument/2006/relationships/hyperlink" Target="https://earth.google.com/web/search/-30.9034371920426,-55.5436235851232" TargetMode="External"/><Relationship Id="rId69" Type="http://schemas.openxmlformats.org/officeDocument/2006/relationships/hyperlink" Target="https://www.google.com/maps/search/?api=1&amp;query=-30.9068299118868,-55.5434995658306" TargetMode="External"/><Relationship Id="rId1790" Type="http://schemas.openxmlformats.org/officeDocument/2006/relationships/hyperlink" Target="https://earth.google.com/web/search/-3.0901503205584,-5.5536067090054" TargetMode="External"/><Relationship Id="rId1791" Type="http://schemas.openxmlformats.org/officeDocument/2006/relationships/hyperlink" Target="https://www.google.com/maps/search/?api=1&amp;query=-30.9013054755393,-55.5358990117957" TargetMode="External"/><Relationship Id="rId1792" Type="http://schemas.openxmlformats.org/officeDocument/2006/relationships/hyperlink" Target="https://earth.google.com/web/search/-30.9013054755393,-55.5358990117957" TargetMode="External"/><Relationship Id="rId1793" Type="http://schemas.openxmlformats.org/officeDocument/2006/relationships/hyperlink" Target="https://www.google.com/maps/search/?api=1&amp;query=-30.9011579579155,-55.5358236750451" TargetMode="External"/><Relationship Id="rId2640" Type="http://schemas.openxmlformats.org/officeDocument/2006/relationships/hyperlink" Target="https://earth.google.com/web/search/-30.8956942428537,-55.5393413671516" TargetMode="External"/><Relationship Id="rId1310" Type="http://schemas.openxmlformats.org/officeDocument/2006/relationships/hyperlink" Target="https://earth.google.com/web/search/-30.9008188129076,-0.5554301727586" TargetMode="External"/><Relationship Id="rId1794" Type="http://schemas.openxmlformats.org/officeDocument/2006/relationships/hyperlink" Target="https://earth.google.com/web/search/-30.9011579579155,-55.5358236750451" TargetMode="External"/><Relationship Id="rId2641" Type="http://schemas.openxmlformats.org/officeDocument/2006/relationships/hyperlink" Target="https://www.google.com/maps/search/?api=1&amp;query=-30.8955832610492,-55.5392664233278" TargetMode="External"/><Relationship Id="rId1311" Type="http://schemas.openxmlformats.org/officeDocument/2006/relationships/hyperlink" Target="https://www.google.com/maps/search/?api=1&amp;query=-30.9011739333327,-55.5432502313648" TargetMode="External"/><Relationship Id="rId1795" Type="http://schemas.openxmlformats.org/officeDocument/2006/relationships/hyperlink" Target="https://www.google.com/maps/search/?api=1&amp;query=-30.9009304457051,-55.5360250954764" TargetMode="External"/><Relationship Id="rId2642" Type="http://schemas.openxmlformats.org/officeDocument/2006/relationships/hyperlink" Target="https://earth.google.com/web/search/-30.8955832610492,-55.5392664233278" TargetMode="External"/><Relationship Id="rId51" Type="http://schemas.openxmlformats.org/officeDocument/2006/relationships/hyperlink" Target="https://www.google.com/maps/search/?api=1&amp;query=-30.9077172691285,-5.5543002679369" TargetMode="External"/><Relationship Id="rId1301" Type="http://schemas.openxmlformats.org/officeDocument/2006/relationships/hyperlink" Target="https://www.google.com/maps/search/?api=1&amp;query=-30.9011264897174,-5.5542095357829" TargetMode="External"/><Relationship Id="rId1785" Type="http://schemas.openxmlformats.org/officeDocument/2006/relationships/hyperlink" Target="https://www.google.com/maps/search/?api=1&amp;query=-30.9017375486207,-55.5363728045927" TargetMode="External"/><Relationship Id="rId2632" Type="http://schemas.openxmlformats.org/officeDocument/2006/relationships/hyperlink" Target="https://earth.google.com/web/search/-30.8960963912901,-55.5383657903694" TargetMode="External"/><Relationship Id="rId50" Type="http://schemas.openxmlformats.org/officeDocument/2006/relationships/hyperlink" Target="https://earth.google.com/web/search/-30.9078120862629,-55.5432170505174" TargetMode="External"/><Relationship Id="rId1302" Type="http://schemas.openxmlformats.org/officeDocument/2006/relationships/hyperlink" Target="https://earth.google.com/web/search/-30.9011264897174,-5.5542095357829" TargetMode="External"/><Relationship Id="rId1786" Type="http://schemas.openxmlformats.org/officeDocument/2006/relationships/hyperlink" Target="https://earth.google.com/web/search/-30.9017375486207,-55.5363728045927" TargetMode="External"/><Relationship Id="rId2633" Type="http://schemas.openxmlformats.org/officeDocument/2006/relationships/hyperlink" Target="https://www.google.com/maps/search/?api=1&amp;query=-30.8958863760344,-55.5381987182518" TargetMode="External"/><Relationship Id="rId53" Type="http://schemas.openxmlformats.org/officeDocument/2006/relationships/hyperlink" Target="https://www.google.com/maps/search/?api=1&amp;query=-30.9076517954781,-55.5429494585556" TargetMode="External"/><Relationship Id="rId1303" Type="http://schemas.openxmlformats.org/officeDocument/2006/relationships/hyperlink" Target="https://www.google.com/maps/search/?api=1&amp;query=-30.9009977978099,-55.5420660233869" TargetMode="External"/><Relationship Id="rId1787" Type="http://schemas.openxmlformats.org/officeDocument/2006/relationships/hyperlink" Target="https://www.google.com/maps/search/?api=1&amp;query=-30.9015783971215,-55.5361266078975" TargetMode="External"/><Relationship Id="rId2634" Type="http://schemas.openxmlformats.org/officeDocument/2006/relationships/hyperlink" Target="https://earth.google.com/web/search/-30.8958863760344,-55.5381987182518" TargetMode="External"/><Relationship Id="rId52" Type="http://schemas.openxmlformats.org/officeDocument/2006/relationships/hyperlink" Target="https://earth.google.com/web/search/-30.9077172691285,-5.5543002679369" TargetMode="External"/><Relationship Id="rId1304" Type="http://schemas.openxmlformats.org/officeDocument/2006/relationships/hyperlink" Target="https://earth.google.com/web/search/-30.9009977978099,-55.5420660233869" TargetMode="External"/><Relationship Id="rId1788" Type="http://schemas.openxmlformats.org/officeDocument/2006/relationships/hyperlink" Target="https://earth.google.com/web/search/-30.9015783971215,-55.5361266078975" TargetMode="External"/><Relationship Id="rId2635" Type="http://schemas.openxmlformats.org/officeDocument/2006/relationships/hyperlink" Target="https://www.google.com/maps/search/?api=1&amp;query=-30.8958233640451,-5.5538130516691" TargetMode="External"/><Relationship Id="rId55" Type="http://schemas.openxmlformats.org/officeDocument/2006/relationships/hyperlink" Target="https://www.google.com/maps/search/?api=1&amp;query=-3.0907544758822,-55.5428859069824" TargetMode="External"/><Relationship Id="rId1305" Type="http://schemas.openxmlformats.org/officeDocument/2006/relationships/hyperlink" Target="https://www.google.com/maps/search/?api=1&amp;query=-30.9007988331606,-55.5424378566196" TargetMode="External"/><Relationship Id="rId1789" Type="http://schemas.openxmlformats.org/officeDocument/2006/relationships/hyperlink" Target="https://www.google.com/maps/search/?api=1&amp;query=-3.0901503205584,-5.5536067090054" TargetMode="External"/><Relationship Id="rId2636" Type="http://schemas.openxmlformats.org/officeDocument/2006/relationships/hyperlink" Target="https://earth.google.com/web/search/-30.8958233640451,-5.5538130516691" TargetMode="External"/><Relationship Id="rId54" Type="http://schemas.openxmlformats.org/officeDocument/2006/relationships/hyperlink" Target="https://earth.google.com/web/search/-30.9076517954781,-55.5429494585556" TargetMode="External"/><Relationship Id="rId1306" Type="http://schemas.openxmlformats.org/officeDocument/2006/relationships/hyperlink" Target="https://earth.google.com/web/search/-30.9007988331606,-55.5424378566196" TargetMode="External"/><Relationship Id="rId2637" Type="http://schemas.openxmlformats.org/officeDocument/2006/relationships/hyperlink" Target="https://www.google.com/maps/search/?api=1&amp;query=-30.8957226747434,-55.5380920500257" TargetMode="External"/><Relationship Id="rId57" Type="http://schemas.openxmlformats.org/officeDocument/2006/relationships/hyperlink" Target="https://www.google.com/maps/search/?api=1&amp;query=-30.9073148888486,-55.5427119831792" TargetMode="External"/><Relationship Id="rId1307" Type="http://schemas.openxmlformats.org/officeDocument/2006/relationships/hyperlink" Target="https://www.google.com/maps/search/?api=1&amp;query=-3.0900747330556,-55.5425293796176" TargetMode="External"/><Relationship Id="rId2638" Type="http://schemas.openxmlformats.org/officeDocument/2006/relationships/hyperlink" Target="https://earth.google.com/web/search/-30.8957226747434,-55.5380920500257" TargetMode="External"/><Relationship Id="rId56" Type="http://schemas.openxmlformats.org/officeDocument/2006/relationships/hyperlink" Target="https://earth.google.com/web/search/-3.0907544758822,-55.5428859069824" TargetMode="External"/><Relationship Id="rId1308" Type="http://schemas.openxmlformats.org/officeDocument/2006/relationships/hyperlink" Target="https://earth.google.com/web/search/-3.0900747330556,-55.5425293796176" TargetMode="External"/><Relationship Id="rId2639" Type="http://schemas.openxmlformats.org/officeDocument/2006/relationships/hyperlink" Target="https://www.google.com/maps/search/?api=1&amp;query=-30.8956942428537,-55.5393413671516" TargetMode="External"/><Relationship Id="rId1309" Type="http://schemas.openxmlformats.org/officeDocument/2006/relationships/hyperlink" Target="https://www.google.com/maps/search/?api=1&amp;query=-30.9008188129076,-0.5554301727586" TargetMode="External"/><Relationship Id="rId719" Type="http://schemas.openxmlformats.org/officeDocument/2006/relationships/hyperlink" Target="https://www.google.com/maps/search/?api=1&amp;query=-30.9035016555571,-5.5543381010809" TargetMode="External"/><Relationship Id="rId718" Type="http://schemas.openxmlformats.org/officeDocument/2006/relationships/hyperlink" Target="https://earth.google.com/web/search/-30.9037326344909,-55.5429537956005" TargetMode="External"/><Relationship Id="rId717" Type="http://schemas.openxmlformats.org/officeDocument/2006/relationships/hyperlink" Target="https://www.google.com/maps/search/?api=1&amp;query=-30.9037326344909,-55.5429537956005" TargetMode="External"/><Relationship Id="rId712" Type="http://schemas.openxmlformats.org/officeDocument/2006/relationships/hyperlink" Target="https://earth.google.com/web/search/-30.9039864881068,-55.5428664299396" TargetMode="External"/><Relationship Id="rId711" Type="http://schemas.openxmlformats.org/officeDocument/2006/relationships/hyperlink" Target="https://www.google.com/maps/search/?api=1&amp;query=-30.9039864881068,-55.5428664299396" TargetMode="External"/><Relationship Id="rId710" Type="http://schemas.openxmlformats.org/officeDocument/2006/relationships/hyperlink" Target="https://earth.google.com/web/search/-30.9042107142048,-55.5430131978059" TargetMode="External"/><Relationship Id="rId716" Type="http://schemas.openxmlformats.org/officeDocument/2006/relationships/hyperlink" Target="https://earth.google.com/web/search/-30.9037740819769,-55.5428751457931" TargetMode="External"/><Relationship Id="rId715" Type="http://schemas.openxmlformats.org/officeDocument/2006/relationships/hyperlink" Target="https://www.google.com/maps/search/?api=1&amp;query=-30.9037740819769,-55.5428751457931" TargetMode="External"/><Relationship Id="rId714" Type="http://schemas.openxmlformats.org/officeDocument/2006/relationships/hyperlink" Target="https://earth.google.com/web/search/-30.9039238843078,-55.5428236823679" TargetMode="External"/><Relationship Id="rId713" Type="http://schemas.openxmlformats.org/officeDocument/2006/relationships/hyperlink" Target="https://www.google.com/maps/search/?api=1&amp;query=-30.9039238843078,-55.5428236823679" TargetMode="External"/><Relationship Id="rId59" Type="http://schemas.openxmlformats.org/officeDocument/2006/relationships/hyperlink" Target="https://www.google.com/maps/search/?api=1&amp;query=-30.9071059743995,-55.5427194527044" TargetMode="External"/><Relationship Id="rId58" Type="http://schemas.openxmlformats.org/officeDocument/2006/relationships/hyperlink" Target="https://earth.google.com/web/search/-30.9073148888486,-55.5427119831792" TargetMode="External"/><Relationship Id="rId1780" Type="http://schemas.openxmlformats.org/officeDocument/2006/relationships/hyperlink" Target="https://earth.google.com/web/search/-30.9014807336292,-55.5368482930629" TargetMode="External"/><Relationship Id="rId1781" Type="http://schemas.openxmlformats.org/officeDocument/2006/relationships/hyperlink" Target="https://www.google.com/maps/search/?api=1&amp;query=-3.0901523438319,-55.5367667682808" TargetMode="External"/><Relationship Id="rId1782" Type="http://schemas.openxmlformats.org/officeDocument/2006/relationships/hyperlink" Target="https://earth.google.com/web/search/-3.0901523438319,-55.5367667682808" TargetMode="External"/><Relationship Id="rId1783" Type="http://schemas.openxmlformats.org/officeDocument/2006/relationships/hyperlink" Target="https://www.google.com/maps/search/?api=1&amp;query=-0.3090164227398,-55.5365752331978" TargetMode="External"/><Relationship Id="rId2630" Type="http://schemas.openxmlformats.org/officeDocument/2006/relationships/hyperlink" Target="https://earth.google.com/web/search/-30.8961556190949,-55.5384575615177" TargetMode="External"/><Relationship Id="rId1300" Type="http://schemas.openxmlformats.org/officeDocument/2006/relationships/hyperlink" Target="https://earth.google.com/web/search/-30.9012158428027,-55.5421501808645" TargetMode="External"/><Relationship Id="rId1784" Type="http://schemas.openxmlformats.org/officeDocument/2006/relationships/hyperlink" Target="https://earth.google.com/web/search/-0.3090164227398,-55.5365752331978" TargetMode="External"/><Relationship Id="rId2631" Type="http://schemas.openxmlformats.org/officeDocument/2006/relationships/hyperlink" Target="https://www.google.com/maps/search/?api=1&amp;query=-30.8960963912901,-55.5383657903694" TargetMode="External"/><Relationship Id="rId2269" Type="http://schemas.openxmlformats.org/officeDocument/2006/relationships/hyperlink" Target="https://www.google.com/maps/search/?api=1&amp;query=-30.8991743877247,-55.5367662457434" TargetMode="External"/><Relationship Id="rId349" Type="http://schemas.openxmlformats.org/officeDocument/2006/relationships/hyperlink" Target="https://www.google.com/maps/search/?api=1&amp;query=-30.9058751963081,-55.5448722736586" TargetMode="External"/><Relationship Id="rId348" Type="http://schemas.openxmlformats.org/officeDocument/2006/relationships/hyperlink" Target="https://earth.google.com/web/search/-30.9057885428456,-55.5449993209547" TargetMode="External"/><Relationship Id="rId347" Type="http://schemas.openxmlformats.org/officeDocument/2006/relationships/hyperlink" Target="https://www.google.com/maps/search/?api=1&amp;query=-30.9057885428456,-55.5449993209547" TargetMode="External"/><Relationship Id="rId346" Type="http://schemas.openxmlformats.org/officeDocument/2006/relationships/hyperlink" Target="https://earth.google.com/web/search/-30.9057475728556,-55.5450855139851" TargetMode="External"/><Relationship Id="rId2260" Type="http://schemas.openxmlformats.org/officeDocument/2006/relationships/hyperlink" Target="https://earth.google.com/web/search/-30.8995026840696,-55.5365076915064" TargetMode="External"/><Relationship Id="rId341" Type="http://schemas.openxmlformats.org/officeDocument/2006/relationships/hyperlink" Target="https://www.google.com/maps/search/?api=1&amp;query=-30.9055298359688,-55.5450986597358" TargetMode="External"/><Relationship Id="rId2261" Type="http://schemas.openxmlformats.org/officeDocument/2006/relationships/hyperlink" Target="https://www.google.com/maps/search/?api=1&amp;query=-30.8994395609662,-55.5366278137268" TargetMode="External"/><Relationship Id="rId340" Type="http://schemas.openxmlformats.org/officeDocument/2006/relationships/hyperlink" Target="https://earth.google.com/web/search/-30.9054673432448,-55.5450605678712" TargetMode="External"/><Relationship Id="rId2262" Type="http://schemas.openxmlformats.org/officeDocument/2006/relationships/hyperlink" Target="https://earth.google.com/web/search/-30.8994395609662,-55.5366278137268" TargetMode="External"/><Relationship Id="rId2263" Type="http://schemas.openxmlformats.org/officeDocument/2006/relationships/hyperlink" Target="https://www.google.com/maps/search/?api=1&amp;query=-30.8993935564574,-55.5367084877386" TargetMode="External"/><Relationship Id="rId2264" Type="http://schemas.openxmlformats.org/officeDocument/2006/relationships/hyperlink" Target="https://earth.google.com/web/search/-30.8993935564574,-55.5367084877386" TargetMode="External"/><Relationship Id="rId345" Type="http://schemas.openxmlformats.org/officeDocument/2006/relationships/hyperlink" Target="https://www.google.com/maps/search/?api=1&amp;query=-30.9057475728556,-55.5450855139851" TargetMode="External"/><Relationship Id="rId2265" Type="http://schemas.openxmlformats.org/officeDocument/2006/relationships/hyperlink" Target="https://www.google.com/maps/search/?api=1&amp;query=-30.8993312874459,-55.5368351734478" TargetMode="External"/><Relationship Id="rId344" Type="http://schemas.openxmlformats.org/officeDocument/2006/relationships/hyperlink" Target="https://earth.google.com/web/search/-30.9055910588519,-55.5451470137842" TargetMode="External"/><Relationship Id="rId2266" Type="http://schemas.openxmlformats.org/officeDocument/2006/relationships/hyperlink" Target="https://earth.google.com/web/search/-30.8993312874459,-55.5368351734478" TargetMode="External"/><Relationship Id="rId343" Type="http://schemas.openxmlformats.org/officeDocument/2006/relationships/hyperlink" Target="https://www.google.com/maps/search/?api=1&amp;query=-30.9055910588519,-55.5451470137842" TargetMode="External"/><Relationship Id="rId2267" Type="http://schemas.openxmlformats.org/officeDocument/2006/relationships/hyperlink" Target="https://www.google.com/maps/search/?api=1&amp;query=-30.8992462474534,-55.5368169692202" TargetMode="External"/><Relationship Id="rId342" Type="http://schemas.openxmlformats.org/officeDocument/2006/relationships/hyperlink" Target="https://earth.google.com/web/search/-30.9055298359688,-55.5450986597358" TargetMode="External"/><Relationship Id="rId2268" Type="http://schemas.openxmlformats.org/officeDocument/2006/relationships/hyperlink" Target="https://earth.google.com/web/search/-30.8992462474534,-55.5368169692202" TargetMode="External"/><Relationship Id="rId2258" Type="http://schemas.openxmlformats.org/officeDocument/2006/relationships/hyperlink" Target="https://earth.google.com/web/search/-30.8995295526835,-55.5364505755152" TargetMode="External"/><Relationship Id="rId2259" Type="http://schemas.openxmlformats.org/officeDocument/2006/relationships/hyperlink" Target="https://www.google.com/maps/search/?api=1&amp;query=-30.8995026840696,-55.5365076915064" TargetMode="External"/><Relationship Id="rId338" Type="http://schemas.openxmlformats.org/officeDocument/2006/relationships/hyperlink" Target="https://earth.google.com/web/search/-30.9052832738456,-5.5544935647806" TargetMode="External"/><Relationship Id="rId337" Type="http://schemas.openxmlformats.org/officeDocument/2006/relationships/hyperlink" Target="https://www.google.com/maps/search/?api=1&amp;query=-30.9052832738456,-5.5544935647806" TargetMode="External"/><Relationship Id="rId336" Type="http://schemas.openxmlformats.org/officeDocument/2006/relationships/hyperlink" Target="https://earth.google.com/web/search/-30.9051553348284,-55.5448564741357" TargetMode="External"/><Relationship Id="rId335" Type="http://schemas.openxmlformats.org/officeDocument/2006/relationships/hyperlink" Target="https://www.google.com/maps/search/?api=1&amp;query=-30.9051553348284,-55.5448564741357" TargetMode="External"/><Relationship Id="rId339" Type="http://schemas.openxmlformats.org/officeDocument/2006/relationships/hyperlink" Target="https://www.google.com/maps/search/?api=1&amp;query=-30.9054673432448,-55.5450605678712" TargetMode="External"/><Relationship Id="rId330" Type="http://schemas.openxmlformats.org/officeDocument/2006/relationships/hyperlink" Target="https://earth.google.com/web/search/-3.0906136959424,-55.5442297461175" TargetMode="External"/><Relationship Id="rId2250" Type="http://schemas.openxmlformats.org/officeDocument/2006/relationships/hyperlink" Target="https://earth.google.com/web/search/-30.8996828066695,-55.5361705267261" TargetMode="External"/><Relationship Id="rId2251" Type="http://schemas.openxmlformats.org/officeDocument/2006/relationships/hyperlink" Target="https://www.google.com/maps/search/?api=1&amp;query=-30.8996693462714,-55.5362159603479" TargetMode="External"/><Relationship Id="rId2252" Type="http://schemas.openxmlformats.org/officeDocument/2006/relationships/hyperlink" Target="https://earth.google.com/web/search/-30.8996693462714,-55.5362159603479" TargetMode="External"/><Relationship Id="rId2253" Type="http://schemas.openxmlformats.org/officeDocument/2006/relationships/hyperlink" Target="https://www.google.com/maps/search/?api=1&amp;query=-3.0899592635948,-55.5363443643395" TargetMode="External"/><Relationship Id="rId334" Type="http://schemas.openxmlformats.org/officeDocument/2006/relationships/hyperlink" Target="https://earth.google.com/web/search/-30.9051037288871,-55.5448195276637" TargetMode="External"/><Relationship Id="rId2254" Type="http://schemas.openxmlformats.org/officeDocument/2006/relationships/hyperlink" Target="https://earth.google.com/web/search/-3.0899592635948,-55.5363443643395" TargetMode="External"/><Relationship Id="rId333" Type="http://schemas.openxmlformats.org/officeDocument/2006/relationships/hyperlink" Target="https://www.google.com/maps/search/?api=1&amp;query=-30.9051037288871,-55.5448195276637" TargetMode="External"/><Relationship Id="rId2255" Type="http://schemas.openxmlformats.org/officeDocument/2006/relationships/hyperlink" Target="https://www.google.com/maps/search/?api=1&amp;query=-30.8995637699041,-55.5364051697746" TargetMode="External"/><Relationship Id="rId332" Type="http://schemas.openxmlformats.org/officeDocument/2006/relationships/hyperlink" Target="https://earth.google.com/web/search/-30.9050505203466,-55.5447826368956" TargetMode="External"/><Relationship Id="rId2256" Type="http://schemas.openxmlformats.org/officeDocument/2006/relationships/hyperlink" Target="https://earth.google.com/web/search/-30.8995637699041,-55.5364051697746" TargetMode="External"/><Relationship Id="rId331" Type="http://schemas.openxmlformats.org/officeDocument/2006/relationships/hyperlink" Target="https://www.google.com/maps/search/?api=1&amp;query=-30.9050505203466,-55.5447826368956" TargetMode="External"/><Relationship Id="rId2257" Type="http://schemas.openxmlformats.org/officeDocument/2006/relationships/hyperlink" Target="https://www.google.com/maps/search/?api=1&amp;query=-30.8995295526835,-55.5364505755152" TargetMode="External"/><Relationship Id="rId370" Type="http://schemas.openxmlformats.org/officeDocument/2006/relationships/hyperlink" Target="https://earth.google.com/web/search/-3.0905168034248,-55.5443403066076" TargetMode="External"/><Relationship Id="rId369" Type="http://schemas.openxmlformats.org/officeDocument/2006/relationships/hyperlink" Target="https://www.google.com/maps/search/?api=1&amp;query=-3.0905168034248,-55.5443403066076" TargetMode="External"/><Relationship Id="rId368" Type="http://schemas.openxmlformats.org/officeDocument/2006/relationships/hyperlink" Target="https://earth.google.com/web/search/-3.0905233952046,-55.5442267669496" TargetMode="External"/><Relationship Id="rId2280" Type="http://schemas.openxmlformats.org/officeDocument/2006/relationships/hyperlink" Target="https://earth.google.com/web/search/-30.8985999992021,-55.5375949088732" TargetMode="External"/><Relationship Id="rId2281" Type="http://schemas.openxmlformats.org/officeDocument/2006/relationships/hyperlink" Target="https://www.google.com/maps/search/?api=1&amp;query=-30.8984459312735,-55.5366306758604" TargetMode="External"/><Relationship Id="rId2282" Type="http://schemas.openxmlformats.org/officeDocument/2006/relationships/hyperlink" Target="https://earth.google.com/web/search/-30.8984459312735,-55.5366306758604" TargetMode="External"/><Relationship Id="rId363" Type="http://schemas.openxmlformats.org/officeDocument/2006/relationships/hyperlink" Target="https://www.google.com/maps/search/?api=1&amp;query=-30.9055200123711,-55.5439260499274" TargetMode="External"/><Relationship Id="rId2283" Type="http://schemas.openxmlformats.org/officeDocument/2006/relationships/hyperlink" Target="https://www.google.com/maps/search/?api=1&amp;query=-3.0898459950825,-5.5536595391157" TargetMode="External"/><Relationship Id="rId362" Type="http://schemas.openxmlformats.org/officeDocument/2006/relationships/hyperlink" Target="https://earth.google.com/web/search/-30.9055661528126,-55.5439665158217" TargetMode="External"/><Relationship Id="rId2284" Type="http://schemas.openxmlformats.org/officeDocument/2006/relationships/hyperlink" Target="https://earth.google.com/web/search/-3.0898459950825,-5.5536595391157" TargetMode="External"/><Relationship Id="rId361" Type="http://schemas.openxmlformats.org/officeDocument/2006/relationships/hyperlink" Target="https://www.google.com/maps/search/?api=1&amp;query=-30.9055661528126,-55.5439665158217" TargetMode="External"/><Relationship Id="rId2285" Type="http://schemas.openxmlformats.org/officeDocument/2006/relationships/hyperlink" Target="https://www.google.com/maps/search/?api=1&amp;query=-30.8984925490229,-55.5365628341683" TargetMode="External"/><Relationship Id="rId360" Type="http://schemas.openxmlformats.org/officeDocument/2006/relationships/hyperlink" Target="https://earth.google.com/web/search/-30.9060643952479,-55.5445204255835" TargetMode="External"/><Relationship Id="rId2286" Type="http://schemas.openxmlformats.org/officeDocument/2006/relationships/hyperlink" Target="https://earth.google.com/web/search/-30.8984925490229,-55.5365628341683" TargetMode="External"/><Relationship Id="rId367" Type="http://schemas.openxmlformats.org/officeDocument/2006/relationships/hyperlink" Target="https://www.google.com/maps/search/?api=1&amp;query=-3.0905233952046,-55.5442267669496" TargetMode="External"/><Relationship Id="rId2287" Type="http://schemas.openxmlformats.org/officeDocument/2006/relationships/hyperlink" Target="https://www.google.com/maps/search/?api=1&amp;query=-30.8985104435364,-55.5365268838399" TargetMode="External"/><Relationship Id="rId366" Type="http://schemas.openxmlformats.org/officeDocument/2006/relationships/hyperlink" Target="https://earth.google.com/web/search/-30.9052892459124,-55.5440852369797" TargetMode="External"/><Relationship Id="rId2288" Type="http://schemas.openxmlformats.org/officeDocument/2006/relationships/hyperlink" Target="https://earth.google.com/web/search/-30.8985104435364,-55.5365268838399" TargetMode="External"/><Relationship Id="rId365" Type="http://schemas.openxmlformats.org/officeDocument/2006/relationships/hyperlink" Target="https://www.google.com/maps/search/?api=1&amp;query=-30.9052892459124,-55.5440852369797" TargetMode="External"/><Relationship Id="rId2289" Type="http://schemas.openxmlformats.org/officeDocument/2006/relationships/hyperlink" Target="https://www.google.com/maps/search/?api=1&amp;query=-30.8986125880957,-55.5364871665514" TargetMode="External"/><Relationship Id="rId364" Type="http://schemas.openxmlformats.org/officeDocument/2006/relationships/hyperlink" Target="https://earth.google.com/web/search/-30.9055200123711,-55.5439260499274" TargetMode="External"/><Relationship Id="rId95" Type="http://schemas.openxmlformats.org/officeDocument/2006/relationships/hyperlink" Target="https://www.google.com/maps/search/?api=1&amp;query=-30.9068490182866,-55.5436226264196" TargetMode="External"/><Relationship Id="rId94" Type="http://schemas.openxmlformats.org/officeDocument/2006/relationships/hyperlink" Target="https://earth.google.com/web/search/-30.9069785384216,-55.5437182302132" TargetMode="External"/><Relationship Id="rId97" Type="http://schemas.openxmlformats.org/officeDocument/2006/relationships/hyperlink" Target="https://www.google.com/maps/search/?api=1&amp;query=-30.9067491384722,-55.5435661765314" TargetMode="External"/><Relationship Id="rId96" Type="http://schemas.openxmlformats.org/officeDocument/2006/relationships/hyperlink" Target="https://earth.google.com/web/search/-30.9068490182866,-55.5436226264196" TargetMode="External"/><Relationship Id="rId99" Type="http://schemas.openxmlformats.org/officeDocument/2006/relationships/hyperlink" Target="https://www.google.com/maps/search/?api=1&amp;query=-30.9065389182527,-5.5543764634981" TargetMode="External"/><Relationship Id="rId98" Type="http://schemas.openxmlformats.org/officeDocument/2006/relationships/hyperlink" Target="https://earth.google.com/web/search/-30.9067491384722,-55.5435661765314" TargetMode="External"/><Relationship Id="rId91" Type="http://schemas.openxmlformats.org/officeDocument/2006/relationships/hyperlink" Target="https://www.google.com/maps/search/?api=1&amp;query=-30.9070262533773,-55.5437583170688" TargetMode="External"/><Relationship Id="rId90" Type="http://schemas.openxmlformats.org/officeDocument/2006/relationships/hyperlink" Target="https://earth.google.com/web/search/-30.9070738360768,-55.5437918760122" TargetMode="External"/><Relationship Id="rId93" Type="http://schemas.openxmlformats.org/officeDocument/2006/relationships/hyperlink" Target="https://www.google.com/maps/search/?api=1&amp;query=-30.9069785384216,-55.5437182302132" TargetMode="External"/><Relationship Id="rId92" Type="http://schemas.openxmlformats.org/officeDocument/2006/relationships/hyperlink" Target="https://earth.google.com/web/search/-30.9070262533773,-55.5437583170688" TargetMode="External"/><Relationship Id="rId359" Type="http://schemas.openxmlformats.org/officeDocument/2006/relationships/hyperlink" Target="https://www.google.com/maps/search/?api=1&amp;query=-30.9060643952479,-55.5445204255835" TargetMode="External"/><Relationship Id="rId358" Type="http://schemas.openxmlformats.org/officeDocument/2006/relationships/hyperlink" Target="https://earth.google.com/web/search/-30.9060390469646,-5.5544562985648" TargetMode="External"/><Relationship Id="rId357" Type="http://schemas.openxmlformats.org/officeDocument/2006/relationships/hyperlink" Target="https://www.google.com/maps/search/?api=1&amp;query=-30.9060390469646,-5.5544562985648" TargetMode="External"/><Relationship Id="rId2270" Type="http://schemas.openxmlformats.org/officeDocument/2006/relationships/hyperlink" Target="https://earth.google.com/web/search/-30.8991743877247,-55.5367662457434" TargetMode="External"/><Relationship Id="rId2271" Type="http://schemas.openxmlformats.org/officeDocument/2006/relationships/hyperlink" Target="https://www.google.com/maps/search/?api=1&amp;query=-30.8991175275474,-55.5367111694036" TargetMode="External"/><Relationship Id="rId352" Type="http://schemas.openxmlformats.org/officeDocument/2006/relationships/hyperlink" Target="https://earth.google.com/web/search/-30.9059111444821,-55.5447990532352" TargetMode="External"/><Relationship Id="rId2272" Type="http://schemas.openxmlformats.org/officeDocument/2006/relationships/hyperlink" Target="https://earth.google.com/web/search/-30.8991175275474,-55.5367111694036" TargetMode="External"/><Relationship Id="rId351" Type="http://schemas.openxmlformats.org/officeDocument/2006/relationships/hyperlink" Target="https://www.google.com/maps/search/?api=1&amp;query=-30.9059111444821,-55.5447990532352" TargetMode="External"/><Relationship Id="rId2273" Type="http://schemas.openxmlformats.org/officeDocument/2006/relationships/hyperlink" Target="https://www.google.com/maps/search/?api=1&amp;query=-0.3089900739035,-55.5366443176832" TargetMode="External"/><Relationship Id="rId350" Type="http://schemas.openxmlformats.org/officeDocument/2006/relationships/hyperlink" Target="https://earth.google.com/web/search/-30.9058751963081,-55.5448722736586" TargetMode="External"/><Relationship Id="rId2274" Type="http://schemas.openxmlformats.org/officeDocument/2006/relationships/hyperlink" Target="https://earth.google.com/web/search/-0.3089900739035,-55.5366443176832" TargetMode="External"/><Relationship Id="rId2275" Type="http://schemas.openxmlformats.org/officeDocument/2006/relationships/hyperlink" Target="https://www.google.com/maps/search/?api=1&amp;query=-30.8988921923372,-55.5365559588614" TargetMode="External"/><Relationship Id="rId356" Type="http://schemas.openxmlformats.org/officeDocument/2006/relationships/hyperlink" Target="https://earth.google.com/web/search/-30.9059764569029,-55.5446720567796" TargetMode="External"/><Relationship Id="rId2276" Type="http://schemas.openxmlformats.org/officeDocument/2006/relationships/hyperlink" Target="https://earth.google.com/web/search/-30.8988921923372,-55.5365559588614" TargetMode="External"/><Relationship Id="rId355" Type="http://schemas.openxmlformats.org/officeDocument/2006/relationships/hyperlink" Target="https://www.google.com/maps/search/?api=1&amp;query=-30.9059764569029,-55.5446720567796" TargetMode="External"/><Relationship Id="rId2277" Type="http://schemas.openxmlformats.org/officeDocument/2006/relationships/hyperlink" Target="https://www.google.com/maps/search/?api=1&amp;query=-30.8988277640357,-55.5365192895829" TargetMode="External"/><Relationship Id="rId354" Type="http://schemas.openxmlformats.org/officeDocument/2006/relationships/hyperlink" Target="https://earth.google.com/web/search/-30.9059471000542,-5.5544735023191" TargetMode="External"/><Relationship Id="rId2278" Type="http://schemas.openxmlformats.org/officeDocument/2006/relationships/hyperlink" Target="https://earth.google.com/web/search/-30.8988277640357,-55.5365192895829" TargetMode="External"/><Relationship Id="rId353" Type="http://schemas.openxmlformats.org/officeDocument/2006/relationships/hyperlink" Target="https://www.google.com/maps/search/?api=1&amp;query=-30.9059471000542,-5.5544735023191" TargetMode="External"/><Relationship Id="rId2279" Type="http://schemas.openxmlformats.org/officeDocument/2006/relationships/hyperlink" Target="https://www.google.com/maps/search/?api=1&amp;query=-30.8985999992021,-55.5375949088732" TargetMode="External"/><Relationship Id="rId1378" Type="http://schemas.openxmlformats.org/officeDocument/2006/relationships/hyperlink" Target="https://earth.google.com/web/search/-30.9028199302534,-55.5382549164136" TargetMode="External"/><Relationship Id="rId2225" Type="http://schemas.openxmlformats.org/officeDocument/2006/relationships/hyperlink" Target="https://www.google.com/maps/search/?api=1&amp;query=-30.8987198591351,-55.5361691359901" TargetMode="External"/><Relationship Id="rId1379" Type="http://schemas.openxmlformats.org/officeDocument/2006/relationships/hyperlink" Target="https://www.google.com/maps/search/?api=1&amp;query=-30.9027428370726,-55.5381972474516" TargetMode="External"/><Relationship Id="rId2226" Type="http://schemas.openxmlformats.org/officeDocument/2006/relationships/hyperlink" Target="https://earth.google.com/web/search/-30.8987198591351,-55.5361691359901" TargetMode="External"/><Relationship Id="rId2227" Type="http://schemas.openxmlformats.org/officeDocument/2006/relationships/hyperlink" Target="https://www.google.com/maps/search/?api=1&amp;query=-30.8987417328002,-55.5360960035778" TargetMode="External"/><Relationship Id="rId2228" Type="http://schemas.openxmlformats.org/officeDocument/2006/relationships/hyperlink" Target="https://earth.google.com/web/search/-30.8987417328002,-55.5360960035778" TargetMode="External"/><Relationship Id="rId2229" Type="http://schemas.openxmlformats.org/officeDocument/2006/relationships/hyperlink" Target="https://www.google.com/maps/search/?api=1&amp;query=-30.8988394409903,-55.5359478615424" TargetMode="External"/><Relationship Id="rId305" Type="http://schemas.openxmlformats.org/officeDocument/2006/relationships/hyperlink" Target="https://www.google.com/maps/search/?api=1&amp;query=-30.9062358465223,-5.5543182364987" TargetMode="External"/><Relationship Id="rId789" Type="http://schemas.openxmlformats.org/officeDocument/2006/relationships/hyperlink" Target="https://www.google.com/maps/search/?api=1&amp;query=-30.9050779407045,-55.5402320031408" TargetMode="External"/><Relationship Id="rId304" Type="http://schemas.openxmlformats.org/officeDocument/2006/relationships/hyperlink" Target="https://earth.google.com/web/search/-30.9064973823536,-5.5543394060849" TargetMode="External"/><Relationship Id="rId788" Type="http://schemas.openxmlformats.org/officeDocument/2006/relationships/hyperlink" Target="https://earth.google.com/web/search/-30.9049650534079,-55.5404606572872" TargetMode="External"/><Relationship Id="rId303" Type="http://schemas.openxmlformats.org/officeDocument/2006/relationships/hyperlink" Target="https://www.google.com/maps/search/?api=1&amp;query=-30.9064973823536,-5.5543394060849" TargetMode="External"/><Relationship Id="rId787" Type="http://schemas.openxmlformats.org/officeDocument/2006/relationships/hyperlink" Target="https://www.google.com/maps/search/?api=1&amp;query=-30.9049650534079,-55.5404606572872" TargetMode="External"/><Relationship Id="rId302" Type="http://schemas.openxmlformats.org/officeDocument/2006/relationships/hyperlink" Target="https://earth.google.com/web/search/-30.9063855035837,-55.5438481546002" TargetMode="External"/><Relationship Id="rId786" Type="http://schemas.openxmlformats.org/officeDocument/2006/relationships/hyperlink" Target="https://earth.google.com/web/search/-30.9048511256733,-55.5395848099566" TargetMode="External"/><Relationship Id="rId309" Type="http://schemas.openxmlformats.org/officeDocument/2006/relationships/hyperlink" Target="https://www.google.com/maps/search/?api=1&amp;query=-30.9060332990143,-55.5430300433685" TargetMode="External"/><Relationship Id="rId308" Type="http://schemas.openxmlformats.org/officeDocument/2006/relationships/hyperlink" Target="https://earth.google.com/web/search/-30.9060929634433,-55.5430848493164" TargetMode="External"/><Relationship Id="rId307" Type="http://schemas.openxmlformats.org/officeDocument/2006/relationships/hyperlink" Target="https://www.google.com/maps/search/?api=1&amp;query=-30.9060929634433,-55.5430848493164" TargetMode="External"/><Relationship Id="rId306" Type="http://schemas.openxmlformats.org/officeDocument/2006/relationships/hyperlink" Target="https://earth.google.com/web/search/-30.9062358465223,-5.5543182364987" TargetMode="External"/><Relationship Id="rId781" Type="http://schemas.openxmlformats.org/officeDocument/2006/relationships/hyperlink" Target="https://www.google.com/maps/search/?api=1&amp;query=-30.9045731068168,-55.5393398965533" TargetMode="External"/><Relationship Id="rId1370" Type="http://schemas.openxmlformats.org/officeDocument/2006/relationships/hyperlink" Target="https://earth.google.com/web/search/-30.9025377199487,-55.5389336708346" TargetMode="External"/><Relationship Id="rId780" Type="http://schemas.openxmlformats.org/officeDocument/2006/relationships/hyperlink" Target="https://earth.google.com/web/search/-30.9048416104368,-55.5388149256693" TargetMode="External"/><Relationship Id="rId1371" Type="http://schemas.openxmlformats.org/officeDocument/2006/relationships/hyperlink" Target="https://www.google.com/maps/search/?api=1&amp;query=-30.9026314697198,-5.5538752861521" TargetMode="External"/><Relationship Id="rId1372" Type="http://schemas.openxmlformats.org/officeDocument/2006/relationships/hyperlink" Target="https://earth.google.com/web/search/-30.9026314697198,-5.5538752861521" TargetMode="External"/><Relationship Id="rId1373" Type="http://schemas.openxmlformats.org/officeDocument/2006/relationships/hyperlink" Target="https://www.google.com/maps/search/?api=1&amp;query=-30.9026884330403,-5.5538634584179" TargetMode="External"/><Relationship Id="rId2220" Type="http://schemas.openxmlformats.org/officeDocument/2006/relationships/hyperlink" Target="https://earth.google.com/web/search/-30.8992510644691,-55.5355752495292" TargetMode="External"/><Relationship Id="rId301" Type="http://schemas.openxmlformats.org/officeDocument/2006/relationships/hyperlink" Target="https://www.google.com/maps/search/?api=1&amp;query=-30.9063855035837,-55.5438481546002" TargetMode="External"/><Relationship Id="rId785" Type="http://schemas.openxmlformats.org/officeDocument/2006/relationships/hyperlink" Target="https://www.google.com/maps/search/?api=1&amp;query=-30.9048511256733,-55.5395848099566" TargetMode="External"/><Relationship Id="rId1374" Type="http://schemas.openxmlformats.org/officeDocument/2006/relationships/hyperlink" Target="https://earth.google.com/web/search/-30.9026884330403,-5.5538634584179" TargetMode="External"/><Relationship Id="rId2221" Type="http://schemas.openxmlformats.org/officeDocument/2006/relationships/hyperlink" Target="https://www.google.com/maps/search/?api=1&amp;query=-30.8991444988936,-55.5355117403194" TargetMode="External"/><Relationship Id="rId300" Type="http://schemas.openxmlformats.org/officeDocument/2006/relationships/hyperlink" Target="https://earth.google.com/web/search/-30.9062791545662,-55.5440271803468" TargetMode="External"/><Relationship Id="rId784" Type="http://schemas.openxmlformats.org/officeDocument/2006/relationships/hyperlink" Target="https://earth.google.com/web/search/-30.9046554309334,-55.5394547687761" TargetMode="External"/><Relationship Id="rId1375" Type="http://schemas.openxmlformats.org/officeDocument/2006/relationships/hyperlink" Target="https://www.google.com/maps/search/?api=1&amp;query=-30.9027487051983,-55.5385211785942" TargetMode="External"/><Relationship Id="rId2222" Type="http://schemas.openxmlformats.org/officeDocument/2006/relationships/hyperlink" Target="https://earth.google.com/web/search/-30.8991444988936,-55.5355117403194" TargetMode="External"/><Relationship Id="rId783" Type="http://schemas.openxmlformats.org/officeDocument/2006/relationships/hyperlink" Target="https://www.google.com/maps/search/?api=1&amp;query=-30.9046554309334,-55.5394547687761" TargetMode="External"/><Relationship Id="rId1376" Type="http://schemas.openxmlformats.org/officeDocument/2006/relationships/hyperlink" Target="https://earth.google.com/web/search/-30.9027487051983,-55.5385211785942" TargetMode="External"/><Relationship Id="rId2223" Type="http://schemas.openxmlformats.org/officeDocument/2006/relationships/hyperlink" Target="https://www.google.com/maps/search/?api=1&amp;query=-30.8986458727635,-55.5363072733032" TargetMode="External"/><Relationship Id="rId782" Type="http://schemas.openxmlformats.org/officeDocument/2006/relationships/hyperlink" Target="https://earth.google.com/web/search/-30.9045731068168,-55.5393398965533" TargetMode="External"/><Relationship Id="rId1377" Type="http://schemas.openxmlformats.org/officeDocument/2006/relationships/hyperlink" Target="https://www.google.com/maps/search/?api=1&amp;query=-30.9028199302534,-55.5382549164136" TargetMode="External"/><Relationship Id="rId2224" Type="http://schemas.openxmlformats.org/officeDocument/2006/relationships/hyperlink" Target="https://earth.google.com/web/search/-30.8986458727635,-55.5363072733032" TargetMode="External"/><Relationship Id="rId1367" Type="http://schemas.openxmlformats.org/officeDocument/2006/relationships/hyperlink" Target="https://www.google.com/maps/search/?api=1&amp;query=-30.9024959976073,-55.5389974367764" TargetMode="External"/><Relationship Id="rId2214" Type="http://schemas.openxmlformats.org/officeDocument/2006/relationships/hyperlink" Target="https://earth.google.com/web/search/-30.8996841400908,-55.5358918692092" TargetMode="External"/><Relationship Id="rId2698" Type="http://schemas.openxmlformats.org/officeDocument/2006/relationships/hyperlink" Target="https://earth.google.com/web/search/-30.8959016441667,-55.5399252769206" TargetMode="External"/><Relationship Id="rId1368" Type="http://schemas.openxmlformats.org/officeDocument/2006/relationships/hyperlink" Target="https://earth.google.com/web/search/-30.9024959976073,-55.5389974367764" TargetMode="External"/><Relationship Id="rId2215" Type="http://schemas.openxmlformats.org/officeDocument/2006/relationships/hyperlink" Target="https://www.google.com/maps/search/?api=1&amp;query=-3.0899585985188,-5.5535832362631" TargetMode="External"/><Relationship Id="rId2699" Type="http://schemas.openxmlformats.org/officeDocument/2006/relationships/hyperlink" Target="https://www.google.com/maps/search/?api=1&amp;query=-30.8959016441668,-55.5416650969446" TargetMode="External"/><Relationship Id="rId1369" Type="http://schemas.openxmlformats.org/officeDocument/2006/relationships/hyperlink" Target="https://www.google.com/maps/search/?api=1&amp;query=-30.9025377199487,-55.5389336708346" TargetMode="External"/><Relationship Id="rId2216" Type="http://schemas.openxmlformats.org/officeDocument/2006/relationships/hyperlink" Target="https://earth.google.com/web/search/-3.0899585985188,-5.5535832362631" TargetMode="External"/><Relationship Id="rId2217" Type="http://schemas.openxmlformats.org/officeDocument/2006/relationships/hyperlink" Target="https://www.google.com/maps/search/?api=1&amp;query=-30.8993771809669,-5.5535694627268" TargetMode="External"/><Relationship Id="rId2218" Type="http://schemas.openxmlformats.org/officeDocument/2006/relationships/hyperlink" Target="https://earth.google.com/web/search/-30.8993771809669,-5.5535694627268" TargetMode="External"/><Relationship Id="rId2219" Type="http://schemas.openxmlformats.org/officeDocument/2006/relationships/hyperlink" Target="https://www.google.com/maps/search/?api=1&amp;query=-30.8992510644691,-55.5355752495292" TargetMode="External"/><Relationship Id="rId778" Type="http://schemas.openxmlformats.org/officeDocument/2006/relationships/hyperlink" Target="https://earth.google.com/web/search/-30.9052523778597,-55.5387357217085" TargetMode="External"/><Relationship Id="rId777" Type="http://schemas.openxmlformats.org/officeDocument/2006/relationships/hyperlink" Target="https://www.google.com/maps/search/?api=1&amp;query=-30.9052523778597,-55.5387357217085" TargetMode="External"/><Relationship Id="rId776" Type="http://schemas.openxmlformats.org/officeDocument/2006/relationships/hyperlink" Target="https://earth.google.com/web/search/-30.9053588462555,-55.5388160897694" TargetMode="External"/><Relationship Id="rId775" Type="http://schemas.openxmlformats.org/officeDocument/2006/relationships/hyperlink" Target="https://www.google.com/maps/search/?api=1&amp;query=-30.9053588462555,-55.5388160897694" TargetMode="External"/><Relationship Id="rId779" Type="http://schemas.openxmlformats.org/officeDocument/2006/relationships/hyperlink" Target="https://www.google.com/maps/search/?api=1&amp;query=-30.9048416104368,-55.5388149256693" TargetMode="External"/><Relationship Id="rId770" Type="http://schemas.openxmlformats.org/officeDocument/2006/relationships/hyperlink" Target="https://earth.google.com/web/search/-30.9055017589884,-55.5394538304954" TargetMode="External"/><Relationship Id="rId2690" Type="http://schemas.openxmlformats.org/officeDocument/2006/relationships/hyperlink" Target="https://earth.google.com/web/search/-30.8959016441663,-55.5372280297546" TargetMode="External"/><Relationship Id="rId1360" Type="http://schemas.openxmlformats.org/officeDocument/2006/relationships/hyperlink" Target="https://earth.google.com/web/search/-30.9025205039907,-55.5379364231284" TargetMode="External"/><Relationship Id="rId2691" Type="http://schemas.openxmlformats.org/officeDocument/2006/relationships/hyperlink" Target="https://www.google.com/maps/search/?api=1&amp;query=-30.8959016441664,-5.5538072420344" TargetMode="External"/><Relationship Id="rId1361" Type="http://schemas.openxmlformats.org/officeDocument/2006/relationships/hyperlink" Target="https://www.google.com/maps/search/?api=1&amp;query=-30.9026737494578,-0.5553802513803" TargetMode="External"/><Relationship Id="rId2692" Type="http://schemas.openxmlformats.org/officeDocument/2006/relationships/hyperlink" Target="https://earth.google.com/web/search/-30.8959016441664,-5.5538072420344" TargetMode="External"/><Relationship Id="rId1362" Type="http://schemas.openxmlformats.org/officeDocument/2006/relationships/hyperlink" Target="https://earth.google.com/web/search/-30.9026737494578,-0.5553802513803" TargetMode="External"/><Relationship Id="rId2693" Type="http://schemas.openxmlformats.org/officeDocument/2006/relationships/hyperlink" Target="https://www.google.com/maps/search/?api=1&amp;query=-30.8959016441665,-55.5398445266338" TargetMode="External"/><Relationship Id="rId774" Type="http://schemas.openxmlformats.org/officeDocument/2006/relationships/hyperlink" Target="https://earth.google.com/web/search/-30.9054903456613,-55.5389004448409" TargetMode="External"/><Relationship Id="rId1363" Type="http://schemas.openxmlformats.org/officeDocument/2006/relationships/hyperlink" Target="https://www.google.com/maps/search/?api=1&amp;query=-30.9027503706994,-55.5380752572969" TargetMode="External"/><Relationship Id="rId2210" Type="http://schemas.openxmlformats.org/officeDocument/2006/relationships/hyperlink" Target="https://earth.google.com/web/search/-30.8998046099616,-5.5535928193997" TargetMode="External"/><Relationship Id="rId2694" Type="http://schemas.openxmlformats.org/officeDocument/2006/relationships/hyperlink" Target="https://earth.google.com/web/search/-30.8959016441665,-55.5398445266338" TargetMode="External"/><Relationship Id="rId773" Type="http://schemas.openxmlformats.org/officeDocument/2006/relationships/hyperlink" Target="https://www.google.com/maps/search/?api=1&amp;query=-30.9054903456613,-55.5389004448409" TargetMode="External"/><Relationship Id="rId1364" Type="http://schemas.openxmlformats.org/officeDocument/2006/relationships/hyperlink" Target="https://earth.google.com/web/search/-30.9027503706994,-55.5380752572969" TargetMode="External"/><Relationship Id="rId2211" Type="http://schemas.openxmlformats.org/officeDocument/2006/relationships/hyperlink" Target="https://www.google.com/maps/search/?api=1&amp;query=-30.8997442166078,-55.5359113913063" TargetMode="External"/><Relationship Id="rId2695" Type="http://schemas.openxmlformats.org/officeDocument/2006/relationships/hyperlink" Target="https://www.google.com/maps/search/?api=1&amp;query=-30.8959016441666,-55.5477018452598" TargetMode="External"/><Relationship Id="rId772" Type="http://schemas.openxmlformats.org/officeDocument/2006/relationships/hyperlink" Target="https://earth.google.com/web/search/-30.9055553743806,-55.5393405659298" TargetMode="External"/><Relationship Id="rId1365" Type="http://schemas.openxmlformats.org/officeDocument/2006/relationships/hyperlink" Target="https://www.google.com/maps/search/?api=1&amp;query=-30.9024774535861,-55.5390636484312" TargetMode="External"/><Relationship Id="rId2212" Type="http://schemas.openxmlformats.org/officeDocument/2006/relationships/hyperlink" Target="https://earth.google.com/web/search/-30.8997442166078,-55.5359113913063" TargetMode="External"/><Relationship Id="rId2696" Type="http://schemas.openxmlformats.org/officeDocument/2006/relationships/hyperlink" Target="https://earth.google.com/web/search/-30.8959016441666,-55.5477018452598" TargetMode="External"/><Relationship Id="rId771" Type="http://schemas.openxmlformats.org/officeDocument/2006/relationships/hyperlink" Target="https://www.google.com/maps/search/?api=1&amp;query=-30.9055553743806,-55.5393405659298" TargetMode="External"/><Relationship Id="rId1366" Type="http://schemas.openxmlformats.org/officeDocument/2006/relationships/hyperlink" Target="https://earth.google.com/web/search/-30.9024774535861,-55.5390636484312" TargetMode="External"/><Relationship Id="rId2213" Type="http://schemas.openxmlformats.org/officeDocument/2006/relationships/hyperlink" Target="https://www.google.com/maps/search/?api=1&amp;query=-30.8996841400908,-55.5358918692092" TargetMode="External"/><Relationship Id="rId2697" Type="http://schemas.openxmlformats.org/officeDocument/2006/relationships/hyperlink" Target="https://www.google.com/maps/search/?api=1&amp;query=-30.8959016441667,-55.5399252769206" TargetMode="External"/><Relationship Id="rId2247" Type="http://schemas.openxmlformats.org/officeDocument/2006/relationships/hyperlink" Target="https://www.google.com/maps/search/?api=1&amp;query=-30.8997110449716,-55.5360244853794" TargetMode="External"/><Relationship Id="rId2248" Type="http://schemas.openxmlformats.org/officeDocument/2006/relationships/hyperlink" Target="https://earth.google.com/web/search/-30.8997110449716,-55.5360244853794" TargetMode="External"/><Relationship Id="rId2249" Type="http://schemas.openxmlformats.org/officeDocument/2006/relationships/hyperlink" Target="https://www.google.com/maps/search/?api=1&amp;query=-30.8996828066695,-55.5361705267261" TargetMode="External"/><Relationship Id="rId327" Type="http://schemas.openxmlformats.org/officeDocument/2006/relationships/hyperlink" Target="https://www.google.com/maps/search/?api=1&amp;query=-30.9060694593091,-55.5441853026489" TargetMode="External"/><Relationship Id="rId326" Type="http://schemas.openxmlformats.org/officeDocument/2006/relationships/hyperlink" Target="https://earth.google.com/web/search/-30.9060066983428,-55.5441361676045" TargetMode="External"/><Relationship Id="rId325" Type="http://schemas.openxmlformats.org/officeDocument/2006/relationships/hyperlink" Target="https://www.google.com/maps/search/?api=1&amp;query=-30.9060066983428,-55.5441361676045" TargetMode="External"/><Relationship Id="rId324" Type="http://schemas.openxmlformats.org/officeDocument/2006/relationships/hyperlink" Target="https://earth.google.com/web/search/-30.9057621334676,-55.5439631009108" TargetMode="External"/><Relationship Id="rId329" Type="http://schemas.openxmlformats.org/officeDocument/2006/relationships/hyperlink" Target="https://www.google.com/maps/search/?api=1&amp;query=-3.0906136959424,-55.5442297461175" TargetMode="External"/><Relationship Id="rId1390" Type="http://schemas.openxmlformats.org/officeDocument/2006/relationships/hyperlink" Target="https://earth.google.com/web/search/-30.9019309750523,-55.5382182612969" TargetMode="External"/><Relationship Id="rId328" Type="http://schemas.openxmlformats.org/officeDocument/2006/relationships/hyperlink" Target="https://earth.google.com/web/search/-30.9060694593091,-55.5441853026489" TargetMode="External"/><Relationship Id="rId1391" Type="http://schemas.openxmlformats.org/officeDocument/2006/relationships/hyperlink" Target="https://www.google.com/maps/search/?api=1&amp;query=-30.9018675940777,-55.5383415077857" TargetMode="External"/><Relationship Id="rId1392" Type="http://schemas.openxmlformats.org/officeDocument/2006/relationships/hyperlink" Target="https://earth.google.com/web/search/-30.9018675940777,-55.5383415077857" TargetMode="External"/><Relationship Id="rId1393" Type="http://schemas.openxmlformats.org/officeDocument/2006/relationships/hyperlink" Target="https://www.google.com/maps/search/?api=1&amp;query=-30.9018262101946,-55.5384208561766" TargetMode="External"/><Relationship Id="rId2240" Type="http://schemas.openxmlformats.org/officeDocument/2006/relationships/hyperlink" Target="https://earth.google.com/web/search/-30.8994698381431,-55.5358824207205" TargetMode="External"/><Relationship Id="rId1394" Type="http://schemas.openxmlformats.org/officeDocument/2006/relationships/hyperlink" Target="https://earth.google.com/web/search/-30.9018262101946,-55.5384208561766" TargetMode="External"/><Relationship Id="rId2241" Type="http://schemas.openxmlformats.org/officeDocument/2006/relationships/hyperlink" Target="https://www.google.com/maps/search/?api=1&amp;query=-30.8995161161859,-55.5359156178134" TargetMode="External"/><Relationship Id="rId1395" Type="http://schemas.openxmlformats.org/officeDocument/2006/relationships/hyperlink" Target="https://www.google.com/maps/search/?api=1&amp;query=-30.9017409294975,-55.5385332131168" TargetMode="External"/><Relationship Id="rId2242" Type="http://schemas.openxmlformats.org/officeDocument/2006/relationships/hyperlink" Target="https://earth.google.com/web/search/-30.8995161161859,-55.5359156178134" TargetMode="External"/><Relationship Id="rId323" Type="http://schemas.openxmlformats.org/officeDocument/2006/relationships/hyperlink" Target="https://www.google.com/maps/search/?api=1&amp;query=-30.9057621334676,-55.5439631009108" TargetMode="External"/><Relationship Id="rId1396" Type="http://schemas.openxmlformats.org/officeDocument/2006/relationships/hyperlink" Target="https://earth.google.com/web/search/-30.9017409294975,-55.5385332131168" TargetMode="External"/><Relationship Id="rId2243" Type="http://schemas.openxmlformats.org/officeDocument/2006/relationships/hyperlink" Target="https://www.google.com/maps/search/?api=1&amp;query=-30.8995816437679,-55.5359273132256" TargetMode="External"/><Relationship Id="rId322" Type="http://schemas.openxmlformats.org/officeDocument/2006/relationships/hyperlink" Target="https://earth.google.com/web/search/-3.0905723104062,-55.5439273525261" TargetMode="External"/><Relationship Id="rId1397" Type="http://schemas.openxmlformats.org/officeDocument/2006/relationships/hyperlink" Target="https://www.google.com/maps/search/?api=1&amp;query=-30.9018871161218,-55.5387158918604" TargetMode="External"/><Relationship Id="rId2244" Type="http://schemas.openxmlformats.org/officeDocument/2006/relationships/hyperlink" Target="https://earth.google.com/web/search/-30.8995816437679,-55.5359273132256" TargetMode="External"/><Relationship Id="rId321" Type="http://schemas.openxmlformats.org/officeDocument/2006/relationships/hyperlink" Target="https://www.google.com/maps/search/?api=1&amp;query=-3.0905723104062,-55.5439273525261" TargetMode="External"/><Relationship Id="rId1398" Type="http://schemas.openxmlformats.org/officeDocument/2006/relationships/hyperlink" Target="https://earth.google.com/web/search/-30.9018871161218,-55.5387158918604" TargetMode="External"/><Relationship Id="rId2245" Type="http://schemas.openxmlformats.org/officeDocument/2006/relationships/hyperlink" Target="https://www.google.com/maps/search/?api=1&amp;query=-3.0899667827062,-55.5359940727543" TargetMode="External"/><Relationship Id="rId320" Type="http://schemas.openxmlformats.org/officeDocument/2006/relationships/hyperlink" Target="https://earth.google.com/web/search/-30.9056768389922,-55.5439027069254" TargetMode="External"/><Relationship Id="rId1399" Type="http://schemas.openxmlformats.org/officeDocument/2006/relationships/hyperlink" Target="https://www.google.com/maps/search/?api=1&amp;query=-30.9020145709715,-55.5388043783239" TargetMode="External"/><Relationship Id="rId2246" Type="http://schemas.openxmlformats.org/officeDocument/2006/relationships/hyperlink" Target="https://earth.google.com/web/search/-3.0899667827062,-55.5359940727543" TargetMode="External"/><Relationship Id="rId1389" Type="http://schemas.openxmlformats.org/officeDocument/2006/relationships/hyperlink" Target="https://www.google.com/maps/search/?api=1&amp;query=-30.9019309750523,-55.5382182612969" TargetMode="External"/><Relationship Id="rId2236" Type="http://schemas.openxmlformats.org/officeDocument/2006/relationships/hyperlink" Target="https://earth.google.com/web/search/-30.8993855389561,-55.5357843964096" TargetMode="External"/><Relationship Id="rId2237" Type="http://schemas.openxmlformats.org/officeDocument/2006/relationships/hyperlink" Target="https://www.google.com/maps/search/?api=1&amp;query=-30.8994320830532,-55.5358200493181" TargetMode="External"/><Relationship Id="rId2238" Type="http://schemas.openxmlformats.org/officeDocument/2006/relationships/hyperlink" Target="https://earth.google.com/web/search/-30.8994320830532,-55.5358200493181" TargetMode="External"/><Relationship Id="rId2239" Type="http://schemas.openxmlformats.org/officeDocument/2006/relationships/hyperlink" Target="https://www.google.com/maps/search/?api=1&amp;query=-30.8994698381431,-55.5358824207205" TargetMode="External"/><Relationship Id="rId316" Type="http://schemas.openxmlformats.org/officeDocument/2006/relationships/hyperlink" Target="https://earth.google.com/web/search/-30.9056373320574,-55.5434485610865" TargetMode="External"/><Relationship Id="rId315" Type="http://schemas.openxmlformats.org/officeDocument/2006/relationships/hyperlink" Target="https://www.google.com/maps/search/?api=1&amp;query=-30.9056373320574,-55.5434485610865" TargetMode="External"/><Relationship Id="rId799" Type="http://schemas.openxmlformats.org/officeDocument/2006/relationships/hyperlink" Target="https://www.google.com/maps/search/?api=1&amp;query=-30.9043532264327,-55.5397665249431" TargetMode="External"/><Relationship Id="rId314" Type="http://schemas.openxmlformats.org/officeDocument/2006/relationships/hyperlink" Target="https://earth.google.com/web/search/-30.9057532104055,-55.5432493121191" TargetMode="External"/><Relationship Id="rId798" Type="http://schemas.openxmlformats.org/officeDocument/2006/relationships/hyperlink" Target="https://earth.google.com/web/search/-30.9047467651177,-55.5396241739542" TargetMode="External"/><Relationship Id="rId313" Type="http://schemas.openxmlformats.org/officeDocument/2006/relationships/hyperlink" Target="https://www.google.com/maps/search/?api=1&amp;query=-30.9057532104055,-55.5432493121191" TargetMode="External"/><Relationship Id="rId797" Type="http://schemas.openxmlformats.org/officeDocument/2006/relationships/hyperlink" Target="https://www.google.com/maps/search/?api=1&amp;query=-30.9047467651177,-55.5396241739542" TargetMode="External"/><Relationship Id="rId319" Type="http://schemas.openxmlformats.org/officeDocument/2006/relationships/hyperlink" Target="https://www.google.com/maps/search/?api=1&amp;query=-30.9056768389922,-55.5439027069254" TargetMode="External"/><Relationship Id="rId318" Type="http://schemas.openxmlformats.org/officeDocument/2006/relationships/hyperlink" Target="https://earth.google.com/web/search/-30.9055332556947,-55.5438083408984" TargetMode="External"/><Relationship Id="rId317" Type="http://schemas.openxmlformats.org/officeDocument/2006/relationships/hyperlink" Target="https://www.google.com/maps/search/?api=1&amp;query=-30.9055332556947,-55.5438083408984" TargetMode="External"/><Relationship Id="rId1380" Type="http://schemas.openxmlformats.org/officeDocument/2006/relationships/hyperlink" Target="https://earth.google.com/web/search/-30.9027428370726,-55.5381972474516" TargetMode="External"/><Relationship Id="rId792" Type="http://schemas.openxmlformats.org/officeDocument/2006/relationships/hyperlink" Target="https://earth.google.com/web/search/-30.9051327838222,-55.5401499889573" TargetMode="External"/><Relationship Id="rId1381" Type="http://schemas.openxmlformats.org/officeDocument/2006/relationships/hyperlink" Target="https://www.google.com/maps/search/?api=1&amp;query=-30.9023311254922,-5.5537901443501" TargetMode="External"/><Relationship Id="rId791" Type="http://schemas.openxmlformats.org/officeDocument/2006/relationships/hyperlink" Target="https://www.google.com/maps/search/?api=1&amp;query=-30.9051327838222,-55.5401499889573" TargetMode="External"/><Relationship Id="rId1382" Type="http://schemas.openxmlformats.org/officeDocument/2006/relationships/hyperlink" Target="https://earth.google.com/web/search/-30.9023311254922,-5.5537901443501" TargetMode="External"/><Relationship Id="rId790" Type="http://schemas.openxmlformats.org/officeDocument/2006/relationships/hyperlink" Target="https://earth.google.com/web/search/-30.9050779407045,-55.5402320031408" TargetMode="External"/><Relationship Id="rId1383" Type="http://schemas.openxmlformats.org/officeDocument/2006/relationships/hyperlink" Target="https://www.google.com/maps/search/?api=1&amp;query=-30.9021306394606,-55.5378746720144" TargetMode="External"/><Relationship Id="rId2230" Type="http://schemas.openxmlformats.org/officeDocument/2006/relationships/hyperlink" Target="https://earth.google.com/web/search/-30.8988394409903,-55.5359478615424" TargetMode="External"/><Relationship Id="rId1384" Type="http://schemas.openxmlformats.org/officeDocument/2006/relationships/hyperlink" Target="https://earth.google.com/web/search/-30.9021306394606,-55.5378746720144" TargetMode="External"/><Relationship Id="rId2231" Type="http://schemas.openxmlformats.org/officeDocument/2006/relationships/hyperlink" Target="https://www.google.com/maps/search/?api=1&amp;query=-30.8988649762234,-55.5358741915437" TargetMode="External"/><Relationship Id="rId312" Type="http://schemas.openxmlformats.org/officeDocument/2006/relationships/hyperlink" Target="https://earth.google.com/web/search/-30.9058092595023,-55.5431276934193" TargetMode="External"/><Relationship Id="rId796" Type="http://schemas.openxmlformats.org/officeDocument/2006/relationships/hyperlink" Target="https://earth.google.com/web/search/-30.9049650446156,-55.5397877052387" TargetMode="External"/><Relationship Id="rId1385" Type="http://schemas.openxmlformats.org/officeDocument/2006/relationships/hyperlink" Target="https://www.google.com/maps/search/?api=1&amp;query=-30.9020836965456,-55.5379448176492" TargetMode="External"/><Relationship Id="rId2232" Type="http://schemas.openxmlformats.org/officeDocument/2006/relationships/hyperlink" Target="https://earth.google.com/web/search/-30.8988649762234,-55.5358741915437" TargetMode="External"/><Relationship Id="rId311" Type="http://schemas.openxmlformats.org/officeDocument/2006/relationships/hyperlink" Target="https://www.google.com/maps/search/?api=1&amp;query=-30.9058092595023,-55.5431276934193" TargetMode="External"/><Relationship Id="rId795" Type="http://schemas.openxmlformats.org/officeDocument/2006/relationships/hyperlink" Target="https://www.google.com/maps/search/?api=1&amp;query=-30.9049650446156,-55.5397877052387" TargetMode="External"/><Relationship Id="rId1386" Type="http://schemas.openxmlformats.org/officeDocument/2006/relationships/hyperlink" Target="https://earth.google.com/web/search/-30.9020836965456,-55.5379448176492" TargetMode="External"/><Relationship Id="rId2233" Type="http://schemas.openxmlformats.org/officeDocument/2006/relationships/hyperlink" Target="https://www.google.com/maps/search/?api=1&amp;query=-30.8989412545956,-55.5357222761619" TargetMode="External"/><Relationship Id="rId310" Type="http://schemas.openxmlformats.org/officeDocument/2006/relationships/hyperlink" Target="https://earth.google.com/web/search/-30.9060332990143,-55.5430300433685" TargetMode="External"/><Relationship Id="rId794" Type="http://schemas.openxmlformats.org/officeDocument/2006/relationships/hyperlink" Target="https://earth.google.com/web/search/-30.9050368191053,-5.5539832675776" TargetMode="External"/><Relationship Id="rId1387" Type="http://schemas.openxmlformats.org/officeDocument/2006/relationships/hyperlink" Target="https://www.google.com/maps/search/?api=1&amp;query=-30.9019749537226,-55.5381616320245" TargetMode="External"/><Relationship Id="rId2234" Type="http://schemas.openxmlformats.org/officeDocument/2006/relationships/hyperlink" Target="https://earth.google.com/web/search/-30.8989412545956,-55.5357222761619" TargetMode="External"/><Relationship Id="rId793" Type="http://schemas.openxmlformats.org/officeDocument/2006/relationships/hyperlink" Target="https://www.google.com/maps/search/?api=1&amp;query=-30.9050368191053,-5.5539832675776" TargetMode="External"/><Relationship Id="rId1388" Type="http://schemas.openxmlformats.org/officeDocument/2006/relationships/hyperlink" Target="https://earth.google.com/web/search/-30.9019749537226,-55.5381616320245" TargetMode="External"/><Relationship Id="rId2235" Type="http://schemas.openxmlformats.org/officeDocument/2006/relationships/hyperlink" Target="https://www.google.com/maps/search/?api=1&amp;query=-30.8993855389561,-55.5357843964096" TargetMode="External"/><Relationship Id="rId297" Type="http://schemas.openxmlformats.org/officeDocument/2006/relationships/hyperlink" Target="https://www.google.com/maps/search/?api=1&amp;query=-3.0906502635596,-55.5432631813071" TargetMode="External"/><Relationship Id="rId296" Type="http://schemas.openxmlformats.org/officeDocument/2006/relationships/hyperlink" Target="https://earth.google.com/web/search/-30.9063571395208,-55.5431326798814" TargetMode="External"/><Relationship Id="rId295" Type="http://schemas.openxmlformats.org/officeDocument/2006/relationships/hyperlink" Target="https://www.google.com/maps/search/?api=1&amp;query=-30.9063571395208,-55.5431326798814" TargetMode="External"/><Relationship Id="rId294" Type="http://schemas.openxmlformats.org/officeDocument/2006/relationships/hyperlink" Target="https://earth.google.com/web/search/-30.9062478628464,-55.5430561847217" TargetMode="External"/><Relationship Id="rId299" Type="http://schemas.openxmlformats.org/officeDocument/2006/relationships/hyperlink" Target="https://www.google.com/maps/search/?api=1&amp;query=-30.9062791545662,-55.5440271803468" TargetMode="External"/><Relationship Id="rId298" Type="http://schemas.openxmlformats.org/officeDocument/2006/relationships/hyperlink" Target="https://earth.google.com/web/search/-3.0906502635596,-55.5432631813071" TargetMode="External"/><Relationship Id="rId271" Type="http://schemas.openxmlformats.org/officeDocument/2006/relationships/hyperlink" Target="https://www.google.com/maps/search/?api=1&amp;query=-30.9069730136566,-55.5424571140141" TargetMode="External"/><Relationship Id="rId270" Type="http://schemas.openxmlformats.org/officeDocument/2006/relationships/hyperlink" Target="https://earth.google.com/web/search/-3.0907060791779,-55.5425211239155" TargetMode="External"/><Relationship Id="rId269" Type="http://schemas.openxmlformats.org/officeDocument/2006/relationships/hyperlink" Target="https://www.google.com/maps/search/?api=1&amp;query=-3.0907060791779,-55.5425211239155" TargetMode="External"/><Relationship Id="rId264" Type="http://schemas.openxmlformats.org/officeDocument/2006/relationships/hyperlink" Target="https://earth.google.com/web/search/-30.9068451538416,-55.5430246772378" TargetMode="External"/><Relationship Id="rId263" Type="http://schemas.openxmlformats.org/officeDocument/2006/relationships/hyperlink" Target="https://www.google.com/maps/search/?api=1&amp;query=-30.9068451538416,-55.5430246772378" TargetMode="External"/><Relationship Id="rId262" Type="http://schemas.openxmlformats.org/officeDocument/2006/relationships/hyperlink" Target="https://earth.google.com/web/search/-30.9066972725002,-55.5432744856964" TargetMode="External"/><Relationship Id="rId261" Type="http://schemas.openxmlformats.org/officeDocument/2006/relationships/hyperlink" Target="https://www.google.com/maps/search/?api=1&amp;query=-30.9066972725002,-55.5432744856964" TargetMode="External"/><Relationship Id="rId268" Type="http://schemas.openxmlformats.org/officeDocument/2006/relationships/hyperlink" Target="https://earth.google.com/web/search/-30.9069515583664,-55.5428279564859" TargetMode="External"/><Relationship Id="rId267" Type="http://schemas.openxmlformats.org/officeDocument/2006/relationships/hyperlink" Target="https://www.google.com/maps/search/?api=1&amp;query=-30.9069515583664,-55.5428279564859" TargetMode="External"/><Relationship Id="rId266" Type="http://schemas.openxmlformats.org/officeDocument/2006/relationships/hyperlink" Target="https://earth.google.com/web/search/-30.9069075727804,-55.5429079592886" TargetMode="External"/><Relationship Id="rId265" Type="http://schemas.openxmlformats.org/officeDocument/2006/relationships/hyperlink" Target="https://www.google.com/maps/search/?api=1&amp;query=-30.9069075727804,-55.5429079592886" TargetMode="External"/><Relationship Id="rId260" Type="http://schemas.openxmlformats.org/officeDocument/2006/relationships/hyperlink" Target="https://earth.google.com/web/search/-30.9070624371477,-5.5542423514123" TargetMode="External"/><Relationship Id="rId259" Type="http://schemas.openxmlformats.org/officeDocument/2006/relationships/hyperlink" Target="https://www.google.com/maps/search/?api=1&amp;query=-30.9070624371477,-5.5542423514123" TargetMode="External"/><Relationship Id="rId258" Type="http://schemas.openxmlformats.org/officeDocument/2006/relationships/hyperlink" Target="https://earth.google.com/web/search/-30.9069854606946,-55.5423642718497" TargetMode="External"/><Relationship Id="rId2290" Type="http://schemas.openxmlformats.org/officeDocument/2006/relationships/hyperlink" Target="https://earth.google.com/web/search/-30.8986125880957,-55.5364871665514" TargetMode="External"/><Relationship Id="rId2291" Type="http://schemas.openxmlformats.org/officeDocument/2006/relationships/hyperlink" Target="https://www.google.com/maps/search/?api=1&amp;query=-30.8986361246489,-55.5365077520177" TargetMode="External"/><Relationship Id="rId2292" Type="http://schemas.openxmlformats.org/officeDocument/2006/relationships/hyperlink" Target="https://earth.google.com/web/search/-30.8986361246489,-55.5365077520177" TargetMode="External"/><Relationship Id="rId2293" Type="http://schemas.openxmlformats.org/officeDocument/2006/relationships/hyperlink" Target="https://www.google.com/maps/search/?api=1&amp;query=-30.8986644549758,-55.5365273467064" TargetMode="External"/><Relationship Id="rId253" Type="http://schemas.openxmlformats.org/officeDocument/2006/relationships/hyperlink" Target="https://www.google.com/maps/search/?api=1&amp;query=-3.0906825926326,-55.5422493168622" TargetMode="External"/><Relationship Id="rId2294" Type="http://schemas.openxmlformats.org/officeDocument/2006/relationships/hyperlink" Target="https://earth.google.com/web/search/-30.8986644549758,-55.5365273467064" TargetMode="External"/><Relationship Id="rId252" Type="http://schemas.openxmlformats.org/officeDocument/2006/relationships/hyperlink" Target="https://earth.google.com/web/search/-3.0906774257639,-55.5422233551054" TargetMode="External"/><Relationship Id="rId2295" Type="http://schemas.openxmlformats.org/officeDocument/2006/relationships/hyperlink" Target="https://www.google.com/maps/search/?api=1&amp;query=-30.8990062010701,-55.5367696283028" TargetMode="External"/><Relationship Id="rId251" Type="http://schemas.openxmlformats.org/officeDocument/2006/relationships/hyperlink" Target="https://www.google.com/maps/search/?api=1&amp;query=-3.0906774257639,-55.5422233551054" TargetMode="External"/><Relationship Id="rId2296" Type="http://schemas.openxmlformats.org/officeDocument/2006/relationships/hyperlink" Target="https://earth.google.com/web/search/-30.8990062010701,-55.5367696283028" TargetMode="External"/><Relationship Id="rId250" Type="http://schemas.openxmlformats.org/officeDocument/2006/relationships/hyperlink" Target="https://earth.google.com/web/search/-30.9066752264756,-55.5421384867914" TargetMode="External"/><Relationship Id="rId2297" Type="http://schemas.openxmlformats.org/officeDocument/2006/relationships/hyperlink" Target="https://www.google.com/maps/search/?api=1&amp;query=-30.8990318467959,-55.5368028434873" TargetMode="External"/><Relationship Id="rId257" Type="http://schemas.openxmlformats.org/officeDocument/2006/relationships/hyperlink" Target="https://www.google.com/maps/search/?api=1&amp;query=-30.9069854606946,-55.5423642718497" TargetMode="External"/><Relationship Id="rId2298" Type="http://schemas.openxmlformats.org/officeDocument/2006/relationships/hyperlink" Target="https://earth.google.com/web/search/-30.8990318467959,-55.5368028434873" TargetMode="External"/><Relationship Id="rId256" Type="http://schemas.openxmlformats.org/officeDocument/2006/relationships/hyperlink" Target="https://earth.google.com/web/search/-30.9069066867295,-55.5423129691166" TargetMode="External"/><Relationship Id="rId2299" Type="http://schemas.openxmlformats.org/officeDocument/2006/relationships/hyperlink" Target="https://www.google.com/maps/search/?api=1&amp;query=-30.8991003685532,-55.5368407189866" TargetMode="External"/><Relationship Id="rId255" Type="http://schemas.openxmlformats.org/officeDocument/2006/relationships/hyperlink" Target="https://www.google.com/maps/search/?api=1&amp;query=-30.9069066867295,-55.5423129691166" TargetMode="External"/><Relationship Id="rId254" Type="http://schemas.openxmlformats.org/officeDocument/2006/relationships/hyperlink" Target="https://earth.google.com/web/search/-3.0906825926326,-55.5422493168622" TargetMode="External"/><Relationship Id="rId293" Type="http://schemas.openxmlformats.org/officeDocument/2006/relationships/hyperlink" Target="https://www.google.com/maps/search/?api=1&amp;query=-30.9062478628464,-55.5430561847217" TargetMode="External"/><Relationship Id="rId292" Type="http://schemas.openxmlformats.org/officeDocument/2006/relationships/hyperlink" Target="https://earth.google.com/web/search/-30.9061427824322,-55.5429807612145" TargetMode="External"/><Relationship Id="rId291" Type="http://schemas.openxmlformats.org/officeDocument/2006/relationships/hyperlink" Target="https://www.google.com/maps/search/?api=1&amp;query=-30.9061427824322,-55.5429807612145" TargetMode="External"/><Relationship Id="rId290" Type="http://schemas.openxmlformats.org/officeDocument/2006/relationships/hyperlink" Target="https://earth.google.com/web/search/-30.9061099390615,-55.5425574511662" TargetMode="External"/><Relationship Id="rId286" Type="http://schemas.openxmlformats.org/officeDocument/2006/relationships/hyperlink" Target="https://earth.google.com/web/search/-3.0906222260404,-5.5542351918879" TargetMode="External"/><Relationship Id="rId285" Type="http://schemas.openxmlformats.org/officeDocument/2006/relationships/hyperlink" Target="https://www.google.com/maps/search/?api=1&amp;query=-3.0906222260404,-5.5542351918879" TargetMode="External"/><Relationship Id="rId284" Type="http://schemas.openxmlformats.org/officeDocument/2006/relationships/hyperlink" Target="https://earth.google.com/web/search/-30.9062488886759,-55.5422920924501" TargetMode="External"/><Relationship Id="rId283" Type="http://schemas.openxmlformats.org/officeDocument/2006/relationships/hyperlink" Target="https://www.google.com/maps/search/?api=1&amp;query=-30.9062488886759,-55.5422920924501" TargetMode="External"/><Relationship Id="rId289" Type="http://schemas.openxmlformats.org/officeDocument/2006/relationships/hyperlink" Target="https://www.google.com/maps/search/?api=1&amp;query=-30.9061099390615,-55.5425574511662" TargetMode="External"/><Relationship Id="rId288" Type="http://schemas.openxmlformats.org/officeDocument/2006/relationships/hyperlink" Target="https://earth.google.com/web/search/-30.9061916057822,-55.5424262647073" TargetMode="External"/><Relationship Id="rId287" Type="http://schemas.openxmlformats.org/officeDocument/2006/relationships/hyperlink" Target="https://www.google.com/maps/search/?api=1&amp;query=-30.9061916057822,-55.5424262647073" TargetMode="External"/><Relationship Id="rId282" Type="http://schemas.openxmlformats.org/officeDocument/2006/relationships/hyperlink" Target="https://earth.google.com/web/search/-30.9062741938428,-55.5422340665248" TargetMode="External"/><Relationship Id="rId281" Type="http://schemas.openxmlformats.org/officeDocument/2006/relationships/hyperlink" Target="https://www.google.com/maps/search/?api=1&amp;query=-30.9062741938428,-55.5422340665248" TargetMode="External"/><Relationship Id="rId280" Type="http://schemas.openxmlformats.org/officeDocument/2006/relationships/hyperlink" Target="https://earth.google.com/web/search/-30.9065634821413,-55.5421814218969" TargetMode="External"/><Relationship Id="rId275" Type="http://schemas.openxmlformats.org/officeDocument/2006/relationships/hyperlink" Target="https://www.google.com/maps/search/?api=1&amp;query=-30.9068068357037,-55.5423456649393" TargetMode="External"/><Relationship Id="rId274" Type="http://schemas.openxmlformats.org/officeDocument/2006/relationships/hyperlink" Target="https://earth.google.com/web/search/-30.9068944961302,-55.5424105986205" TargetMode="External"/><Relationship Id="rId273" Type="http://schemas.openxmlformats.org/officeDocument/2006/relationships/hyperlink" Target="https://www.google.com/maps/search/?api=1&amp;query=-30.9068944961302,-55.5424105986205" TargetMode="External"/><Relationship Id="rId272" Type="http://schemas.openxmlformats.org/officeDocument/2006/relationships/hyperlink" Target="https://earth.google.com/web/search/-30.9069730136566,-55.5424571140141" TargetMode="External"/><Relationship Id="rId279" Type="http://schemas.openxmlformats.org/officeDocument/2006/relationships/hyperlink" Target="https://www.google.com/maps/search/?api=1&amp;query=-30.9065634821413,-55.5421814218969" TargetMode="External"/><Relationship Id="rId278" Type="http://schemas.openxmlformats.org/officeDocument/2006/relationships/hyperlink" Target="https://earth.google.com/web/search/-30.9067138895122,-55.5422869801626" TargetMode="External"/><Relationship Id="rId277" Type="http://schemas.openxmlformats.org/officeDocument/2006/relationships/hyperlink" Target="https://www.google.com/maps/search/?api=1&amp;query=-30.9067138895122,-55.5422869801626" TargetMode="External"/><Relationship Id="rId276" Type="http://schemas.openxmlformats.org/officeDocument/2006/relationships/hyperlink" Target="https://earth.google.com/web/search/-30.9068068357037,-55.5423456649393" TargetMode="External"/><Relationship Id="rId1851" Type="http://schemas.openxmlformats.org/officeDocument/2006/relationships/hyperlink" Target="https://www.google.com/maps/search/?api=1&amp;query=-30.9004758463218,-5.5538762793004" TargetMode="External"/><Relationship Id="rId1852" Type="http://schemas.openxmlformats.org/officeDocument/2006/relationships/hyperlink" Target="https://earth.google.com/web/search/-30.9004758463218,-5.5538762793004" TargetMode="External"/><Relationship Id="rId1853" Type="http://schemas.openxmlformats.org/officeDocument/2006/relationships/hyperlink" Target="https://www.google.com/maps/search/?api=1&amp;query=-30.9005859163165,-55.5385405943094" TargetMode="External"/><Relationship Id="rId2700" Type="http://schemas.openxmlformats.org/officeDocument/2006/relationships/hyperlink" Target="https://earth.google.com/web/search/-30.8959016441668,-55.5416650969446" TargetMode="External"/><Relationship Id="rId1854" Type="http://schemas.openxmlformats.org/officeDocument/2006/relationships/hyperlink" Target="https://earth.google.com/web/search/-30.9005859163165,-55.5385405943094" TargetMode="External"/><Relationship Id="rId2701" Type="http://schemas.openxmlformats.org/officeDocument/2006/relationships/drawing" Target="../drawings/drawing2.xml"/><Relationship Id="rId1855" Type="http://schemas.openxmlformats.org/officeDocument/2006/relationships/hyperlink" Target="https://www.google.com/maps/search/?api=1&amp;query=-3.0900617323037,-55.5384791694661" TargetMode="External"/><Relationship Id="rId1856" Type="http://schemas.openxmlformats.org/officeDocument/2006/relationships/hyperlink" Target="https://earth.google.com/web/search/-3.0900617323037,-55.5384791694661" TargetMode="External"/><Relationship Id="rId2703" Type="http://schemas.openxmlformats.org/officeDocument/2006/relationships/table" Target="../tables/table3.xml"/><Relationship Id="rId1857" Type="http://schemas.openxmlformats.org/officeDocument/2006/relationships/hyperlink" Target="https://www.google.com/maps/search/?api=1&amp;query=-30.9007825854524,-55.5381811188563" TargetMode="External"/><Relationship Id="rId1858" Type="http://schemas.openxmlformats.org/officeDocument/2006/relationships/hyperlink" Target="https://earth.google.com/web/search/-30.9007825854524,-55.5381811188563" TargetMode="External"/><Relationship Id="rId1859" Type="http://schemas.openxmlformats.org/officeDocument/2006/relationships/hyperlink" Target="https://www.google.com/maps/search/?api=1&amp;query=-30.9007562158458,-0.5553802672416" TargetMode="External"/><Relationship Id="rId1850" Type="http://schemas.openxmlformats.org/officeDocument/2006/relationships/hyperlink" Target="https://earth.google.com/web/search/-30.9007673425454,-55.5379100066576" TargetMode="External"/><Relationship Id="rId1840" Type="http://schemas.openxmlformats.org/officeDocument/2006/relationships/hyperlink" Target="https://earth.google.com/web/search/-30.9001927612191,-55.5374984572069" TargetMode="External"/><Relationship Id="rId1841" Type="http://schemas.openxmlformats.org/officeDocument/2006/relationships/hyperlink" Target="https://www.google.com/maps/search/?api=1&amp;query=-30.9002537819603,-5.5537536583957" TargetMode="External"/><Relationship Id="rId1842" Type="http://schemas.openxmlformats.org/officeDocument/2006/relationships/hyperlink" Target="https://earth.google.com/web/search/-30.9002537819603,-5.5537536583957" TargetMode="External"/><Relationship Id="rId1843" Type="http://schemas.openxmlformats.org/officeDocument/2006/relationships/hyperlink" Target="https://www.google.com/maps/search/?api=1&amp;query=-30.9003828731479,-55.5376650032598" TargetMode="External"/><Relationship Id="rId1844" Type="http://schemas.openxmlformats.org/officeDocument/2006/relationships/hyperlink" Target="https://earth.google.com/web/search/-30.9003828731479,-55.5376650032598" TargetMode="External"/><Relationship Id="rId1845" Type="http://schemas.openxmlformats.org/officeDocument/2006/relationships/hyperlink" Target="https://www.google.com/maps/search/?api=1&amp;query=-0.0309005556015,-55.5377564895419" TargetMode="External"/><Relationship Id="rId1846" Type="http://schemas.openxmlformats.org/officeDocument/2006/relationships/hyperlink" Target="https://earth.google.com/web/search/-0.0309005556015,-55.5377564895419" TargetMode="External"/><Relationship Id="rId1847" Type="http://schemas.openxmlformats.org/officeDocument/2006/relationships/hyperlink" Target="https://www.google.com/maps/search/?api=1&amp;query=-30.9006452678358,-55.5378423107615" TargetMode="External"/><Relationship Id="rId1848" Type="http://schemas.openxmlformats.org/officeDocument/2006/relationships/hyperlink" Target="https://earth.google.com/web/search/-30.9006452678358,-55.5378423107615" TargetMode="External"/><Relationship Id="rId1849" Type="http://schemas.openxmlformats.org/officeDocument/2006/relationships/hyperlink" Target="https://www.google.com/maps/search/?api=1&amp;query=-30.9007673425454,-55.5379100066576" TargetMode="External"/><Relationship Id="rId1873" Type="http://schemas.openxmlformats.org/officeDocument/2006/relationships/hyperlink" Target="https://www.google.com/maps/search/?api=1&amp;query=-30.9001023211415,-55.5376119293821" TargetMode="External"/><Relationship Id="rId1874" Type="http://schemas.openxmlformats.org/officeDocument/2006/relationships/hyperlink" Target="https://earth.google.com/web/search/-30.9001023211415,-55.5376119293821" TargetMode="External"/><Relationship Id="rId1875" Type="http://schemas.openxmlformats.org/officeDocument/2006/relationships/hyperlink" Target="https://www.google.com/maps/search/?api=1&amp;query=-30.9000169282832,-55.5377873484812" TargetMode="External"/><Relationship Id="rId1876" Type="http://schemas.openxmlformats.org/officeDocument/2006/relationships/hyperlink" Target="https://earth.google.com/web/search/-30.9000169282832,-55.5377873484812" TargetMode="External"/><Relationship Id="rId1877" Type="http://schemas.openxmlformats.org/officeDocument/2006/relationships/hyperlink" Target="https://www.google.com/maps/search/?api=1&amp;query=-30.8999251335378,-55.5379489329881" TargetMode="External"/><Relationship Id="rId1878" Type="http://schemas.openxmlformats.org/officeDocument/2006/relationships/hyperlink" Target="https://earth.google.com/web/search/-30.8999251335378,-55.5379489329881" TargetMode="External"/><Relationship Id="rId1879" Type="http://schemas.openxmlformats.org/officeDocument/2006/relationships/hyperlink" Target="https://www.google.com/maps/search/?api=1&amp;query=-30.8998420621342,-55.5381027416182" TargetMode="External"/><Relationship Id="rId1870" Type="http://schemas.openxmlformats.org/officeDocument/2006/relationships/hyperlink" Target="https://earth.google.com/web/search/-3.0900442276238,-55.5377995087028" TargetMode="External"/><Relationship Id="rId1871" Type="http://schemas.openxmlformats.org/officeDocument/2006/relationships/hyperlink" Target="https://www.google.com/maps/search/?api=1&amp;query=-30.9003455097264,-55.5377287227599" TargetMode="External"/><Relationship Id="rId1872" Type="http://schemas.openxmlformats.org/officeDocument/2006/relationships/hyperlink" Target="https://earth.google.com/web/search/-30.9003455097264,-55.5377287227599" TargetMode="External"/><Relationship Id="rId1862" Type="http://schemas.openxmlformats.org/officeDocument/2006/relationships/hyperlink" Target="https://earth.google.com/web/search/-30.9006977520202,-55.5379833917985" TargetMode="External"/><Relationship Id="rId1863" Type="http://schemas.openxmlformats.org/officeDocument/2006/relationships/hyperlink" Target="https://www.google.com/maps/search/?api=1&amp;query=-30.9006572770824,-55.5379484395831" TargetMode="External"/><Relationship Id="rId1864" Type="http://schemas.openxmlformats.org/officeDocument/2006/relationships/hyperlink" Target="https://earth.google.com/web/search/-30.9006572770824,-55.5379484395831" TargetMode="External"/><Relationship Id="rId1865" Type="http://schemas.openxmlformats.org/officeDocument/2006/relationships/hyperlink" Target="https://www.google.com/maps/search/?api=1&amp;query=-30.9005955331456,-55.5379112472073" TargetMode="External"/><Relationship Id="rId1866" Type="http://schemas.openxmlformats.org/officeDocument/2006/relationships/hyperlink" Target="https://earth.google.com/web/search/-30.9005955331456,-55.5379112472073" TargetMode="External"/><Relationship Id="rId1867" Type="http://schemas.openxmlformats.org/officeDocument/2006/relationships/hyperlink" Target="https://www.google.com/maps/search/?api=1&amp;query=-30.9005277084808,-55.5378610656793" TargetMode="External"/><Relationship Id="rId1868" Type="http://schemas.openxmlformats.org/officeDocument/2006/relationships/hyperlink" Target="https://earth.google.com/web/search/-30.9005277084808,-55.5378610656793" TargetMode="External"/><Relationship Id="rId1869" Type="http://schemas.openxmlformats.org/officeDocument/2006/relationships/hyperlink" Target="https://www.google.com/maps/search/?api=1&amp;query=-3.0900442276238,-55.5377995087028" TargetMode="External"/><Relationship Id="rId1860" Type="http://schemas.openxmlformats.org/officeDocument/2006/relationships/hyperlink" Target="https://earth.google.com/web/search/-30.9007562158458,-0.5553802672416" TargetMode="External"/><Relationship Id="rId1861" Type="http://schemas.openxmlformats.org/officeDocument/2006/relationships/hyperlink" Target="https://www.google.com/maps/search/?api=1&amp;query=-30.9006977520202,-55.5379833917985" TargetMode="External"/><Relationship Id="rId1810" Type="http://schemas.openxmlformats.org/officeDocument/2006/relationships/hyperlink" Target="https://earth.google.com/web/search/-30.9012496035664,-55.5370176071885" TargetMode="External"/><Relationship Id="rId1811" Type="http://schemas.openxmlformats.org/officeDocument/2006/relationships/hyperlink" Target="https://www.google.com/maps/search/?api=1&amp;query=-30.9013191023008,-55.5370588028139" TargetMode="External"/><Relationship Id="rId1812" Type="http://schemas.openxmlformats.org/officeDocument/2006/relationships/hyperlink" Target="https://earth.google.com/web/search/-30.9013191023008,-55.5370588028139" TargetMode="External"/><Relationship Id="rId1813" Type="http://schemas.openxmlformats.org/officeDocument/2006/relationships/hyperlink" Target="https://www.google.com/maps/search/?api=1&amp;query=-30.9009070153585,-55.5379346505037" TargetMode="External"/><Relationship Id="rId1814" Type="http://schemas.openxmlformats.org/officeDocument/2006/relationships/hyperlink" Target="https://earth.google.com/web/search/-30.9009070153585,-55.5379346505037" TargetMode="External"/><Relationship Id="rId1815" Type="http://schemas.openxmlformats.org/officeDocument/2006/relationships/hyperlink" Target="https://www.google.com/maps/search/?api=1&amp;query=-30.9009476877002,-55.5378598111314" TargetMode="External"/><Relationship Id="rId1816" Type="http://schemas.openxmlformats.org/officeDocument/2006/relationships/hyperlink" Target="https://earth.google.com/web/search/-30.9009476877002,-55.5378598111314" TargetMode="External"/><Relationship Id="rId1817" Type="http://schemas.openxmlformats.org/officeDocument/2006/relationships/hyperlink" Target="https://www.google.com/maps/search/?api=1&amp;query=-30.9009886242744,-55.5377635875441" TargetMode="External"/><Relationship Id="rId1818" Type="http://schemas.openxmlformats.org/officeDocument/2006/relationships/hyperlink" Target="https://earth.google.com/web/search/-30.9009886242744,-55.5377635875441" TargetMode="External"/><Relationship Id="rId1819" Type="http://schemas.openxmlformats.org/officeDocument/2006/relationships/hyperlink" Target="https://www.google.com/maps/search/?api=1&amp;query=-30.9011005027918,-55.5375705124406" TargetMode="External"/><Relationship Id="rId1800" Type="http://schemas.openxmlformats.org/officeDocument/2006/relationships/hyperlink" Target="https://earth.google.com/web/search/-30.9007036385183,-55.5366279743852" TargetMode="External"/><Relationship Id="rId1801" Type="http://schemas.openxmlformats.org/officeDocument/2006/relationships/hyperlink" Target="https://www.google.com/maps/search/?api=1&amp;query=-30.9008765973324,-55.5367460009435" TargetMode="External"/><Relationship Id="rId1802" Type="http://schemas.openxmlformats.org/officeDocument/2006/relationships/hyperlink" Target="https://earth.google.com/web/search/-30.9008765973324,-55.5367460009435" TargetMode="External"/><Relationship Id="rId1803" Type="http://schemas.openxmlformats.org/officeDocument/2006/relationships/hyperlink" Target="https://www.google.com/maps/search/?api=1&amp;query=-30.9010598371553,-55.5368690605533" TargetMode="External"/><Relationship Id="rId1804" Type="http://schemas.openxmlformats.org/officeDocument/2006/relationships/hyperlink" Target="https://earth.google.com/web/search/-30.9010598371553,-55.5368690605533" TargetMode="External"/><Relationship Id="rId1805" Type="http://schemas.openxmlformats.org/officeDocument/2006/relationships/hyperlink" Target="https://www.google.com/maps/search/?api=1&amp;query=-30.9011120568808,-55.5369099482777" TargetMode="External"/><Relationship Id="rId1806" Type="http://schemas.openxmlformats.org/officeDocument/2006/relationships/hyperlink" Target="https://earth.google.com/web/search/-30.9011120568808,-55.5369099482777" TargetMode="External"/><Relationship Id="rId1807" Type="http://schemas.openxmlformats.org/officeDocument/2006/relationships/hyperlink" Target="https://www.google.com/maps/search/?api=1&amp;query=-30.9011584869332,-55.5369661147976" TargetMode="External"/><Relationship Id="rId1808" Type="http://schemas.openxmlformats.org/officeDocument/2006/relationships/hyperlink" Target="https://earth.google.com/web/search/-30.9011584869332,-55.5369661147976" TargetMode="External"/><Relationship Id="rId1809" Type="http://schemas.openxmlformats.org/officeDocument/2006/relationships/hyperlink" Target="https://www.google.com/maps/search/?api=1&amp;query=-30.9012496035664,-55.5370176071885" TargetMode="External"/><Relationship Id="rId1830" Type="http://schemas.openxmlformats.org/officeDocument/2006/relationships/hyperlink" Target="https://earth.google.com/web/search/-30.9004149497189,-55.5370139611324" TargetMode="External"/><Relationship Id="rId1831" Type="http://schemas.openxmlformats.org/officeDocument/2006/relationships/hyperlink" Target="https://www.google.com/maps/search/?api=1&amp;query=-30.9003145632443,-55.5371745628525" TargetMode="External"/><Relationship Id="rId1832" Type="http://schemas.openxmlformats.org/officeDocument/2006/relationships/hyperlink" Target="https://earth.google.com/web/search/-30.9003145632443,-55.5371745628525" TargetMode="External"/><Relationship Id="rId1833" Type="http://schemas.openxmlformats.org/officeDocument/2006/relationships/hyperlink" Target="https://www.google.com/maps/search/?api=1&amp;query=-30.9002778276937,-55.5372535742724" TargetMode="External"/><Relationship Id="rId1834" Type="http://schemas.openxmlformats.org/officeDocument/2006/relationships/hyperlink" Target="https://earth.google.com/web/search/-30.9002778276937,-55.5372535742724" TargetMode="External"/><Relationship Id="rId1835" Type="http://schemas.openxmlformats.org/officeDocument/2006/relationships/hyperlink" Target="https://www.google.com/maps/search/?api=1&amp;query=-30.9002321150548,-5.5537342553153" TargetMode="External"/><Relationship Id="rId1836" Type="http://schemas.openxmlformats.org/officeDocument/2006/relationships/hyperlink" Target="https://earth.google.com/web/search/-30.9002321150548,-5.5537342553153" TargetMode="External"/><Relationship Id="rId1837" Type="http://schemas.openxmlformats.org/officeDocument/2006/relationships/hyperlink" Target="https://www.google.com/maps/search/?api=1&amp;query=-30.9001868527502,-55.5374231654187" TargetMode="External"/><Relationship Id="rId1838" Type="http://schemas.openxmlformats.org/officeDocument/2006/relationships/hyperlink" Target="https://earth.google.com/web/search/-30.9001868527502,-55.5374231654187" TargetMode="External"/><Relationship Id="rId1839" Type="http://schemas.openxmlformats.org/officeDocument/2006/relationships/hyperlink" Target="https://www.google.com/maps/search/?api=1&amp;query=-30.9001927612191,-55.5374984572069" TargetMode="External"/><Relationship Id="rId1820" Type="http://schemas.openxmlformats.org/officeDocument/2006/relationships/hyperlink" Target="https://earth.google.com/web/search/-30.9011005027918,-55.5375705124406" TargetMode="External"/><Relationship Id="rId1821" Type="http://schemas.openxmlformats.org/officeDocument/2006/relationships/hyperlink" Target="https://www.google.com/maps/search/?api=1&amp;query=-30.9011834462686,-55.5370873346694" TargetMode="External"/><Relationship Id="rId1822" Type="http://schemas.openxmlformats.org/officeDocument/2006/relationships/hyperlink" Target="https://earth.google.com/web/search/-30.9011834462686,-55.5370873346694" TargetMode="External"/><Relationship Id="rId1823" Type="http://schemas.openxmlformats.org/officeDocument/2006/relationships/hyperlink" Target="https://www.google.com/maps/search/?api=1&amp;query=-30.9010289614825,-55.5369740496212" TargetMode="External"/><Relationship Id="rId1824" Type="http://schemas.openxmlformats.org/officeDocument/2006/relationships/hyperlink" Target="https://earth.google.com/web/search/-30.9010289614825,-55.5369740496212" TargetMode="External"/><Relationship Id="rId1825" Type="http://schemas.openxmlformats.org/officeDocument/2006/relationships/hyperlink" Target="https://www.google.com/maps/search/?api=1&amp;query=-30.9006635913785,-55.5366994296446" TargetMode="External"/><Relationship Id="rId1826" Type="http://schemas.openxmlformats.org/officeDocument/2006/relationships/hyperlink" Target="https://earth.google.com/web/search/-30.9006635913785,-55.5366994296446" TargetMode="External"/><Relationship Id="rId1827" Type="http://schemas.openxmlformats.org/officeDocument/2006/relationships/hyperlink" Target="https://www.google.com/maps/search/?api=1&amp;query=-30.9005682567828,-55.5367016130111" TargetMode="External"/><Relationship Id="rId1828" Type="http://schemas.openxmlformats.org/officeDocument/2006/relationships/hyperlink" Target="https://earth.google.com/web/search/-30.9005682567828,-55.5367016130111" TargetMode="External"/><Relationship Id="rId1829" Type="http://schemas.openxmlformats.org/officeDocument/2006/relationships/hyperlink" Target="https://www.google.com/maps/search/?api=1&amp;query=-30.9004149497189,-55.5370139611324" TargetMode="External"/><Relationship Id="rId1455" Type="http://schemas.openxmlformats.org/officeDocument/2006/relationships/hyperlink" Target="https://www.google.com/maps/search/?api=1&amp;query=-30.9017430392233,-55.5404143054618" TargetMode="External"/><Relationship Id="rId2302" Type="http://schemas.openxmlformats.org/officeDocument/2006/relationships/hyperlink" Target="https://earth.google.com/web/search/-30.8992074997515,-55.5369182489475" TargetMode="External"/><Relationship Id="rId1456" Type="http://schemas.openxmlformats.org/officeDocument/2006/relationships/hyperlink" Target="https://earth.google.com/web/search/-30.9017430392233,-55.5404143054618" TargetMode="External"/><Relationship Id="rId2303" Type="http://schemas.openxmlformats.org/officeDocument/2006/relationships/hyperlink" Target="https://www.google.com/maps/search/?api=1&amp;query=-30.8992498154256,-55.5369896458995" TargetMode="External"/><Relationship Id="rId1457" Type="http://schemas.openxmlformats.org/officeDocument/2006/relationships/hyperlink" Target="https://www.google.com/maps/search/?api=1&amp;query=-30.9018202440561,-55.5400266691614" TargetMode="External"/><Relationship Id="rId2304" Type="http://schemas.openxmlformats.org/officeDocument/2006/relationships/hyperlink" Target="https://earth.google.com/web/search/-30.8992498154256,-55.5369896458995" TargetMode="External"/><Relationship Id="rId1458" Type="http://schemas.openxmlformats.org/officeDocument/2006/relationships/hyperlink" Target="https://earth.google.com/web/search/-30.9018202440561,-55.5400266691614" TargetMode="External"/><Relationship Id="rId2305" Type="http://schemas.openxmlformats.org/officeDocument/2006/relationships/hyperlink" Target="https://www.google.com/maps/search/?api=1&amp;query=-30.8992311684242,-55.5370424888258" TargetMode="External"/><Relationship Id="rId1459" Type="http://schemas.openxmlformats.org/officeDocument/2006/relationships/hyperlink" Target="https://www.google.com/maps/search/?api=1&amp;query=-30.9017479364425,-55.5399857204751" TargetMode="External"/><Relationship Id="rId2306" Type="http://schemas.openxmlformats.org/officeDocument/2006/relationships/hyperlink" Target="https://earth.google.com/web/search/-30.8992311684242,-55.5370424888258" TargetMode="External"/><Relationship Id="rId2307" Type="http://schemas.openxmlformats.org/officeDocument/2006/relationships/hyperlink" Target="https://www.google.com/maps/search/?api=1&amp;query=-30.8991923733739,-55.5371048339746" TargetMode="External"/><Relationship Id="rId2308" Type="http://schemas.openxmlformats.org/officeDocument/2006/relationships/hyperlink" Target="https://earth.google.com/web/search/-30.8991923733739,-55.5371048339746" TargetMode="External"/><Relationship Id="rId2309" Type="http://schemas.openxmlformats.org/officeDocument/2006/relationships/hyperlink" Target="https://www.google.com/maps/search/?api=1&amp;query=-30.8991676513289,-55.5371408561324" TargetMode="External"/><Relationship Id="rId629" Type="http://schemas.openxmlformats.org/officeDocument/2006/relationships/hyperlink" Target="https://www.google.com/maps/search/?api=1&amp;query=-30.9049673803104,-55.5406190574741" TargetMode="External"/><Relationship Id="rId624" Type="http://schemas.openxmlformats.org/officeDocument/2006/relationships/hyperlink" Target="https://earth.google.com/web/search/-30.9054254969717,-55.5400933410481" TargetMode="External"/><Relationship Id="rId623" Type="http://schemas.openxmlformats.org/officeDocument/2006/relationships/hyperlink" Target="https://www.google.com/maps/search/?api=1&amp;query=-30.9054254969717,-55.5400933410481" TargetMode="External"/><Relationship Id="rId622" Type="http://schemas.openxmlformats.org/officeDocument/2006/relationships/hyperlink" Target="https://earth.google.com/web/search/-30.9055648940415,-55.5402035430294" TargetMode="External"/><Relationship Id="rId621" Type="http://schemas.openxmlformats.org/officeDocument/2006/relationships/hyperlink" Target="https://www.google.com/maps/search/?api=1&amp;query=-30.9055648940415,-55.5402035430294" TargetMode="External"/><Relationship Id="rId628" Type="http://schemas.openxmlformats.org/officeDocument/2006/relationships/hyperlink" Target="https://earth.google.com/web/search/-30.9051846010083,-55.5402435333672" TargetMode="External"/><Relationship Id="rId627" Type="http://schemas.openxmlformats.org/officeDocument/2006/relationships/hyperlink" Target="https://www.google.com/maps/search/?api=1&amp;query=-30.9051846010083,-55.5402435333672" TargetMode="External"/><Relationship Id="rId626" Type="http://schemas.openxmlformats.org/officeDocument/2006/relationships/hyperlink" Target="https://earth.google.com/web/search/-30.9053745278616,-55.5400552678471" TargetMode="External"/><Relationship Id="rId625" Type="http://schemas.openxmlformats.org/officeDocument/2006/relationships/hyperlink" Target="https://www.google.com/maps/search/?api=1&amp;query=-30.9053745278616,-55.5400552678471" TargetMode="External"/><Relationship Id="rId1450" Type="http://schemas.openxmlformats.org/officeDocument/2006/relationships/hyperlink" Target="https://earth.google.com/web/search/-30.9016356336902,-55.5405975030008" TargetMode="External"/><Relationship Id="rId620" Type="http://schemas.openxmlformats.org/officeDocument/2006/relationships/hyperlink" Target="https://earth.google.com/web/search/-30.9056251481755,-55.5402397536244" TargetMode="External"/><Relationship Id="rId1451" Type="http://schemas.openxmlformats.org/officeDocument/2006/relationships/hyperlink" Target="https://www.google.com/maps/search/?api=1&amp;query=-30.9016736708362,-55.5405264340184" TargetMode="External"/><Relationship Id="rId1452" Type="http://schemas.openxmlformats.org/officeDocument/2006/relationships/hyperlink" Target="https://earth.google.com/web/search/-30.9016736708362,-55.5405264340184" TargetMode="External"/><Relationship Id="rId1453" Type="http://schemas.openxmlformats.org/officeDocument/2006/relationships/hyperlink" Target="https://www.google.com/maps/search/?api=1&amp;query=-3.0901717326611,-55.5404608341506" TargetMode="External"/><Relationship Id="rId2300" Type="http://schemas.openxmlformats.org/officeDocument/2006/relationships/hyperlink" Target="https://earth.google.com/web/search/-30.8991003685532,-55.5368407189866" TargetMode="External"/><Relationship Id="rId1454" Type="http://schemas.openxmlformats.org/officeDocument/2006/relationships/hyperlink" Target="https://earth.google.com/web/search/-3.0901717326611,-55.5404608341506" TargetMode="External"/><Relationship Id="rId2301" Type="http://schemas.openxmlformats.org/officeDocument/2006/relationships/hyperlink" Target="https://www.google.com/maps/search/?api=1&amp;query=-30.8992074997515,-55.5369182489475" TargetMode="External"/><Relationship Id="rId1444" Type="http://schemas.openxmlformats.org/officeDocument/2006/relationships/hyperlink" Target="https://earth.google.com/web/search/-30.9019793922054,-5.5539990605076" TargetMode="External"/><Relationship Id="rId1445" Type="http://schemas.openxmlformats.org/officeDocument/2006/relationships/hyperlink" Target="https://www.google.com/maps/search/?api=1&amp;query=-30.9015278415359,-55.5407921437677" TargetMode="External"/><Relationship Id="rId1446" Type="http://schemas.openxmlformats.org/officeDocument/2006/relationships/hyperlink" Target="https://earth.google.com/web/search/-30.9015278415359,-55.5407921437677" TargetMode="External"/><Relationship Id="rId1447" Type="http://schemas.openxmlformats.org/officeDocument/2006/relationships/hyperlink" Target="https://www.google.com/maps/search/?api=1&amp;query=-30.9015717578221,-55.5407084816835" TargetMode="External"/><Relationship Id="rId1448" Type="http://schemas.openxmlformats.org/officeDocument/2006/relationships/hyperlink" Target="https://earth.google.com/web/search/-30.9015717578221,-55.5407084816835" TargetMode="External"/><Relationship Id="rId1449" Type="http://schemas.openxmlformats.org/officeDocument/2006/relationships/hyperlink" Target="https://www.google.com/maps/search/?api=1&amp;query=-30.9016356336902,-55.5405975030008" TargetMode="External"/><Relationship Id="rId619" Type="http://schemas.openxmlformats.org/officeDocument/2006/relationships/hyperlink" Target="https://www.google.com/maps/search/?api=1&amp;query=-30.9056251481755,-55.5402397536244" TargetMode="External"/><Relationship Id="rId618" Type="http://schemas.openxmlformats.org/officeDocument/2006/relationships/hyperlink" Target="https://earth.google.com/web/search/-30.9056926434287,-55.5402959207906" TargetMode="External"/><Relationship Id="rId613" Type="http://schemas.openxmlformats.org/officeDocument/2006/relationships/hyperlink" Target="https://www.google.com/maps/search/?api=1&amp;query=-30.9058643263916,-55.5404195056708" TargetMode="External"/><Relationship Id="rId612" Type="http://schemas.openxmlformats.org/officeDocument/2006/relationships/hyperlink" Target="https://earth.google.com/web/search/-30.9056639299044,-55.5411515375432" TargetMode="External"/><Relationship Id="rId611" Type="http://schemas.openxmlformats.org/officeDocument/2006/relationships/hyperlink" Target="https://www.google.com/maps/search/?api=1&amp;query=-30.9056639299044,-55.5411515375432" TargetMode="External"/><Relationship Id="rId610" Type="http://schemas.openxmlformats.org/officeDocument/2006/relationships/hyperlink" Target="https://earth.google.com/web/search/-30.9060164382167,-55.5403859297841" TargetMode="External"/><Relationship Id="rId617" Type="http://schemas.openxmlformats.org/officeDocument/2006/relationships/hyperlink" Target="https://www.google.com/maps/search/?api=1&amp;query=-30.9056926434287,-55.5402959207906" TargetMode="External"/><Relationship Id="rId616" Type="http://schemas.openxmlformats.org/officeDocument/2006/relationships/hyperlink" Target="https://earth.google.com/web/search/-30.9057803182211,-55.5403514414298" TargetMode="External"/><Relationship Id="rId615" Type="http://schemas.openxmlformats.org/officeDocument/2006/relationships/hyperlink" Target="https://www.google.com/maps/search/?api=1&amp;query=-30.9057803182211,-55.5403514414298" TargetMode="External"/><Relationship Id="rId614" Type="http://schemas.openxmlformats.org/officeDocument/2006/relationships/hyperlink" Target="https://earth.google.com/web/search/-30.9058643263916,-55.5404195056708" TargetMode="External"/><Relationship Id="rId1440" Type="http://schemas.openxmlformats.org/officeDocument/2006/relationships/hyperlink" Target="https://earth.google.com/web/search/-30.9018518434791,-5.5539947490072" TargetMode="External"/><Relationship Id="rId1441" Type="http://schemas.openxmlformats.org/officeDocument/2006/relationships/hyperlink" Target="https://www.google.com/maps/search/?api=1&amp;query=-30.9019166756694,-55.5399810412266" TargetMode="External"/><Relationship Id="rId1442" Type="http://schemas.openxmlformats.org/officeDocument/2006/relationships/hyperlink" Target="https://earth.google.com/web/search/-30.9019166756694,-55.5399810412266" TargetMode="External"/><Relationship Id="rId1443" Type="http://schemas.openxmlformats.org/officeDocument/2006/relationships/hyperlink" Target="https://www.google.com/maps/search/?api=1&amp;query=-30.9019793922054,-5.5539990605076" TargetMode="External"/><Relationship Id="rId1477" Type="http://schemas.openxmlformats.org/officeDocument/2006/relationships/hyperlink" Target="https://www.google.com/maps/search/?api=1&amp;query=-30.9013076663237,-5.5540807888803" TargetMode="External"/><Relationship Id="rId2324" Type="http://schemas.openxmlformats.org/officeDocument/2006/relationships/hyperlink" Target="https://earth.google.com/web/search/-30.8978213878141,-55.5378815983536" TargetMode="External"/><Relationship Id="rId1478" Type="http://schemas.openxmlformats.org/officeDocument/2006/relationships/hyperlink" Target="https://earth.google.com/web/search/-30.9013076663237,-5.5540807888803" TargetMode="External"/><Relationship Id="rId2325" Type="http://schemas.openxmlformats.org/officeDocument/2006/relationships/hyperlink" Target="https://www.google.com/maps/search/?api=1&amp;query=-30.8982908806922,-55.5375149218382" TargetMode="External"/><Relationship Id="rId1479" Type="http://schemas.openxmlformats.org/officeDocument/2006/relationships/hyperlink" Target="https://www.google.com/maps/search/?api=1&amp;query=-30.9014004945583,-55.5408495487172" TargetMode="External"/><Relationship Id="rId2326" Type="http://schemas.openxmlformats.org/officeDocument/2006/relationships/hyperlink" Target="https://earth.google.com/web/search/-30.8982908806922,-55.5375149218382" TargetMode="External"/><Relationship Id="rId2327" Type="http://schemas.openxmlformats.org/officeDocument/2006/relationships/hyperlink" Target="https://www.google.com/maps/search/?api=1&amp;query=-30.8985693232319,-55.5377229044773" TargetMode="External"/><Relationship Id="rId2328" Type="http://schemas.openxmlformats.org/officeDocument/2006/relationships/hyperlink" Target="https://earth.google.com/web/search/-30.8985693232319,-55.5377229044773" TargetMode="External"/><Relationship Id="rId2329" Type="http://schemas.openxmlformats.org/officeDocument/2006/relationships/hyperlink" Target="https://www.google.com/maps/search/?api=1&amp;query=-30.8987288357909,-55.5379126881168" TargetMode="External"/><Relationship Id="rId646" Type="http://schemas.openxmlformats.org/officeDocument/2006/relationships/hyperlink" Target="https://earth.google.com/web/search/-30.9053686243651,-55.5413290437413" TargetMode="External"/><Relationship Id="rId645" Type="http://schemas.openxmlformats.org/officeDocument/2006/relationships/hyperlink" Target="https://www.google.com/maps/search/?api=1&amp;query=-30.9053686243651,-55.5413290437413" TargetMode="External"/><Relationship Id="rId644" Type="http://schemas.openxmlformats.org/officeDocument/2006/relationships/hyperlink" Target="https://earth.google.com/web/search/-30.9054446507661,-55.5413866791678" TargetMode="External"/><Relationship Id="rId643" Type="http://schemas.openxmlformats.org/officeDocument/2006/relationships/hyperlink" Target="https://www.google.com/maps/search/?api=1&amp;query=-30.9054446507661,-55.5413866791678" TargetMode="External"/><Relationship Id="rId649" Type="http://schemas.openxmlformats.org/officeDocument/2006/relationships/hyperlink" Target="https://www.google.com/maps/search/?api=1&amp;query=-30.9051985519487,-55.5412097203144" TargetMode="External"/><Relationship Id="rId648" Type="http://schemas.openxmlformats.org/officeDocument/2006/relationships/hyperlink" Target="https://earth.google.com/web/search/-30.9052612730484,-5.5541260518388" TargetMode="External"/><Relationship Id="rId647" Type="http://schemas.openxmlformats.org/officeDocument/2006/relationships/hyperlink" Target="https://www.google.com/maps/search/?api=1&amp;query=-30.9052612730484,-5.5541260518388" TargetMode="External"/><Relationship Id="rId1470" Type="http://schemas.openxmlformats.org/officeDocument/2006/relationships/hyperlink" Target="https://earth.google.com/web/search/-30.9010491315738,-55.5399211185105" TargetMode="External"/><Relationship Id="rId1471" Type="http://schemas.openxmlformats.org/officeDocument/2006/relationships/hyperlink" Target="https://www.google.com/maps/search/?api=1&amp;query=-30.9008613109668,-55.5402954521159" TargetMode="External"/><Relationship Id="rId1472" Type="http://schemas.openxmlformats.org/officeDocument/2006/relationships/hyperlink" Target="https://earth.google.com/web/search/-30.9008613109668,-55.5402954521159" TargetMode="External"/><Relationship Id="rId642" Type="http://schemas.openxmlformats.org/officeDocument/2006/relationships/hyperlink" Target="https://earth.google.com/web/search/-30.9053500941998,-55.5417197850295" TargetMode="External"/><Relationship Id="rId1473" Type="http://schemas.openxmlformats.org/officeDocument/2006/relationships/hyperlink" Target="https://www.google.com/maps/search/?api=1&amp;query=-30.9010945986135,-55.5406403752008" TargetMode="External"/><Relationship Id="rId2320" Type="http://schemas.openxmlformats.org/officeDocument/2006/relationships/hyperlink" Target="https://earth.google.com/web/search/-3.0898905563957,-55.5376327496054" TargetMode="External"/><Relationship Id="rId641" Type="http://schemas.openxmlformats.org/officeDocument/2006/relationships/hyperlink" Target="https://www.google.com/maps/search/?api=1&amp;query=-30.9053500941998,-55.5417197850295" TargetMode="External"/><Relationship Id="rId1474" Type="http://schemas.openxmlformats.org/officeDocument/2006/relationships/hyperlink" Target="https://earth.google.com/web/search/-30.9010945986135,-55.5406403752008" TargetMode="External"/><Relationship Id="rId2321" Type="http://schemas.openxmlformats.org/officeDocument/2006/relationships/hyperlink" Target="https://www.google.com/maps/search/?api=1&amp;query=-30.8988845223396,-55.5376936170822" TargetMode="External"/><Relationship Id="rId640" Type="http://schemas.openxmlformats.org/officeDocument/2006/relationships/hyperlink" Target="https://earth.google.com/web/search/-30.9052039276235,-55.5420035537721" TargetMode="External"/><Relationship Id="rId1475" Type="http://schemas.openxmlformats.org/officeDocument/2006/relationships/hyperlink" Target="https://www.google.com/maps/search/?api=1&amp;query=-30.9011988804168,-55.5407335549162" TargetMode="External"/><Relationship Id="rId2322" Type="http://schemas.openxmlformats.org/officeDocument/2006/relationships/hyperlink" Target="https://earth.google.com/web/search/-30.8988845223396,-55.5376936170822" TargetMode="External"/><Relationship Id="rId1476" Type="http://schemas.openxmlformats.org/officeDocument/2006/relationships/hyperlink" Target="https://earth.google.com/web/search/-30.9011988804168,-55.5407335549162" TargetMode="External"/><Relationship Id="rId2323" Type="http://schemas.openxmlformats.org/officeDocument/2006/relationships/hyperlink" Target="https://www.google.com/maps/search/?api=1&amp;query=-30.8978213878141,-55.5378815983536" TargetMode="External"/><Relationship Id="rId1466" Type="http://schemas.openxmlformats.org/officeDocument/2006/relationships/hyperlink" Target="https://earth.google.com/web/search/-30.9011001895947,-55.5397928019003" TargetMode="External"/><Relationship Id="rId2313" Type="http://schemas.openxmlformats.org/officeDocument/2006/relationships/hyperlink" Target="https://www.google.com/maps/search/?api=1&amp;query=-3.0899095688601,-55.5372942594293" TargetMode="External"/><Relationship Id="rId1467" Type="http://schemas.openxmlformats.org/officeDocument/2006/relationships/hyperlink" Target="https://www.google.com/maps/search/?api=1&amp;query=-30.9010646422396,-55.5398540948834" TargetMode="External"/><Relationship Id="rId2314" Type="http://schemas.openxmlformats.org/officeDocument/2006/relationships/hyperlink" Target="https://earth.google.com/web/search/-3.0899095688601,-55.5372942594293" TargetMode="External"/><Relationship Id="rId1468" Type="http://schemas.openxmlformats.org/officeDocument/2006/relationships/hyperlink" Target="https://earth.google.com/web/search/-30.9010646422396,-55.5398540948834" TargetMode="External"/><Relationship Id="rId2315" Type="http://schemas.openxmlformats.org/officeDocument/2006/relationships/hyperlink" Target="https://www.google.com/maps/search/?api=1&amp;query=-30.8989660222569,-55.5375333869465" TargetMode="External"/><Relationship Id="rId1469" Type="http://schemas.openxmlformats.org/officeDocument/2006/relationships/hyperlink" Target="https://www.google.com/maps/search/?api=1&amp;query=-30.9010491315738,-55.5399211185105" TargetMode="External"/><Relationship Id="rId2316" Type="http://schemas.openxmlformats.org/officeDocument/2006/relationships/hyperlink" Target="https://earth.google.com/web/search/-30.8989660222569,-55.5375333869465" TargetMode="External"/><Relationship Id="rId2317" Type="http://schemas.openxmlformats.org/officeDocument/2006/relationships/hyperlink" Target="https://www.google.com/maps/search/?api=1&amp;query=-30.8989415403517,-55.5375817879763" TargetMode="External"/><Relationship Id="rId2318" Type="http://schemas.openxmlformats.org/officeDocument/2006/relationships/hyperlink" Target="https://earth.google.com/web/search/-30.8989415403517,-55.5375817879763" TargetMode="External"/><Relationship Id="rId2319" Type="http://schemas.openxmlformats.org/officeDocument/2006/relationships/hyperlink" Target="https://www.google.com/maps/search/?api=1&amp;query=-3.0898905563957,-55.5376327496054" TargetMode="External"/><Relationship Id="rId635" Type="http://schemas.openxmlformats.org/officeDocument/2006/relationships/hyperlink" Target="https://www.google.com/maps/search/?api=1&amp;query=-30.9051399848699,-55.5421527632331" TargetMode="External"/><Relationship Id="rId634" Type="http://schemas.openxmlformats.org/officeDocument/2006/relationships/hyperlink" Target="https://earth.google.com/web/search/-30.9054183232992,-55.5411771760885" TargetMode="External"/><Relationship Id="rId633" Type="http://schemas.openxmlformats.org/officeDocument/2006/relationships/hyperlink" Target="https://www.google.com/maps/search/?api=1&amp;query=-30.9054183232992,-55.5411771760885" TargetMode="External"/><Relationship Id="rId632" Type="http://schemas.openxmlformats.org/officeDocument/2006/relationships/hyperlink" Target="https://earth.google.com/web/search/-30.9052746382386,-5.5541094776567" TargetMode="External"/><Relationship Id="rId639" Type="http://schemas.openxmlformats.org/officeDocument/2006/relationships/hyperlink" Target="https://www.google.com/maps/search/?api=1&amp;query=-30.9052039276235,-55.5420035537721" TargetMode="External"/><Relationship Id="rId638" Type="http://schemas.openxmlformats.org/officeDocument/2006/relationships/hyperlink" Target="https://earth.google.com/web/search/-30.9051793498489,-55.5420824983456" TargetMode="External"/><Relationship Id="rId637" Type="http://schemas.openxmlformats.org/officeDocument/2006/relationships/hyperlink" Target="https://www.google.com/maps/search/?api=1&amp;query=-30.9051793498489,-55.5420824983456" TargetMode="External"/><Relationship Id="rId636" Type="http://schemas.openxmlformats.org/officeDocument/2006/relationships/hyperlink" Target="https://earth.google.com/web/search/-30.9051399848699,-55.5421527632331" TargetMode="External"/><Relationship Id="rId1460" Type="http://schemas.openxmlformats.org/officeDocument/2006/relationships/hyperlink" Target="https://earth.google.com/web/search/-30.9017479364425,-55.5399857204751" TargetMode="External"/><Relationship Id="rId1461" Type="http://schemas.openxmlformats.org/officeDocument/2006/relationships/hyperlink" Target="https://www.google.com/maps/search/?api=1&amp;query=-30.9011705536877,-55.5396671350235" TargetMode="External"/><Relationship Id="rId631" Type="http://schemas.openxmlformats.org/officeDocument/2006/relationships/hyperlink" Target="https://www.google.com/maps/search/?api=1&amp;query=-30.9052746382386,-5.5541094776567" TargetMode="External"/><Relationship Id="rId1462" Type="http://schemas.openxmlformats.org/officeDocument/2006/relationships/hyperlink" Target="https://earth.google.com/web/search/-30.9011705536877,-55.5396671350235" TargetMode="External"/><Relationship Id="rId630" Type="http://schemas.openxmlformats.org/officeDocument/2006/relationships/hyperlink" Target="https://earth.google.com/web/search/-30.9049673803104,-55.5406190574741" TargetMode="External"/><Relationship Id="rId1463" Type="http://schemas.openxmlformats.org/officeDocument/2006/relationships/hyperlink" Target="https://www.google.com/maps/search/?api=1&amp;query=-30.9011374307161,-55.5397434598302" TargetMode="External"/><Relationship Id="rId2310" Type="http://schemas.openxmlformats.org/officeDocument/2006/relationships/hyperlink" Target="https://earth.google.com/web/search/-30.8991676513289,-55.5371408561324" TargetMode="External"/><Relationship Id="rId1464" Type="http://schemas.openxmlformats.org/officeDocument/2006/relationships/hyperlink" Target="https://earth.google.com/web/search/-30.9011374307161,-55.5397434598302" TargetMode="External"/><Relationship Id="rId2311" Type="http://schemas.openxmlformats.org/officeDocument/2006/relationships/hyperlink" Target="https://www.google.com/maps/search/?api=1&amp;query=-30.8991230350277,-55.5372274818883" TargetMode="External"/><Relationship Id="rId1465" Type="http://schemas.openxmlformats.org/officeDocument/2006/relationships/hyperlink" Target="https://www.google.com/maps/search/?api=1&amp;query=-30.9011001895947,-55.5397928019003" TargetMode="External"/><Relationship Id="rId2312" Type="http://schemas.openxmlformats.org/officeDocument/2006/relationships/hyperlink" Target="https://earth.google.com/web/search/-30.8991230350277,-55.5372274818883" TargetMode="External"/><Relationship Id="rId1411" Type="http://schemas.openxmlformats.org/officeDocument/2006/relationships/hyperlink" Target="https://www.google.com/maps/search/?api=1&amp;query=-30.9020776793623,-55.5397964802692" TargetMode="External"/><Relationship Id="rId1895" Type="http://schemas.openxmlformats.org/officeDocument/2006/relationships/hyperlink" Target="https://www.google.com/maps/search/?api=1&amp;query=-30.9000775505214,-55.5387884997875" TargetMode="External"/><Relationship Id="rId1412" Type="http://schemas.openxmlformats.org/officeDocument/2006/relationships/hyperlink" Target="https://earth.google.com/web/search/-30.9020776793623,-55.5397964802692" TargetMode="External"/><Relationship Id="rId1896" Type="http://schemas.openxmlformats.org/officeDocument/2006/relationships/hyperlink" Target="https://earth.google.com/web/search/-30.9000775505214,-55.5387884997875" TargetMode="External"/><Relationship Id="rId1413" Type="http://schemas.openxmlformats.org/officeDocument/2006/relationships/hyperlink" Target="https://www.google.com/maps/search/?api=1&amp;query=-30.9021996795404,-5.5539559598932" TargetMode="External"/><Relationship Id="rId1897" Type="http://schemas.openxmlformats.org/officeDocument/2006/relationships/hyperlink" Target="https://www.google.com/maps/search/?api=1&amp;query=-30.8998374180654,-55.5386262358135" TargetMode="External"/><Relationship Id="rId1414" Type="http://schemas.openxmlformats.org/officeDocument/2006/relationships/hyperlink" Target="https://earth.google.com/web/search/-30.9021996795404,-5.5539559598932" TargetMode="External"/><Relationship Id="rId1898" Type="http://schemas.openxmlformats.org/officeDocument/2006/relationships/hyperlink" Target="https://earth.google.com/web/search/-30.8998374180654,-55.5386262358135" TargetMode="External"/><Relationship Id="rId1415" Type="http://schemas.openxmlformats.org/officeDocument/2006/relationships/hyperlink" Target="https://www.google.com/maps/search/?api=1&amp;query=-30.9022787356864,-55.5393778717501" TargetMode="External"/><Relationship Id="rId1899" Type="http://schemas.openxmlformats.org/officeDocument/2006/relationships/hyperlink" Target="https://www.google.com/maps/search/?api=1&amp;query=-30.8997642775274,-55.5385667532391" TargetMode="External"/><Relationship Id="rId1416" Type="http://schemas.openxmlformats.org/officeDocument/2006/relationships/hyperlink" Target="https://earth.google.com/web/search/-30.9022787356864,-55.5393778717501" TargetMode="External"/><Relationship Id="rId1417" Type="http://schemas.openxmlformats.org/officeDocument/2006/relationships/hyperlink" Target="https://www.google.com/maps/search/?api=1&amp;query=-30.9023403640079,-55.5392846695893" TargetMode="External"/><Relationship Id="rId1418" Type="http://schemas.openxmlformats.org/officeDocument/2006/relationships/hyperlink" Target="https://earth.google.com/web/search/-30.9023403640079,-55.5392846695893" TargetMode="External"/><Relationship Id="rId1419" Type="http://schemas.openxmlformats.org/officeDocument/2006/relationships/hyperlink" Target="https://www.google.com/maps/search/?api=1&amp;query=-30.9023492193064,-55.5391606720855" TargetMode="External"/><Relationship Id="rId1890" Type="http://schemas.openxmlformats.org/officeDocument/2006/relationships/hyperlink" Target="https://earth.google.com/web/search/-30.9001525032218,-55.5393652745115" TargetMode="External"/><Relationship Id="rId1891" Type="http://schemas.openxmlformats.org/officeDocument/2006/relationships/hyperlink" Target="https://www.google.com/maps/search/?api=1&amp;query=-30.9002894677535,-55.5390964914278" TargetMode="External"/><Relationship Id="rId1892" Type="http://schemas.openxmlformats.org/officeDocument/2006/relationships/hyperlink" Target="https://earth.google.com/web/search/-30.9002894677535,-55.5390964914278" TargetMode="External"/><Relationship Id="rId1893" Type="http://schemas.openxmlformats.org/officeDocument/2006/relationships/hyperlink" Target="https://www.google.com/maps/search/?api=1&amp;query=-30.9001834697374,-55.5388765596125" TargetMode="External"/><Relationship Id="rId1410" Type="http://schemas.openxmlformats.org/officeDocument/2006/relationships/hyperlink" Target="https://earth.google.com/web/search/-30.9020138397592,-55.5399065892918" TargetMode="External"/><Relationship Id="rId1894" Type="http://schemas.openxmlformats.org/officeDocument/2006/relationships/hyperlink" Target="https://earth.google.com/web/search/-30.9001834697374,-55.5388765596125" TargetMode="External"/><Relationship Id="rId1400" Type="http://schemas.openxmlformats.org/officeDocument/2006/relationships/hyperlink" Target="https://earth.google.com/web/search/-30.9020145709715,-55.5388043783239" TargetMode="External"/><Relationship Id="rId1884" Type="http://schemas.openxmlformats.org/officeDocument/2006/relationships/hyperlink" Target="https://earth.google.com/web/search/-30.8998290904766,-55.5384856835822" TargetMode="External"/><Relationship Id="rId1401" Type="http://schemas.openxmlformats.org/officeDocument/2006/relationships/hyperlink" Target="https://www.google.com/maps/search/?api=1&amp;query=-30.9020686022361,-55.5388505259191" TargetMode="External"/><Relationship Id="rId1885" Type="http://schemas.openxmlformats.org/officeDocument/2006/relationships/hyperlink" Target="https://www.google.com/maps/search/?api=1&amp;query=-30.8998900272877,-55.5385360657719" TargetMode="External"/><Relationship Id="rId1402" Type="http://schemas.openxmlformats.org/officeDocument/2006/relationships/hyperlink" Target="https://earth.google.com/web/search/-30.9020686022361,-55.5388505259191" TargetMode="External"/><Relationship Id="rId1886" Type="http://schemas.openxmlformats.org/officeDocument/2006/relationships/hyperlink" Target="https://earth.google.com/web/search/-30.8998900272877,-55.5385360657719" TargetMode="External"/><Relationship Id="rId1403" Type="http://schemas.openxmlformats.org/officeDocument/2006/relationships/hyperlink" Target="https://www.google.com/maps/search/?api=1&amp;query=-30.9022840998387,-55.5389911653987" TargetMode="External"/><Relationship Id="rId1887" Type="http://schemas.openxmlformats.org/officeDocument/2006/relationships/hyperlink" Target="https://www.google.com/maps/search/?api=1&amp;query=-30.9001343877392,-55.5387103302341" TargetMode="External"/><Relationship Id="rId1404" Type="http://schemas.openxmlformats.org/officeDocument/2006/relationships/hyperlink" Target="https://earth.google.com/web/search/-30.9022840998387,-55.5389911653987" TargetMode="External"/><Relationship Id="rId1888" Type="http://schemas.openxmlformats.org/officeDocument/2006/relationships/hyperlink" Target="https://earth.google.com/web/search/-30.9001343877392,-55.5387103302341" TargetMode="External"/><Relationship Id="rId1405" Type="http://schemas.openxmlformats.org/officeDocument/2006/relationships/hyperlink" Target="https://www.google.com/maps/search/?api=1&amp;query=-30.9023392217684,-5.5539029170312" TargetMode="External"/><Relationship Id="rId1889" Type="http://schemas.openxmlformats.org/officeDocument/2006/relationships/hyperlink" Target="https://www.google.com/maps/search/?api=1&amp;query=-30.9001525032218,-55.5393652745115" TargetMode="External"/><Relationship Id="rId1406" Type="http://schemas.openxmlformats.org/officeDocument/2006/relationships/hyperlink" Target="https://earth.google.com/web/search/-30.9023392217684,-5.5539029170312" TargetMode="External"/><Relationship Id="rId1407" Type="http://schemas.openxmlformats.org/officeDocument/2006/relationships/hyperlink" Target="https://www.google.com/maps/search/?api=1&amp;query=-30.9023927489249,-55.5390659847576" TargetMode="External"/><Relationship Id="rId1408" Type="http://schemas.openxmlformats.org/officeDocument/2006/relationships/hyperlink" Target="https://earth.google.com/web/search/-30.9023927489249,-55.5390659847576" TargetMode="External"/><Relationship Id="rId1409" Type="http://schemas.openxmlformats.org/officeDocument/2006/relationships/hyperlink" Target="https://www.google.com/maps/search/?api=1&amp;query=-30.9020138397592,-55.5399065892918" TargetMode="External"/><Relationship Id="rId1880" Type="http://schemas.openxmlformats.org/officeDocument/2006/relationships/hyperlink" Target="https://earth.google.com/web/search/-30.8998420621342,-55.5381027416182" TargetMode="External"/><Relationship Id="rId1881" Type="http://schemas.openxmlformats.org/officeDocument/2006/relationships/hyperlink" Target="https://www.google.com/maps/search/?api=1&amp;query=-30.8997220013523,-55.5383236330599" TargetMode="External"/><Relationship Id="rId1882" Type="http://schemas.openxmlformats.org/officeDocument/2006/relationships/hyperlink" Target="https://earth.google.com/web/search/-30.8997220013523,-55.5383236330599" TargetMode="External"/><Relationship Id="rId1883" Type="http://schemas.openxmlformats.org/officeDocument/2006/relationships/hyperlink" Target="https://www.google.com/maps/search/?api=1&amp;query=-30.8998290904766,-55.5384856835822" TargetMode="External"/><Relationship Id="rId1433" Type="http://schemas.openxmlformats.org/officeDocument/2006/relationships/hyperlink" Target="https://www.google.com/maps/search/?api=1&amp;query=-30.9013575744303,-55.5395866235824" TargetMode="External"/><Relationship Id="rId1434" Type="http://schemas.openxmlformats.org/officeDocument/2006/relationships/hyperlink" Target="https://earth.google.com/web/search/-30.9013575744303,-55.5395866235824" TargetMode="External"/><Relationship Id="rId1435" Type="http://schemas.openxmlformats.org/officeDocument/2006/relationships/hyperlink" Target="https://www.google.com/maps/search/?api=1&amp;query=-3.0901426605857,-55.5396379239574" TargetMode="External"/><Relationship Id="rId1436" Type="http://schemas.openxmlformats.org/officeDocument/2006/relationships/hyperlink" Target="https://earth.google.com/web/search/-3.0901426605857,-55.5396379239574" TargetMode="External"/><Relationship Id="rId1437" Type="http://schemas.openxmlformats.org/officeDocument/2006/relationships/hyperlink" Target="https://www.google.com/maps/search/?api=1&amp;query=-3.0901633497186,-55.5397844930678" TargetMode="External"/><Relationship Id="rId1438" Type="http://schemas.openxmlformats.org/officeDocument/2006/relationships/hyperlink" Target="https://earth.google.com/web/search/-3.0901633497186,-55.5397844930678" TargetMode="External"/><Relationship Id="rId1439" Type="http://schemas.openxmlformats.org/officeDocument/2006/relationships/hyperlink" Target="https://www.google.com/maps/search/?api=1&amp;query=-30.9018518434791,-5.5539947490072" TargetMode="External"/><Relationship Id="rId609" Type="http://schemas.openxmlformats.org/officeDocument/2006/relationships/hyperlink" Target="https://www.google.com/maps/search/?api=1&amp;query=-30.9060164382167,-55.5403859297841" TargetMode="External"/><Relationship Id="rId608" Type="http://schemas.openxmlformats.org/officeDocument/2006/relationships/hyperlink" Target="https://earth.google.com/web/search/-30.9059089896194,-55.5403326338356" TargetMode="External"/><Relationship Id="rId607" Type="http://schemas.openxmlformats.org/officeDocument/2006/relationships/hyperlink" Target="https://www.google.com/maps/search/?api=1&amp;query=-30.9059089896194,-55.5403326338356" TargetMode="External"/><Relationship Id="rId602" Type="http://schemas.openxmlformats.org/officeDocument/2006/relationships/hyperlink" Target="https://earth.google.com/web/search/-30.9054333385751,-55.5399988482415" TargetMode="External"/><Relationship Id="rId601" Type="http://schemas.openxmlformats.org/officeDocument/2006/relationships/hyperlink" Target="https://www.google.com/maps/search/?api=1&amp;query=-30.9054333385751,-55.5399988482415" TargetMode="External"/><Relationship Id="rId600" Type="http://schemas.openxmlformats.org/officeDocument/2006/relationships/hyperlink" Target="https://earth.google.com/web/search/-30.9053901071008,-55.5399600013538" TargetMode="External"/><Relationship Id="rId606" Type="http://schemas.openxmlformats.org/officeDocument/2006/relationships/hyperlink" Target="https://earth.google.com/web/search/-30.9055715136713,-55.5400953798356" TargetMode="External"/><Relationship Id="rId605" Type="http://schemas.openxmlformats.org/officeDocument/2006/relationships/hyperlink" Target="https://www.google.com/maps/search/?api=1&amp;query=-30.9055715136713,-55.5400953798356" TargetMode="External"/><Relationship Id="rId604" Type="http://schemas.openxmlformats.org/officeDocument/2006/relationships/hyperlink" Target="https://earth.google.com/web/search/-30.9054860101883,-55.5400317227954" TargetMode="External"/><Relationship Id="rId603" Type="http://schemas.openxmlformats.org/officeDocument/2006/relationships/hyperlink" Target="https://www.google.com/maps/search/?api=1&amp;query=-30.9054860101883,-55.5400317227954" TargetMode="External"/><Relationship Id="rId1430" Type="http://schemas.openxmlformats.org/officeDocument/2006/relationships/hyperlink" Target="https://earth.google.com/web/search/-30.9016385482311,-55.5387917240969" TargetMode="External"/><Relationship Id="rId1431" Type="http://schemas.openxmlformats.org/officeDocument/2006/relationships/hyperlink" Target="https://www.google.com/maps/search/?api=1&amp;query=-30.9015352373003,-55.5390161209917" TargetMode="External"/><Relationship Id="rId1432" Type="http://schemas.openxmlformats.org/officeDocument/2006/relationships/hyperlink" Target="https://earth.google.com/web/search/-30.9015352373003,-55.5390161209917" TargetMode="External"/><Relationship Id="rId1422" Type="http://schemas.openxmlformats.org/officeDocument/2006/relationships/hyperlink" Target="https://earth.google.com/web/search/-30.9023059917539,-0.5553911770987" TargetMode="External"/><Relationship Id="rId1423" Type="http://schemas.openxmlformats.org/officeDocument/2006/relationships/hyperlink" Target="https://www.google.com/maps/search/?api=1&amp;query=-3.0902262492776,-55.5390934740265" TargetMode="External"/><Relationship Id="rId1424" Type="http://schemas.openxmlformats.org/officeDocument/2006/relationships/hyperlink" Target="https://earth.google.com/web/search/-3.0902262492776,-55.5390934740265" TargetMode="External"/><Relationship Id="rId1425" Type="http://schemas.openxmlformats.org/officeDocument/2006/relationships/hyperlink" Target="https://www.google.com/maps/search/?api=1&amp;query=-30.9022136146435,-0.5553903700089" TargetMode="External"/><Relationship Id="rId1426" Type="http://schemas.openxmlformats.org/officeDocument/2006/relationships/hyperlink" Target="https://earth.google.com/web/search/-30.9022136146435,-0.5553903700089" TargetMode="External"/><Relationship Id="rId1427" Type="http://schemas.openxmlformats.org/officeDocument/2006/relationships/hyperlink" Target="https://www.google.com/maps/search/?api=1&amp;query=-30.9019213075477,-55.5388593832133" TargetMode="External"/><Relationship Id="rId1428" Type="http://schemas.openxmlformats.org/officeDocument/2006/relationships/hyperlink" Target="https://earth.google.com/web/search/-30.9019213075477,-55.5388593832133" TargetMode="External"/><Relationship Id="rId1429" Type="http://schemas.openxmlformats.org/officeDocument/2006/relationships/hyperlink" Target="https://www.google.com/maps/search/?api=1&amp;query=-30.9016385482311,-55.5387917240969" TargetMode="External"/><Relationship Id="rId1420" Type="http://schemas.openxmlformats.org/officeDocument/2006/relationships/hyperlink" Target="https://earth.google.com/web/search/-30.9023492193064,-55.5391606720855" TargetMode="External"/><Relationship Id="rId1421" Type="http://schemas.openxmlformats.org/officeDocument/2006/relationships/hyperlink" Target="https://www.google.com/maps/search/?api=1&amp;query=-30.9023059917539,-0.5553911770987" TargetMode="External"/><Relationship Id="rId1059" Type="http://schemas.openxmlformats.org/officeDocument/2006/relationships/hyperlink" Target="https://www.google.com/maps/search/?api=1&amp;query=-30.9021687051545,-55.5418650087584" TargetMode="External"/><Relationship Id="rId228" Type="http://schemas.openxmlformats.org/officeDocument/2006/relationships/hyperlink" Target="https://earth.google.com/web/search/-30.9075560525513,-55.5417071480027" TargetMode="External"/><Relationship Id="rId227" Type="http://schemas.openxmlformats.org/officeDocument/2006/relationships/hyperlink" Target="https://www.google.com/maps/search/?api=1&amp;query=-30.9075560525513,-55.5417071480027" TargetMode="External"/><Relationship Id="rId226" Type="http://schemas.openxmlformats.org/officeDocument/2006/relationships/hyperlink" Target="https://earth.google.com/web/search/-30.9073788467952,-55.5419768985263" TargetMode="External"/><Relationship Id="rId225" Type="http://schemas.openxmlformats.org/officeDocument/2006/relationships/hyperlink" Target="https://www.google.com/maps/search/?api=1&amp;query=-30.9073788467952,-55.5419768985263" TargetMode="External"/><Relationship Id="rId2380" Type="http://schemas.openxmlformats.org/officeDocument/2006/relationships/hyperlink" Target="https://earth.google.com/web/search/-30.8964608884073,-55.5400177724684" TargetMode="External"/><Relationship Id="rId229" Type="http://schemas.openxmlformats.org/officeDocument/2006/relationships/hyperlink" Target="https://www.google.com/maps/search/?api=1&amp;query=-30.9074808501054,-55.5415616794236" TargetMode="External"/><Relationship Id="rId1050" Type="http://schemas.openxmlformats.org/officeDocument/2006/relationships/hyperlink" Target="https://earth.google.com/web/search/-30.9023820440549,-5.5541580003238" TargetMode="External"/><Relationship Id="rId2381" Type="http://schemas.openxmlformats.org/officeDocument/2006/relationships/hyperlink" Target="https://www.google.com/maps/search/?api=1&amp;query=-3.0896382073898,-55.5399623563855" TargetMode="External"/><Relationship Id="rId220" Type="http://schemas.openxmlformats.org/officeDocument/2006/relationships/hyperlink" Target="https://earth.google.com/web/search/-30.9071989906934,-55.5423655287161" TargetMode="External"/><Relationship Id="rId1051" Type="http://schemas.openxmlformats.org/officeDocument/2006/relationships/hyperlink" Target="https://www.google.com/maps/search/?api=1&amp;query=-30.9024629296681,-55.5416283402638" TargetMode="External"/><Relationship Id="rId2382" Type="http://schemas.openxmlformats.org/officeDocument/2006/relationships/hyperlink" Target="https://earth.google.com/web/search/-3.0896382073898,-55.5399623563855" TargetMode="External"/><Relationship Id="rId1052" Type="http://schemas.openxmlformats.org/officeDocument/2006/relationships/hyperlink" Target="https://earth.google.com/web/search/-30.9024629296681,-55.5416283402638" TargetMode="External"/><Relationship Id="rId2383" Type="http://schemas.openxmlformats.org/officeDocument/2006/relationships/hyperlink" Target="https://www.google.com/maps/search/?api=1&amp;query=-30.8959824700939,-5.5539667563207" TargetMode="External"/><Relationship Id="rId1053" Type="http://schemas.openxmlformats.org/officeDocument/2006/relationships/hyperlink" Target="https://www.google.com/maps/search/?api=1&amp;query=-30.9026224252644,-55.5417533400068" TargetMode="External"/><Relationship Id="rId2384" Type="http://schemas.openxmlformats.org/officeDocument/2006/relationships/hyperlink" Target="https://earth.google.com/web/search/-30.8959824700939,-5.5539667563207" TargetMode="External"/><Relationship Id="rId1054" Type="http://schemas.openxmlformats.org/officeDocument/2006/relationships/hyperlink" Target="https://earth.google.com/web/search/-30.9026224252644,-55.5417533400068" TargetMode="External"/><Relationship Id="rId2385" Type="http://schemas.openxmlformats.org/officeDocument/2006/relationships/hyperlink" Target="https://www.google.com/maps/search/?api=1&amp;query=-30.8957061253092,-55.5397995383739" TargetMode="External"/><Relationship Id="rId224" Type="http://schemas.openxmlformats.org/officeDocument/2006/relationships/hyperlink" Target="https://earth.google.com/web/search/-30.9073185301377,-55.5420835992101" TargetMode="External"/><Relationship Id="rId1055" Type="http://schemas.openxmlformats.org/officeDocument/2006/relationships/hyperlink" Target="https://www.google.com/maps/search/?api=1&amp;query=-3.0902744836358,-55.5418501485526" TargetMode="External"/><Relationship Id="rId2386" Type="http://schemas.openxmlformats.org/officeDocument/2006/relationships/hyperlink" Target="https://earth.google.com/web/search/-30.8957061253092,-55.5397995383739" TargetMode="External"/><Relationship Id="rId223" Type="http://schemas.openxmlformats.org/officeDocument/2006/relationships/hyperlink" Target="https://www.google.com/maps/search/?api=1&amp;query=-30.9073185301377,-55.5420835992101" TargetMode="External"/><Relationship Id="rId1056" Type="http://schemas.openxmlformats.org/officeDocument/2006/relationships/hyperlink" Target="https://earth.google.com/web/search/-3.0902744836358,-55.5418501485526" TargetMode="External"/><Relationship Id="rId2387" Type="http://schemas.openxmlformats.org/officeDocument/2006/relationships/hyperlink" Target="https://www.google.com/maps/search/?api=1&amp;query=-30.8956694474419,-55.5398756114676" TargetMode="External"/><Relationship Id="rId222" Type="http://schemas.openxmlformats.org/officeDocument/2006/relationships/hyperlink" Target="https://earth.google.com/web/search/-30.9072826555699,-55.5421998837116" TargetMode="External"/><Relationship Id="rId1057" Type="http://schemas.openxmlformats.org/officeDocument/2006/relationships/hyperlink" Target="https://www.google.com/maps/search/?api=1&amp;query=-30.9028720818583,-55.5419335603016" TargetMode="External"/><Relationship Id="rId2388" Type="http://schemas.openxmlformats.org/officeDocument/2006/relationships/hyperlink" Target="https://earth.google.com/web/search/-30.8956694474419,-55.5398756114676" TargetMode="External"/><Relationship Id="rId221" Type="http://schemas.openxmlformats.org/officeDocument/2006/relationships/hyperlink" Target="https://www.google.com/maps/search/?api=1&amp;query=-30.9072826555699,-55.5421998837116" TargetMode="External"/><Relationship Id="rId1058" Type="http://schemas.openxmlformats.org/officeDocument/2006/relationships/hyperlink" Target="https://earth.google.com/web/search/-30.9028720818583,-55.5419335603016" TargetMode="External"/><Relationship Id="rId2389" Type="http://schemas.openxmlformats.org/officeDocument/2006/relationships/hyperlink" Target="https://www.google.com/maps/search/?api=1&amp;query=-30.8956252327795,-5.5539955566932" TargetMode="External"/><Relationship Id="rId1048" Type="http://schemas.openxmlformats.org/officeDocument/2006/relationships/hyperlink" Target="https://earth.google.com/web/search/-30.9024886128444,-55.5412601598113" TargetMode="External"/><Relationship Id="rId2379" Type="http://schemas.openxmlformats.org/officeDocument/2006/relationships/hyperlink" Target="https://www.google.com/maps/search/?api=1&amp;query=-30.8964608884073,-55.5400177724684" TargetMode="External"/><Relationship Id="rId1049" Type="http://schemas.openxmlformats.org/officeDocument/2006/relationships/hyperlink" Target="https://www.google.com/maps/search/?api=1&amp;query=-30.9023820440549,-5.5541580003238" TargetMode="External"/><Relationship Id="rId217" Type="http://schemas.openxmlformats.org/officeDocument/2006/relationships/hyperlink" Target="https://www.google.com/maps/search/?api=1&amp;query=-30.9071660855945,-55.5424374384029" TargetMode="External"/><Relationship Id="rId216" Type="http://schemas.openxmlformats.org/officeDocument/2006/relationships/hyperlink" Target="https://earth.google.com/web/search/-3.0907376247694,-55.5413846425436" TargetMode="External"/><Relationship Id="rId215" Type="http://schemas.openxmlformats.org/officeDocument/2006/relationships/hyperlink" Target="https://www.google.com/maps/search/?api=1&amp;query=-3.0907376247694,-55.5413846425436" TargetMode="External"/><Relationship Id="rId699" Type="http://schemas.openxmlformats.org/officeDocument/2006/relationships/hyperlink" Target="https://www.google.com/maps/search/?api=1&amp;query=-30.9042841450238,-55.5429187468875" TargetMode="External"/><Relationship Id="rId214" Type="http://schemas.openxmlformats.org/officeDocument/2006/relationships/hyperlink" Target="https://earth.google.com/web/search/-30.9073082058847,-55.5413254609809" TargetMode="External"/><Relationship Id="rId698" Type="http://schemas.openxmlformats.org/officeDocument/2006/relationships/hyperlink" Target="https://earth.google.com/web/search/-30.9041010743295,-55.5427828308487" TargetMode="External"/><Relationship Id="rId219" Type="http://schemas.openxmlformats.org/officeDocument/2006/relationships/hyperlink" Target="https://www.google.com/maps/search/?api=1&amp;query=-30.9071989906934,-55.5423655287161" TargetMode="External"/><Relationship Id="rId218" Type="http://schemas.openxmlformats.org/officeDocument/2006/relationships/hyperlink" Target="https://earth.google.com/web/search/-30.9071660855945,-55.5424374384029" TargetMode="External"/><Relationship Id="rId2370" Type="http://schemas.openxmlformats.org/officeDocument/2006/relationships/hyperlink" Target="https://earth.google.com/web/search/-3.0897229323636,-55.5407773038706" TargetMode="External"/><Relationship Id="rId693" Type="http://schemas.openxmlformats.org/officeDocument/2006/relationships/hyperlink" Target="https://www.google.com/maps/search/?api=1&amp;query=-30.9042837749579,-55.5419447845243" TargetMode="External"/><Relationship Id="rId1040" Type="http://schemas.openxmlformats.org/officeDocument/2006/relationships/hyperlink" Target="https://earth.google.com/web/search/-30.9032810242142,-55.5416237848488" TargetMode="External"/><Relationship Id="rId2371" Type="http://schemas.openxmlformats.org/officeDocument/2006/relationships/hyperlink" Target="https://www.google.com/maps/search/?api=1&amp;query=-30.8972645279557,-5.5540726310351" TargetMode="External"/><Relationship Id="rId692" Type="http://schemas.openxmlformats.org/officeDocument/2006/relationships/hyperlink" Target="https://earth.google.com/web/search/-3.0904314674594,-55.5418776516648" TargetMode="External"/><Relationship Id="rId1041" Type="http://schemas.openxmlformats.org/officeDocument/2006/relationships/hyperlink" Target="https://www.google.com/maps/search/?api=1&amp;query=-3.0903307677808,-55.5415318356761" TargetMode="External"/><Relationship Id="rId2372" Type="http://schemas.openxmlformats.org/officeDocument/2006/relationships/hyperlink" Target="https://earth.google.com/web/search/-30.8972645279557,-5.5540726310351" TargetMode="External"/><Relationship Id="rId691" Type="http://schemas.openxmlformats.org/officeDocument/2006/relationships/hyperlink" Target="https://www.google.com/maps/search/?api=1&amp;query=-3.0904314674594,-55.5418776516648" TargetMode="External"/><Relationship Id="rId1042" Type="http://schemas.openxmlformats.org/officeDocument/2006/relationships/hyperlink" Target="https://earth.google.com/web/search/-3.0903307677808,-55.5415318356761" TargetMode="External"/><Relationship Id="rId2373" Type="http://schemas.openxmlformats.org/officeDocument/2006/relationships/hyperlink" Target="https://www.google.com/maps/search/?api=1&amp;query=-30.8968985342964,-55.5403285936311" TargetMode="External"/><Relationship Id="rId690" Type="http://schemas.openxmlformats.org/officeDocument/2006/relationships/hyperlink" Target="https://earth.google.com/web/search/-30.9043959960227,-5.5541851208749" TargetMode="External"/><Relationship Id="rId1043" Type="http://schemas.openxmlformats.org/officeDocument/2006/relationships/hyperlink" Target="https://www.google.com/maps/search/?api=1&amp;query=-30.9033918459076,-55.5413866578831" TargetMode="External"/><Relationship Id="rId2374" Type="http://schemas.openxmlformats.org/officeDocument/2006/relationships/hyperlink" Target="https://earth.google.com/web/search/-30.8968985342964,-55.5403285936311" TargetMode="External"/><Relationship Id="rId213" Type="http://schemas.openxmlformats.org/officeDocument/2006/relationships/hyperlink" Target="https://www.google.com/maps/search/?api=1&amp;query=-30.9073082058847,-55.5413254609809" TargetMode="External"/><Relationship Id="rId697" Type="http://schemas.openxmlformats.org/officeDocument/2006/relationships/hyperlink" Target="https://www.google.com/maps/search/?api=1&amp;query=-30.9041010743295,-55.5427828308487" TargetMode="External"/><Relationship Id="rId1044" Type="http://schemas.openxmlformats.org/officeDocument/2006/relationships/hyperlink" Target="https://earth.google.com/web/search/-30.9033918459076,-55.5413866578831" TargetMode="External"/><Relationship Id="rId2375" Type="http://schemas.openxmlformats.org/officeDocument/2006/relationships/hyperlink" Target="https://www.google.com/maps/search/?api=1&amp;query=-30.8964131194391,-55.5405351591686" TargetMode="External"/><Relationship Id="rId212" Type="http://schemas.openxmlformats.org/officeDocument/2006/relationships/hyperlink" Target="https://earth.google.com/web/search/-30.9072305884691,-55.5412632763912" TargetMode="External"/><Relationship Id="rId696" Type="http://schemas.openxmlformats.org/officeDocument/2006/relationships/hyperlink" Target="https://earth.google.com/web/search/-30.9041168897273,-55.5422359315958" TargetMode="External"/><Relationship Id="rId1045" Type="http://schemas.openxmlformats.org/officeDocument/2006/relationships/hyperlink" Target="https://www.google.com/maps/search/?api=1&amp;query=-30.9028890138837,-55.5407855688435" TargetMode="External"/><Relationship Id="rId2376" Type="http://schemas.openxmlformats.org/officeDocument/2006/relationships/hyperlink" Target="https://earth.google.com/web/search/-30.8964131194391,-55.5405351591686" TargetMode="External"/><Relationship Id="rId211" Type="http://schemas.openxmlformats.org/officeDocument/2006/relationships/hyperlink" Target="https://www.google.com/maps/search/?api=1&amp;query=-30.9072305884691,-55.5412632763912" TargetMode="External"/><Relationship Id="rId695" Type="http://schemas.openxmlformats.org/officeDocument/2006/relationships/hyperlink" Target="https://www.google.com/maps/search/?api=1&amp;query=-30.9041168897273,-55.5422359315958" TargetMode="External"/><Relationship Id="rId1046" Type="http://schemas.openxmlformats.org/officeDocument/2006/relationships/hyperlink" Target="https://earth.google.com/web/search/-30.9028890138837,-55.5407855688435" TargetMode="External"/><Relationship Id="rId2377" Type="http://schemas.openxmlformats.org/officeDocument/2006/relationships/hyperlink" Target="https://www.google.com/maps/search/?api=1&amp;query=-3.0896356071356,-55.5405933663536" TargetMode="External"/><Relationship Id="rId210" Type="http://schemas.openxmlformats.org/officeDocument/2006/relationships/hyperlink" Target="https://earth.google.com/web/search/-30.9070558560666,-55.5411452752246" TargetMode="External"/><Relationship Id="rId694" Type="http://schemas.openxmlformats.org/officeDocument/2006/relationships/hyperlink" Target="https://earth.google.com/web/search/-30.9042837749579,-55.5419447845243" TargetMode="External"/><Relationship Id="rId1047" Type="http://schemas.openxmlformats.org/officeDocument/2006/relationships/hyperlink" Target="https://www.google.com/maps/search/?api=1&amp;query=-30.9024886128444,-55.5412601598113" TargetMode="External"/><Relationship Id="rId2378" Type="http://schemas.openxmlformats.org/officeDocument/2006/relationships/hyperlink" Target="https://earth.google.com/web/search/-3.0896356071356,-55.5405933663536" TargetMode="External"/><Relationship Id="rId249" Type="http://schemas.openxmlformats.org/officeDocument/2006/relationships/hyperlink" Target="https://www.google.com/maps/search/?api=1&amp;query=-30.9066752264756,-55.5421384867914" TargetMode="External"/><Relationship Id="rId248" Type="http://schemas.openxmlformats.org/officeDocument/2006/relationships/hyperlink" Target="https://earth.google.com/web/search/-30.9066131574446,-55.5420912896984" TargetMode="External"/><Relationship Id="rId247" Type="http://schemas.openxmlformats.org/officeDocument/2006/relationships/hyperlink" Target="https://www.google.com/maps/search/?api=1&amp;query=-30.9066131574446,-55.5420912896984" TargetMode="External"/><Relationship Id="rId1070" Type="http://schemas.openxmlformats.org/officeDocument/2006/relationships/hyperlink" Target="https://earth.google.com/web/search/-30.9021767329656,-55.5436577188435" TargetMode="External"/><Relationship Id="rId1071" Type="http://schemas.openxmlformats.org/officeDocument/2006/relationships/hyperlink" Target="https://www.google.com/maps/search/?api=1&amp;query=-3.0902209144374,-55.5435930602165" TargetMode="External"/><Relationship Id="rId1072" Type="http://schemas.openxmlformats.org/officeDocument/2006/relationships/hyperlink" Target="https://earth.google.com/web/search/-3.0902209144374,-55.5435930602165" TargetMode="External"/><Relationship Id="rId242" Type="http://schemas.openxmlformats.org/officeDocument/2006/relationships/hyperlink" Target="https://earth.google.com/web/search/-30.9065538201557,-55.5417060258737" TargetMode="External"/><Relationship Id="rId1073" Type="http://schemas.openxmlformats.org/officeDocument/2006/relationships/hyperlink" Target="https://www.google.com/maps/search/?api=1&amp;query=-30.9023297623017,-5.5543381311488" TargetMode="External"/><Relationship Id="rId241" Type="http://schemas.openxmlformats.org/officeDocument/2006/relationships/hyperlink" Target="https://www.google.com/maps/search/?api=1&amp;query=-30.9065538201557,-55.5417060258737" TargetMode="External"/><Relationship Id="rId1074" Type="http://schemas.openxmlformats.org/officeDocument/2006/relationships/hyperlink" Target="https://earth.google.com/web/search/-30.9023297623017,-5.5543381311488" TargetMode="External"/><Relationship Id="rId240" Type="http://schemas.openxmlformats.org/officeDocument/2006/relationships/hyperlink" Target="https://earth.google.com/web/search/-30.9066044291266,-55.5416577539524" TargetMode="External"/><Relationship Id="rId1075" Type="http://schemas.openxmlformats.org/officeDocument/2006/relationships/hyperlink" Target="https://www.google.com/maps/search/?api=1&amp;query=-30.9024001121228,-55.5432733986538" TargetMode="External"/><Relationship Id="rId1076" Type="http://schemas.openxmlformats.org/officeDocument/2006/relationships/hyperlink" Target="https://earth.google.com/web/search/-30.9024001121228,-55.5432733986538" TargetMode="External"/><Relationship Id="rId246" Type="http://schemas.openxmlformats.org/officeDocument/2006/relationships/hyperlink" Target="https://earth.google.com/web/search/-30.9065464397735,-55.5420415066904" TargetMode="External"/><Relationship Id="rId1077" Type="http://schemas.openxmlformats.org/officeDocument/2006/relationships/hyperlink" Target="https://www.google.com/maps/search/?api=1&amp;query=-30.9022903510723,-55.5429020086487" TargetMode="External"/><Relationship Id="rId245" Type="http://schemas.openxmlformats.org/officeDocument/2006/relationships/hyperlink" Target="https://www.google.com/maps/search/?api=1&amp;query=-30.9065464397735,-55.5420415066904" TargetMode="External"/><Relationship Id="rId1078" Type="http://schemas.openxmlformats.org/officeDocument/2006/relationships/hyperlink" Target="https://earth.google.com/web/search/-30.9022903510723,-55.5429020086487" TargetMode="External"/><Relationship Id="rId244" Type="http://schemas.openxmlformats.org/officeDocument/2006/relationships/hyperlink" Target="https://earth.google.com/web/search/-30.9065049584438,-55.5418302601226" TargetMode="External"/><Relationship Id="rId1079" Type="http://schemas.openxmlformats.org/officeDocument/2006/relationships/hyperlink" Target="https://www.google.com/maps/search/?api=1&amp;query=-3.0902052610761,-55.5427497140009" TargetMode="External"/><Relationship Id="rId243" Type="http://schemas.openxmlformats.org/officeDocument/2006/relationships/hyperlink" Target="https://www.google.com/maps/search/?api=1&amp;query=-30.9065049584438,-55.5418302601226" TargetMode="External"/><Relationship Id="rId239" Type="http://schemas.openxmlformats.org/officeDocument/2006/relationships/hyperlink" Target="https://www.google.com/maps/search/?api=1&amp;query=-30.9066044291266,-55.5416577539524" TargetMode="External"/><Relationship Id="rId238" Type="http://schemas.openxmlformats.org/officeDocument/2006/relationships/hyperlink" Target="https://earth.google.com/web/search/-3.0906678637395,-55.5415173134342" TargetMode="External"/><Relationship Id="rId237" Type="http://schemas.openxmlformats.org/officeDocument/2006/relationships/hyperlink" Target="https://www.google.com/maps/search/?api=1&amp;query=-3.0906678637395,-55.5415173134342" TargetMode="External"/><Relationship Id="rId236" Type="http://schemas.openxmlformats.org/officeDocument/2006/relationships/hyperlink" Target="https://earth.google.com/web/search/-30.9068328838872,-55.5412185653706" TargetMode="External"/><Relationship Id="rId2390" Type="http://schemas.openxmlformats.org/officeDocument/2006/relationships/hyperlink" Target="https://earth.google.com/web/search/-30.8956252327795,-5.5539955566932" TargetMode="External"/><Relationship Id="rId1060" Type="http://schemas.openxmlformats.org/officeDocument/2006/relationships/hyperlink" Target="https://earth.google.com/web/search/-30.9021687051545,-55.5418650087584" TargetMode="External"/><Relationship Id="rId2391" Type="http://schemas.openxmlformats.org/officeDocument/2006/relationships/hyperlink" Target="https://www.google.com/maps/search/?api=1&amp;query=-30.8955898763763,-55.5405384285285" TargetMode="External"/><Relationship Id="rId1061" Type="http://schemas.openxmlformats.org/officeDocument/2006/relationships/hyperlink" Target="https://www.google.com/maps/search/?api=1&amp;query=-30.9021055447989,-55.5420004429963" TargetMode="External"/><Relationship Id="rId2392" Type="http://schemas.openxmlformats.org/officeDocument/2006/relationships/hyperlink" Target="https://earth.google.com/web/search/-30.8955898763763,-55.5405384285285" TargetMode="External"/><Relationship Id="rId231" Type="http://schemas.openxmlformats.org/officeDocument/2006/relationships/hyperlink" Target="https://www.google.com/maps/search/?api=1&amp;query=-30.9073794921217,-55.5414928264528" TargetMode="External"/><Relationship Id="rId1062" Type="http://schemas.openxmlformats.org/officeDocument/2006/relationships/hyperlink" Target="https://earth.google.com/web/search/-30.9021055447989,-55.5420004429963" TargetMode="External"/><Relationship Id="rId2393" Type="http://schemas.openxmlformats.org/officeDocument/2006/relationships/hyperlink" Target="https://www.google.com/maps/search/?api=1&amp;query=-30.8957049527095,-55.5405880340023" TargetMode="External"/><Relationship Id="rId230" Type="http://schemas.openxmlformats.org/officeDocument/2006/relationships/hyperlink" Target="https://earth.google.com/web/search/-30.9074808501054,-55.5415616794236" TargetMode="External"/><Relationship Id="rId1063" Type="http://schemas.openxmlformats.org/officeDocument/2006/relationships/hyperlink" Target="https://www.google.com/maps/search/?api=1&amp;query=-30.9020140112634,-55.5426093279781" TargetMode="External"/><Relationship Id="rId2394" Type="http://schemas.openxmlformats.org/officeDocument/2006/relationships/hyperlink" Target="https://earth.google.com/web/search/-30.8957049527095,-55.5405880340023" TargetMode="External"/><Relationship Id="rId1064" Type="http://schemas.openxmlformats.org/officeDocument/2006/relationships/hyperlink" Target="https://earth.google.com/web/search/-30.9020140112634,-55.5426093279781" TargetMode="External"/><Relationship Id="rId2395" Type="http://schemas.openxmlformats.org/officeDocument/2006/relationships/hyperlink" Target="https://www.google.com/maps/search/?api=1&amp;query=-30.8958884445048,-55.5407239257782" TargetMode="External"/><Relationship Id="rId1065" Type="http://schemas.openxmlformats.org/officeDocument/2006/relationships/hyperlink" Target="https://www.google.com/maps/search/?api=1&amp;query=-30.9024423717326,-55.5429175952142" TargetMode="External"/><Relationship Id="rId2396" Type="http://schemas.openxmlformats.org/officeDocument/2006/relationships/hyperlink" Target="https://earth.google.com/web/search/-30.8958884445048,-55.5407239257782" TargetMode="External"/><Relationship Id="rId235" Type="http://schemas.openxmlformats.org/officeDocument/2006/relationships/hyperlink" Target="https://www.google.com/maps/search/?api=1&amp;query=-30.9068328838872,-55.5412185653706" TargetMode="External"/><Relationship Id="rId1066" Type="http://schemas.openxmlformats.org/officeDocument/2006/relationships/hyperlink" Target="https://earth.google.com/web/search/-30.9024423717326,-55.5429175952142" TargetMode="External"/><Relationship Id="rId2397" Type="http://schemas.openxmlformats.org/officeDocument/2006/relationships/hyperlink" Target="https://www.google.com/maps/search/?api=1&amp;query=-30.8960589727538,-55.5408440783611" TargetMode="External"/><Relationship Id="rId234" Type="http://schemas.openxmlformats.org/officeDocument/2006/relationships/hyperlink" Target="https://earth.google.com/web/search/-30.9070542042801,-55.5412822626966" TargetMode="External"/><Relationship Id="rId1067" Type="http://schemas.openxmlformats.org/officeDocument/2006/relationships/hyperlink" Target="https://www.google.com/maps/search/?api=1&amp;query=-30.9021350449623,-55.5437515269222" TargetMode="External"/><Relationship Id="rId2398" Type="http://schemas.openxmlformats.org/officeDocument/2006/relationships/hyperlink" Target="https://earth.google.com/web/search/-30.8960589727538,-55.5408440783611" TargetMode="External"/><Relationship Id="rId233" Type="http://schemas.openxmlformats.org/officeDocument/2006/relationships/hyperlink" Target="https://www.google.com/maps/search/?api=1&amp;query=-30.9070542042801,-55.5412822626966" TargetMode="External"/><Relationship Id="rId1068" Type="http://schemas.openxmlformats.org/officeDocument/2006/relationships/hyperlink" Target="https://earth.google.com/web/search/-30.9021350449623,-55.5437515269222" TargetMode="External"/><Relationship Id="rId2399" Type="http://schemas.openxmlformats.org/officeDocument/2006/relationships/hyperlink" Target="https://www.google.com/maps/search/?api=1&amp;query=-30.8961490775822,-55.5408290258412" TargetMode="External"/><Relationship Id="rId232" Type="http://schemas.openxmlformats.org/officeDocument/2006/relationships/hyperlink" Target="https://earth.google.com/web/search/-30.9073794921217,-55.5414928264528" TargetMode="External"/><Relationship Id="rId1069" Type="http://schemas.openxmlformats.org/officeDocument/2006/relationships/hyperlink" Target="https://www.google.com/maps/search/?api=1&amp;query=-30.9021767329656,-55.5436577188435" TargetMode="External"/><Relationship Id="rId1015" Type="http://schemas.openxmlformats.org/officeDocument/2006/relationships/hyperlink" Target="https://www.google.com/maps/search/?api=1&amp;query=-30.9035803907235,-55.5400592483037" TargetMode="External"/><Relationship Id="rId1499" Type="http://schemas.openxmlformats.org/officeDocument/2006/relationships/hyperlink" Target="https://www.google.com/maps/search/?api=1&amp;query=-30.9005523937325,-55.5426595109627" TargetMode="External"/><Relationship Id="rId2346" Type="http://schemas.openxmlformats.org/officeDocument/2006/relationships/hyperlink" Target="https://earth.google.com/web/search/-30.8972337829006,-55.5393284620067" TargetMode="External"/><Relationship Id="rId1016" Type="http://schemas.openxmlformats.org/officeDocument/2006/relationships/hyperlink" Target="https://earth.google.com/web/search/-30.9035803907235,-55.5400592483037" TargetMode="External"/><Relationship Id="rId2347" Type="http://schemas.openxmlformats.org/officeDocument/2006/relationships/hyperlink" Target="https://www.google.com/maps/search/?api=1&amp;query=-30.8973076179056,-55.5393588240591" TargetMode="External"/><Relationship Id="rId1017" Type="http://schemas.openxmlformats.org/officeDocument/2006/relationships/hyperlink" Target="https://www.google.com/maps/search/?api=1&amp;query=-30.9034730285332,-55.5399916402168" TargetMode="External"/><Relationship Id="rId2348" Type="http://schemas.openxmlformats.org/officeDocument/2006/relationships/hyperlink" Target="https://earth.google.com/web/search/-30.8973076179056,-55.5393588240591" TargetMode="External"/><Relationship Id="rId1018" Type="http://schemas.openxmlformats.org/officeDocument/2006/relationships/hyperlink" Target="https://earth.google.com/web/search/-30.9034730285332,-55.5399916402168" TargetMode="External"/><Relationship Id="rId2349" Type="http://schemas.openxmlformats.org/officeDocument/2006/relationships/hyperlink" Target="https://www.google.com/maps/search/?api=1&amp;query=-30.8976901340647,-55.5399363732784" TargetMode="External"/><Relationship Id="rId1019" Type="http://schemas.openxmlformats.org/officeDocument/2006/relationships/hyperlink" Target="https://www.google.com/maps/search/?api=1&amp;query=-30.9033373521162,-55.5398665485639" TargetMode="External"/><Relationship Id="rId668" Type="http://schemas.openxmlformats.org/officeDocument/2006/relationships/hyperlink" Target="https://earth.google.com/web/search/-30.9045438144544,-55.5418664125918" TargetMode="External"/><Relationship Id="rId667" Type="http://schemas.openxmlformats.org/officeDocument/2006/relationships/hyperlink" Target="https://www.google.com/maps/search/?api=1&amp;query=-30.9045438144544,-55.5418664125918" TargetMode="External"/><Relationship Id="rId666" Type="http://schemas.openxmlformats.org/officeDocument/2006/relationships/hyperlink" Target="https://earth.google.com/web/search/-30.9044694481377,-55.5418272342287" TargetMode="External"/><Relationship Id="rId665" Type="http://schemas.openxmlformats.org/officeDocument/2006/relationships/hyperlink" Target="https://www.google.com/maps/search/?api=1&amp;query=-30.9044694481377,-55.5418272342287" TargetMode="External"/><Relationship Id="rId669" Type="http://schemas.openxmlformats.org/officeDocument/2006/relationships/hyperlink" Target="https://www.google.com/maps/search/?api=1&amp;query=-30.9047700703388,-55.5420156609027" TargetMode="External"/><Relationship Id="rId1490" Type="http://schemas.openxmlformats.org/officeDocument/2006/relationships/hyperlink" Target="https://earth.google.com/web/search/-30.9013429249957,-55.5409886992976" TargetMode="External"/><Relationship Id="rId660" Type="http://schemas.openxmlformats.org/officeDocument/2006/relationships/hyperlink" Target="https://earth.google.com/web/search/-30.9045498284703,-55.5414614461382" TargetMode="External"/><Relationship Id="rId1491" Type="http://schemas.openxmlformats.org/officeDocument/2006/relationships/hyperlink" Target="https://www.google.com/maps/search/?api=1&amp;query=-0.3090102528128,-55.5407569898825" TargetMode="External"/><Relationship Id="rId1492" Type="http://schemas.openxmlformats.org/officeDocument/2006/relationships/hyperlink" Target="https://earth.google.com/web/search/-0.3090102528128,-55.5407569898825" TargetMode="External"/><Relationship Id="rId1493" Type="http://schemas.openxmlformats.org/officeDocument/2006/relationships/hyperlink" Target="https://www.google.com/maps/search/?api=1&amp;query=-30.9004848893337,-55.5410155165824" TargetMode="External"/><Relationship Id="rId2340" Type="http://schemas.openxmlformats.org/officeDocument/2006/relationships/hyperlink" Target="https://earth.google.com/web/search/-30.8977832569225,-55.5395537839099" TargetMode="External"/><Relationship Id="rId1010" Type="http://schemas.openxmlformats.org/officeDocument/2006/relationships/hyperlink" Target="https://earth.google.com/web/search/-3.0903733406014,-5.5540761634766" TargetMode="External"/><Relationship Id="rId1494" Type="http://schemas.openxmlformats.org/officeDocument/2006/relationships/hyperlink" Target="https://earth.google.com/web/search/-30.9004848893337,-55.5410155165824" TargetMode="External"/><Relationship Id="rId2341" Type="http://schemas.openxmlformats.org/officeDocument/2006/relationships/hyperlink" Target="https://www.google.com/maps/search/?api=1&amp;query=-30.8978977748816,-55.5395250873687" TargetMode="External"/><Relationship Id="rId664" Type="http://schemas.openxmlformats.org/officeDocument/2006/relationships/hyperlink" Target="https://earth.google.com/web/search/-30.9044132660658,-5.5541681582919" TargetMode="External"/><Relationship Id="rId1011" Type="http://schemas.openxmlformats.org/officeDocument/2006/relationships/hyperlink" Target="https://www.google.com/maps/search/?api=1&amp;query=-3.0903801809394,-55.5406105990454" TargetMode="External"/><Relationship Id="rId1495" Type="http://schemas.openxmlformats.org/officeDocument/2006/relationships/hyperlink" Target="https://www.google.com/maps/search/?api=1&amp;query=-3.0900334628806,-55.5412922810727" TargetMode="External"/><Relationship Id="rId2342" Type="http://schemas.openxmlformats.org/officeDocument/2006/relationships/hyperlink" Target="https://earth.google.com/web/search/-30.8978977748816,-55.5395250873687" TargetMode="External"/><Relationship Id="rId663" Type="http://schemas.openxmlformats.org/officeDocument/2006/relationships/hyperlink" Target="https://www.google.com/maps/search/?api=1&amp;query=-30.9044132660658,-5.5541681582919" TargetMode="External"/><Relationship Id="rId1012" Type="http://schemas.openxmlformats.org/officeDocument/2006/relationships/hyperlink" Target="https://earth.google.com/web/search/-3.0903801809394,-55.5406105990454" TargetMode="External"/><Relationship Id="rId1496" Type="http://schemas.openxmlformats.org/officeDocument/2006/relationships/hyperlink" Target="https://earth.google.com/web/search/-3.0900334628806,-55.5412922810727" TargetMode="External"/><Relationship Id="rId2343" Type="http://schemas.openxmlformats.org/officeDocument/2006/relationships/hyperlink" Target="https://www.google.com/maps/search/?api=1&amp;query=-0.3089720011116,-5.5539287761384" TargetMode="External"/><Relationship Id="rId662" Type="http://schemas.openxmlformats.org/officeDocument/2006/relationships/hyperlink" Target="https://earth.google.com/web/search/-30.9044570386678,-55.5415908833544" TargetMode="External"/><Relationship Id="rId1013" Type="http://schemas.openxmlformats.org/officeDocument/2006/relationships/hyperlink" Target="https://www.google.com/maps/search/?api=1&amp;query=-3.0903736928207,-55.5401578234296" TargetMode="External"/><Relationship Id="rId1497" Type="http://schemas.openxmlformats.org/officeDocument/2006/relationships/hyperlink" Target="https://www.google.com/maps/search/?api=1&amp;query=-30.9006926934901,-5.5541659611762" TargetMode="External"/><Relationship Id="rId2344" Type="http://schemas.openxmlformats.org/officeDocument/2006/relationships/hyperlink" Target="https://earth.google.com/web/search/-0.3089720011116,-5.5539287761384" TargetMode="External"/><Relationship Id="rId661" Type="http://schemas.openxmlformats.org/officeDocument/2006/relationships/hyperlink" Target="https://www.google.com/maps/search/?api=1&amp;query=-30.9044570386678,-55.5415908833544" TargetMode="External"/><Relationship Id="rId1014" Type="http://schemas.openxmlformats.org/officeDocument/2006/relationships/hyperlink" Target="https://earth.google.com/web/search/-3.0903736928207,-55.5401578234296" TargetMode="External"/><Relationship Id="rId1498" Type="http://schemas.openxmlformats.org/officeDocument/2006/relationships/hyperlink" Target="https://earth.google.com/web/search/-30.9006926934901,-5.5541659611762" TargetMode="External"/><Relationship Id="rId2345" Type="http://schemas.openxmlformats.org/officeDocument/2006/relationships/hyperlink" Target="https://www.google.com/maps/search/?api=1&amp;query=-30.8972337829006,-55.5393284620067" TargetMode="External"/><Relationship Id="rId1004" Type="http://schemas.openxmlformats.org/officeDocument/2006/relationships/hyperlink" Target="https://earth.google.com/web/search/-30.9039722632113,-55.5401894585791" TargetMode="External"/><Relationship Id="rId1488" Type="http://schemas.openxmlformats.org/officeDocument/2006/relationships/hyperlink" Target="https://earth.google.com/web/search/-30.9013591421014,-55.5411621457353" TargetMode="External"/><Relationship Id="rId2335" Type="http://schemas.openxmlformats.org/officeDocument/2006/relationships/hyperlink" Target="https://www.google.com/maps/search/?api=1&amp;query=-30.8974586254541,-55.5393184021817" TargetMode="External"/><Relationship Id="rId1005" Type="http://schemas.openxmlformats.org/officeDocument/2006/relationships/hyperlink" Target="https://www.google.com/maps/search/?api=1&amp;query=-30.9035755751228,-55.5410598382624" TargetMode="External"/><Relationship Id="rId1489" Type="http://schemas.openxmlformats.org/officeDocument/2006/relationships/hyperlink" Target="https://www.google.com/maps/search/?api=1&amp;query=-30.9013429249957,-55.5409886992976" TargetMode="External"/><Relationship Id="rId2336" Type="http://schemas.openxmlformats.org/officeDocument/2006/relationships/hyperlink" Target="https://earth.google.com/web/search/-30.8974586254541,-55.5393184021817" TargetMode="External"/><Relationship Id="rId1006" Type="http://schemas.openxmlformats.org/officeDocument/2006/relationships/hyperlink" Target="https://earth.google.com/web/search/-30.9035755751228,-55.5410598382624" TargetMode="External"/><Relationship Id="rId2337" Type="http://schemas.openxmlformats.org/officeDocument/2006/relationships/hyperlink" Target="https://www.google.com/maps/search/?api=1&amp;query=-30.8976626755872,-55.5394858623086" TargetMode="External"/><Relationship Id="rId1007" Type="http://schemas.openxmlformats.org/officeDocument/2006/relationships/hyperlink" Target="https://www.google.com/maps/search/?api=1&amp;query=-30.9036796872359,-55.5408434672363" TargetMode="External"/><Relationship Id="rId2338" Type="http://schemas.openxmlformats.org/officeDocument/2006/relationships/hyperlink" Target="https://earth.google.com/web/search/-30.8976626755872,-55.5394858623086" TargetMode="External"/><Relationship Id="rId1008" Type="http://schemas.openxmlformats.org/officeDocument/2006/relationships/hyperlink" Target="https://earth.google.com/web/search/-30.9036796872359,-55.5408434672363" TargetMode="External"/><Relationship Id="rId2339" Type="http://schemas.openxmlformats.org/officeDocument/2006/relationships/hyperlink" Target="https://www.google.com/maps/search/?api=1&amp;query=-30.8977832569225,-55.5395537839099" TargetMode="External"/><Relationship Id="rId1009" Type="http://schemas.openxmlformats.org/officeDocument/2006/relationships/hyperlink" Target="https://www.google.com/maps/search/?api=1&amp;query=-3.0903733406014,-5.5540761634766" TargetMode="External"/><Relationship Id="rId657" Type="http://schemas.openxmlformats.org/officeDocument/2006/relationships/hyperlink" Target="https://www.google.com/maps/search/?api=1&amp;query=-30.9045818248201,-55.5413746209062" TargetMode="External"/><Relationship Id="rId656" Type="http://schemas.openxmlformats.org/officeDocument/2006/relationships/hyperlink" Target="https://earth.google.com/web/search/-30.9046821971386,-55.5412092615617" TargetMode="External"/><Relationship Id="rId655" Type="http://schemas.openxmlformats.org/officeDocument/2006/relationships/hyperlink" Target="https://www.google.com/maps/search/?api=1&amp;query=-30.9046821971386,-55.5412092615617" TargetMode="External"/><Relationship Id="rId654" Type="http://schemas.openxmlformats.org/officeDocument/2006/relationships/hyperlink" Target="https://earth.google.com/web/search/-30.9047175760065,-55.5411325306665" TargetMode="External"/><Relationship Id="rId659" Type="http://schemas.openxmlformats.org/officeDocument/2006/relationships/hyperlink" Target="https://www.google.com/maps/search/?api=1&amp;query=-30.9045498284703,-55.5414614461382" TargetMode="External"/><Relationship Id="rId658" Type="http://schemas.openxmlformats.org/officeDocument/2006/relationships/hyperlink" Target="https://earth.google.com/web/search/-30.9045818248201,-55.5413746209062" TargetMode="External"/><Relationship Id="rId1480" Type="http://schemas.openxmlformats.org/officeDocument/2006/relationships/hyperlink" Target="https://earth.google.com/web/search/-30.9014004945583,-55.5408495487172" TargetMode="External"/><Relationship Id="rId1481" Type="http://schemas.openxmlformats.org/officeDocument/2006/relationships/hyperlink" Target="https://www.google.com/maps/search/?api=1&amp;query=-30.9010619229417,-55.5417048729515" TargetMode="External"/><Relationship Id="rId1482" Type="http://schemas.openxmlformats.org/officeDocument/2006/relationships/hyperlink" Target="https://earth.google.com/web/search/-30.9010619229417,-55.5417048729515" TargetMode="External"/><Relationship Id="rId1483" Type="http://schemas.openxmlformats.org/officeDocument/2006/relationships/hyperlink" Target="https://www.google.com/maps/search/?api=1&amp;query=-30.9011236353207,-55.5415790285508" TargetMode="External"/><Relationship Id="rId2330" Type="http://schemas.openxmlformats.org/officeDocument/2006/relationships/hyperlink" Target="https://earth.google.com/web/search/-30.8987288357909,-55.5379126881168" TargetMode="External"/><Relationship Id="rId653" Type="http://schemas.openxmlformats.org/officeDocument/2006/relationships/hyperlink" Target="https://www.google.com/maps/search/?api=1&amp;query=-30.9047175760065,-55.5411325306665" TargetMode="External"/><Relationship Id="rId1000" Type="http://schemas.openxmlformats.org/officeDocument/2006/relationships/hyperlink" Target="https://earth.google.com/web/search/-30.9036922170269,-55.5400048831511" TargetMode="External"/><Relationship Id="rId1484" Type="http://schemas.openxmlformats.org/officeDocument/2006/relationships/hyperlink" Target="https://earth.google.com/web/search/-30.9011236353207,-55.5415790285508" TargetMode="External"/><Relationship Id="rId2331" Type="http://schemas.openxmlformats.org/officeDocument/2006/relationships/hyperlink" Target="https://www.google.com/maps/search/?api=1&amp;query=-30.8987294971539,-55.5379716884469" TargetMode="External"/><Relationship Id="rId652" Type="http://schemas.openxmlformats.org/officeDocument/2006/relationships/hyperlink" Target="https://earth.google.com/web/search/-30.9047404673893,-55.5410787816866" TargetMode="External"/><Relationship Id="rId1001" Type="http://schemas.openxmlformats.org/officeDocument/2006/relationships/hyperlink" Target="https://www.google.com/maps/search/?api=1&amp;query=-30.9037687144042,-55.5400540231878" TargetMode="External"/><Relationship Id="rId1485" Type="http://schemas.openxmlformats.org/officeDocument/2006/relationships/hyperlink" Target="https://www.google.com/maps/search/?api=1&amp;query=-30.9012897016578,-55.5412536497989" TargetMode="External"/><Relationship Id="rId2332" Type="http://schemas.openxmlformats.org/officeDocument/2006/relationships/hyperlink" Target="https://earth.google.com/web/search/-30.8987294971539,-55.5379716884469" TargetMode="External"/><Relationship Id="rId651" Type="http://schemas.openxmlformats.org/officeDocument/2006/relationships/hyperlink" Target="https://www.google.com/maps/search/?api=1&amp;query=-30.9047404673893,-55.5410787816866" TargetMode="External"/><Relationship Id="rId1002" Type="http://schemas.openxmlformats.org/officeDocument/2006/relationships/hyperlink" Target="https://earth.google.com/web/search/-30.9037687144042,-55.5400540231878" TargetMode="External"/><Relationship Id="rId1486" Type="http://schemas.openxmlformats.org/officeDocument/2006/relationships/hyperlink" Target="https://earth.google.com/web/search/-30.9012897016578,-55.5412536497989" TargetMode="External"/><Relationship Id="rId2333" Type="http://schemas.openxmlformats.org/officeDocument/2006/relationships/hyperlink" Target="https://www.google.com/maps/search/?api=1&amp;query=-30.8972896502978,-55.5392003359218" TargetMode="External"/><Relationship Id="rId650" Type="http://schemas.openxmlformats.org/officeDocument/2006/relationships/hyperlink" Target="https://earth.google.com/web/search/-30.9051985519487,-55.5412097203144" TargetMode="External"/><Relationship Id="rId1003" Type="http://schemas.openxmlformats.org/officeDocument/2006/relationships/hyperlink" Target="https://www.google.com/maps/search/?api=1&amp;query=-30.9039722632113,-55.5401894585791" TargetMode="External"/><Relationship Id="rId1487" Type="http://schemas.openxmlformats.org/officeDocument/2006/relationships/hyperlink" Target="https://www.google.com/maps/search/?api=1&amp;query=-30.9013591421014,-55.5411621457353" TargetMode="External"/><Relationship Id="rId2334" Type="http://schemas.openxmlformats.org/officeDocument/2006/relationships/hyperlink" Target="https://earth.google.com/web/search/-30.8972896502978,-55.5392003359218" TargetMode="External"/><Relationship Id="rId1037" Type="http://schemas.openxmlformats.org/officeDocument/2006/relationships/hyperlink" Target="https://www.google.com/maps/search/?api=1&amp;query=-30.9032298258693,-5.5541680054566" TargetMode="External"/><Relationship Id="rId2368" Type="http://schemas.openxmlformats.org/officeDocument/2006/relationships/hyperlink" Target="https://earth.google.com/web/search/-30.8967626825968,-55.5413512600351" TargetMode="External"/><Relationship Id="rId1038" Type="http://schemas.openxmlformats.org/officeDocument/2006/relationships/hyperlink" Target="https://earth.google.com/web/search/-30.9032298258693,-5.5541680054566" TargetMode="External"/><Relationship Id="rId2369" Type="http://schemas.openxmlformats.org/officeDocument/2006/relationships/hyperlink" Target="https://www.google.com/maps/search/?api=1&amp;query=-3.0897229323636,-55.5407773038706" TargetMode="External"/><Relationship Id="rId1039" Type="http://schemas.openxmlformats.org/officeDocument/2006/relationships/hyperlink" Target="https://www.google.com/maps/search/?api=1&amp;query=-30.9032810242142,-55.5416237848488" TargetMode="External"/><Relationship Id="rId206" Type="http://schemas.openxmlformats.org/officeDocument/2006/relationships/hyperlink" Target="https://earth.google.com/web/search/-3.0906982426122,-55.5409209370329" TargetMode="External"/><Relationship Id="rId205" Type="http://schemas.openxmlformats.org/officeDocument/2006/relationships/hyperlink" Target="https://www.google.com/maps/search/?api=1&amp;query=-3.0906982426122,-55.5409209370329" TargetMode="External"/><Relationship Id="rId689" Type="http://schemas.openxmlformats.org/officeDocument/2006/relationships/hyperlink" Target="https://www.google.com/maps/search/?api=1&amp;query=-30.9043959960227,-5.5541851208749" TargetMode="External"/><Relationship Id="rId204" Type="http://schemas.openxmlformats.org/officeDocument/2006/relationships/hyperlink" Target="https://earth.google.com/web/search/-30.9070732888236,-55.5407894806845" TargetMode="External"/><Relationship Id="rId688" Type="http://schemas.openxmlformats.org/officeDocument/2006/relationships/hyperlink" Target="https://earth.google.com/web/search/-30.9047411860254,-55.5421211388411" TargetMode="External"/><Relationship Id="rId203" Type="http://schemas.openxmlformats.org/officeDocument/2006/relationships/hyperlink" Target="https://www.google.com/maps/search/?api=1&amp;query=-30.9070732888236,-55.5407894806845" TargetMode="External"/><Relationship Id="rId687" Type="http://schemas.openxmlformats.org/officeDocument/2006/relationships/hyperlink" Target="https://www.google.com/maps/search/?api=1&amp;query=-30.9047411860254,-55.5421211388411" TargetMode="External"/><Relationship Id="rId209" Type="http://schemas.openxmlformats.org/officeDocument/2006/relationships/hyperlink" Target="https://www.google.com/maps/search/?api=1&amp;query=-30.9070558560666,-55.5411452752246" TargetMode="External"/><Relationship Id="rId208" Type="http://schemas.openxmlformats.org/officeDocument/2006/relationships/hyperlink" Target="https://earth.google.com/web/search/-30.9069453893603,-5.5540992143515" TargetMode="External"/><Relationship Id="rId207" Type="http://schemas.openxmlformats.org/officeDocument/2006/relationships/hyperlink" Target="https://www.google.com/maps/search/?api=1&amp;query=-30.9069453893603,-5.5540992143515" TargetMode="External"/><Relationship Id="rId682" Type="http://schemas.openxmlformats.org/officeDocument/2006/relationships/hyperlink" Target="https://earth.google.com/web/search/-30.9050420219357,-55.5423656818809" TargetMode="External"/><Relationship Id="rId2360" Type="http://schemas.openxmlformats.org/officeDocument/2006/relationships/hyperlink" Target="https://earth.google.com/web/search/-30.8964080224016,-55.5411064834186" TargetMode="External"/><Relationship Id="rId681" Type="http://schemas.openxmlformats.org/officeDocument/2006/relationships/hyperlink" Target="https://www.google.com/maps/search/?api=1&amp;query=-30.9050420219357,-55.5423656818809" TargetMode="External"/><Relationship Id="rId1030" Type="http://schemas.openxmlformats.org/officeDocument/2006/relationships/hyperlink" Target="https://earth.google.com/web/search/-30.9034768957778,-55.5411030071081" TargetMode="External"/><Relationship Id="rId2361" Type="http://schemas.openxmlformats.org/officeDocument/2006/relationships/hyperlink" Target="https://www.google.com/maps/search/?api=1&amp;query=-30.8964373755891,-55.5411551762125" TargetMode="External"/><Relationship Id="rId680" Type="http://schemas.openxmlformats.org/officeDocument/2006/relationships/hyperlink" Target="https://earth.google.com/web/search/-30.9049627478608,-55.5425165983874" TargetMode="External"/><Relationship Id="rId1031" Type="http://schemas.openxmlformats.org/officeDocument/2006/relationships/hyperlink" Target="https://www.google.com/maps/search/?api=1&amp;query=-30.9030728655791,-55.5419475704084" TargetMode="External"/><Relationship Id="rId2362" Type="http://schemas.openxmlformats.org/officeDocument/2006/relationships/hyperlink" Target="https://earth.google.com/web/search/-30.8964373755891,-55.5411551762125" TargetMode="External"/><Relationship Id="rId1032" Type="http://schemas.openxmlformats.org/officeDocument/2006/relationships/hyperlink" Target="https://earth.google.com/web/search/-30.9030728655791,-55.5419475704084" TargetMode="External"/><Relationship Id="rId2363" Type="http://schemas.openxmlformats.org/officeDocument/2006/relationships/hyperlink" Target="https://www.google.com/maps/search/?api=1&amp;query=-30.8965003591061,-55.5411752526253" TargetMode="External"/><Relationship Id="rId202" Type="http://schemas.openxmlformats.org/officeDocument/2006/relationships/hyperlink" Target="https://earth.google.com/web/search/-3.0907133574127,-55.5406673112119" TargetMode="External"/><Relationship Id="rId686" Type="http://schemas.openxmlformats.org/officeDocument/2006/relationships/hyperlink" Target="https://earth.google.com/web/search/-3.0904829906965,-5.5542189088396" TargetMode="External"/><Relationship Id="rId1033" Type="http://schemas.openxmlformats.org/officeDocument/2006/relationships/hyperlink" Target="https://www.google.com/maps/search/?api=1&amp;query=-30.9031426499662,-55.5418565518897" TargetMode="External"/><Relationship Id="rId2364" Type="http://schemas.openxmlformats.org/officeDocument/2006/relationships/hyperlink" Target="https://earth.google.com/web/search/-30.8965003591061,-55.5411752526253" TargetMode="External"/><Relationship Id="rId201" Type="http://schemas.openxmlformats.org/officeDocument/2006/relationships/hyperlink" Target="https://www.google.com/maps/search/?api=1&amp;query=-3.0907133574127,-55.5406673112119" TargetMode="External"/><Relationship Id="rId685" Type="http://schemas.openxmlformats.org/officeDocument/2006/relationships/hyperlink" Target="https://www.google.com/maps/search/?api=1&amp;query=-3.0904829906965,-5.5542189088396" TargetMode="External"/><Relationship Id="rId1034" Type="http://schemas.openxmlformats.org/officeDocument/2006/relationships/hyperlink" Target="https://earth.google.com/web/search/-30.9031426499662,-55.5418565518897" TargetMode="External"/><Relationship Id="rId2365" Type="http://schemas.openxmlformats.org/officeDocument/2006/relationships/hyperlink" Target="https://www.google.com/maps/search/?api=1&amp;query=-30.8966018831785,-55.5412525676193" TargetMode="External"/><Relationship Id="rId200" Type="http://schemas.openxmlformats.org/officeDocument/2006/relationships/hyperlink" Target="https://earth.google.com/web/search/-3.0907536742154,-5.5540363877482" TargetMode="External"/><Relationship Id="rId684" Type="http://schemas.openxmlformats.org/officeDocument/2006/relationships/hyperlink" Target="https://earth.google.com/web/search/-3.0904909232427,-55.5422284493577" TargetMode="External"/><Relationship Id="rId1035" Type="http://schemas.openxmlformats.org/officeDocument/2006/relationships/hyperlink" Target="https://www.google.com/maps/search/?api=1&amp;query=-30.9031820468896,-55.5417755167017" TargetMode="External"/><Relationship Id="rId2366" Type="http://schemas.openxmlformats.org/officeDocument/2006/relationships/hyperlink" Target="https://earth.google.com/web/search/-30.8966018831785,-55.5412525676193" TargetMode="External"/><Relationship Id="rId683" Type="http://schemas.openxmlformats.org/officeDocument/2006/relationships/hyperlink" Target="https://www.google.com/maps/search/?api=1&amp;query=-3.0904909232427,-55.5422284493577" TargetMode="External"/><Relationship Id="rId1036" Type="http://schemas.openxmlformats.org/officeDocument/2006/relationships/hyperlink" Target="https://earth.google.com/web/search/-30.9031820468896,-55.5417755167017" TargetMode="External"/><Relationship Id="rId2367" Type="http://schemas.openxmlformats.org/officeDocument/2006/relationships/hyperlink" Target="https://www.google.com/maps/search/?api=1&amp;query=-30.8967626825968,-55.5413512600351" TargetMode="External"/><Relationship Id="rId1026" Type="http://schemas.openxmlformats.org/officeDocument/2006/relationships/hyperlink" Target="https://earth.google.com/web/search/-30.9031159196487,-5.5540841985577" TargetMode="External"/><Relationship Id="rId2357" Type="http://schemas.openxmlformats.org/officeDocument/2006/relationships/hyperlink" Target="https://www.google.com/maps/search/?api=1&amp;query=-30.8963594061273,-55.5410719747362" TargetMode="External"/><Relationship Id="rId1027" Type="http://schemas.openxmlformats.org/officeDocument/2006/relationships/hyperlink" Target="https://www.google.com/maps/search/?api=1&amp;query=-30.9033527559365,-55.5410217249092" TargetMode="External"/><Relationship Id="rId2358" Type="http://schemas.openxmlformats.org/officeDocument/2006/relationships/hyperlink" Target="https://earth.google.com/web/search/-30.8963594061273,-55.5410719747362" TargetMode="External"/><Relationship Id="rId1028" Type="http://schemas.openxmlformats.org/officeDocument/2006/relationships/hyperlink" Target="https://earth.google.com/web/search/-30.9033527559365,-55.5410217249092" TargetMode="External"/><Relationship Id="rId2359" Type="http://schemas.openxmlformats.org/officeDocument/2006/relationships/hyperlink" Target="https://www.google.com/maps/search/?api=1&amp;query=-30.8964080224016,-55.5411064834186" TargetMode="External"/><Relationship Id="rId1029" Type="http://schemas.openxmlformats.org/officeDocument/2006/relationships/hyperlink" Target="https://www.google.com/maps/search/?api=1&amp;query=-30.9034768957778,-55.5411030071081" TargetMode="External"/><Relationship Id="rId679" Type="http://schemas.openxmlformats.org/officeDocument/2006/relationships/hyperlink" Target="https://www.google.com/maps/search/?api=1&amp;query=-30.9049627478608,-55.5425165983874" TargetMode="External"/><Relationship Id="rId678" Type="http://schemas.openxmlformats.org/officeDocument/2006/relationships/hyperlink" Target="https://earth.google.com/web/search/-30.9049192206868,-55.5425694967673" TargetMode="External"/><Relationship Id="rId677" Type="http://schemas.openxmlformats.org/officeDocument/2006/relationships/hyperlink" Target="https://www.google.com/maps/search/?api=1&amp;query=-30.9049192206868,-55.5425694967673" TargetMode="External"/><Relationship Id="rId676" Type="http://schemas.openxmlformats.org/officeDocument/2006/relationships/hyperlink" Target="https://earth.google.com/web/search/-30.9048309997995,-55.5427552973799" TargetMode="External"/><Relationship Id="rId671" Type="http://schemas.openxmlformats.org/officeDocument/2006/relationships/hyperlink" Target="https://www.google.com/maps/search/?api=1&amp;query=-30.9049010803558,-55.5421076127647" TargetMode="External"/><Relationship Id="rId670" Type="http://schemas.openxmlformats.org/officeDocument/2006/relationships/hyperlink" Target="https://earth.google.com/web/search/-30.9047700703388,-55.5420156609027" TargetMode="External"/><Relationship Id="rId2350" Type="http://schemas.openxmlformats.org/officeDocument/2006/relationships/hyperlink" Target="https://earth.google.com/web/search/-30.8976901340647,-55.5399363732784" TargetMode="External"/><Relationship Id="rId1020" Type="http://schemas.openxmlformats.org/officeDocument/2006/relationships/hyperlink" Target="https://earth.google.com/web/search/-30.9033373521162,-55.5398665485639" TargetMode="External"/><Relationship Id="rId2351" Type="http://schemas.openxmlformats.org/officeDocument/2006/relationships/hyperlink" Target="https://www.google.com/maps/search/?api=1&amp;query=-30.8972945806288,-55.5405000705481" TargetMode="External"/><Relationship Id="rId1021" Type="http://schemas.openxmlformats.org/officeDocument/2006/relationships/hyperlink" Target="https://www.google.com/maps/search/?api=1&amp;query=-30.9030761279584,-55.5401325484633" TargetMode="External"/><Relationship Id="rId2352" Type="http://schemas.openxmlformats.org/officeDocument/2006/relationships/hyperlink" Target="https://earth.google.com/web/search/-30.8972945806288,-55.5405000705481" TargetMode="External"/><Relationship Id="rId675" Type="http://schemas.openxmlformats.org/officeDocument/2006/relationships/hyperlink" Target="https://www.google.com/maps/search/?api=1&amp;query=-30.9048309997995,-55.5427552973799" TargetMode="External"/><Relationship Id="rId1022" Type="http://schemas.openxmlformats.org/officeDocument/2006/relationships/hyperlink" Target="https://earth.google.com/web/search/-30.9030761279584,-55.5401325484633" TargetMode="External"/><Relationship Id="rId2353" Type="http://schemas.openxmlformats.org/officeDocument/2006/relationships/hyperlink" Target="https://www.google.com/maps/search/?api=1&amp;query=-30.8972200285037,-55.5404426357243" TargetMode="External"/><Relationship Id="rId674" Type="http://schemas.openxmlformats.org/officeDocument/2006/relationships/hyperlink" Target="https://earth.google.com/web/search/-30.9047191258822,-55.5429617541547" TargetMode="External"/><Relationship Id="rId1023" Type="http://schemas.openxmlformats.org/officeDocument/2006/relationships/hyperlink" Target="https://www.google.com/maps/search/?api=1&amp;query=-30.9030398260381,-55.5407958025151" TargetMode="External"/><Relationship Id="rId2354" Type="http://schemas.openxmlformats.org/officeDocument/2006/relationships/hyperlink" Target="https://earth.google.com/web/search/-30.8972200285037,-55.5404426357243" TargetMode="External"/><Relationship Id="rId673" Type="http://schemas.openxmlformats.org/officeDocument/2006/relationships/hyperlink" Target="https://www.google.com/maps/search/?api=1&amp;query=-30.9047191258822,-55.5429617541547" TargetMode="External"/><Relationship Id="rId1024" Type="http://schemas.openxmlformats.org/officeDocument/2006/relationships/hyperlink" Target="https://earth.google.com/web/search/-30.9030398260381,-55.5407958025151" TargetMode="External"/><Relationship Id="rId2355" Type="http://schemas.openxmlformats.org/officeDocument/2006/relationships/hyperlink" Target="https://www.google.com/maps/search/?api=1&amp;query=-30.8969234643524,-55.5402210109314" TargetMode="External"/><Relationship Id="rId672" Type="http://schemas.openxmlformats.org/officeDocument/2006/relationships/hyperlink" Target="https://earth.google.com/web/search/-30.9049010803558,-55.5421076127647" TargetMode="External"/><Relationship Id="rId1025" Type="http://schemas.openxmlformats.org/officeDocument/2006/relationships/hyperlink" Target="https://www.google.com/maps/search/?api=1&amp;query=-30.9031159196487,-5.5540841985577" TargetMode="External"/><Relationship Id="rId2356" Type="http://schemas.openxmlformats.org/officeDocument/2006/relationships/hyperlink" Target="https://earth.google.com/web/search/-30.8969234643524,-55.5402210109314" TargetMode="External"/><Relationship Id="rId190" Type="http://schemas.openxmlformats.org/officeDocument/2006/relationships/hyperlink" Target="https://earth.google.com/web/search/-30.9076976105712,-5.5541409622316" TargetMode="External"/><Relationship Id="rId194" Type="http://schemas.openxmlformats.org/officeDocument/2006/relationships/hyperlink" Target="https://earth.google.com/web/search/-30.9079185410384,-5.5540987000298" TargetMode="External"/><Relationship Id="rId193" Type="http://schemas.openxmlformats.org/officeDocument/2006/relationships/hyperlink" Target="https://www.google.com/maps/search/?api=1&amp;query=-30.9079185410384,-5.5540987000298" TargetMode="External"/><Relationship Id="rId192" Type="http://schemas.openxmlformats.org/officeDocument/2006/relationships/hyperlink" Target="https://earth.google.com/web/search/-30.9078793389034,-55.5410609998854" TargetMode="External"/><Relationship Id="rId191" Type="http://schemas.openxmlformats.org/officeDocument/2006/relationships/hyperlink" Target="https://www.google.com/maps/search/?api=1&amp;query=-30.9078793389034,-55.5410609998854" TargetMode="External"/><Relationship Id="rId187" Type="http://schemas.openxmlformats.org/officeDocument/2006/relationships/hyperlink" Target="https://www.google.com/maps/search/?api=1&amp;query=-30.9076479347842,-55.5415039207327" TargetMode="External"/><Relationship Id="rId186" Type="http://schemas.openxmlformats.org/officeDocument/2006/relationships/hyperlink" Target="https://earth.google.com/web/search/-30.9061182946333,-55.5463967142229" TargetMode="External"/><Relationship Id="rId185" Type="http://schemas.openxmlformats.org/officeDocument/2006/relationships/hyperlink" Target="https://www.google.com/maps/search/?api=1&amp;query=-30.9061182946333,-55.5463967142229" TargetMode="External"/><Relationship Id="rId184" Type="http://schemas.openxmlformats.org/officeDocument/2006/relationships/hyperlink" Target="https://earth.google.com/web/search/-30.9063076508241,-55.5457941553358" TargetMode="External"/><Relationship Id="rId189" Type="http://schemas.openxmlformats.org/officeDocument/2006/relationships/hyperlink" Target="https://www.google.com/maps/search/?api=1&amp;query=-30.9076976105712,-5.5541409622316" TargetMode="External"/><Relationship Id="rId188" Type="http://schemas.openxmlformats.org/officeDocument/2006/relationships/hyperlink" Target="https://earth.google.com/web/search/-30.9076479347842,-55.5415039207327" TargetMode="External"/><Relationship Id="rId183" Type="http://schemas.openxmlformats.org/officeDocument/2006/relationships/hyperlink" Target="https://www.google.com/maps/search/?api=1&amp;query=-30.9063076508241,-55.5457941553358" TargetMode="External"/><Relationship Id="rId182" Type="http://schemas.openxmlformats.org/officeDocument/2006/relationships/hyperlink" Target="https://earth.google.com/web/search/-30.9062548627498,-55.5457498348248" TargetMode="External"/><Relationship Id="rId181" Type="http://schemas.openxmlformats.org/officeDocument/2006/relationships/hyperlink" Target="https://www.google.com/maps/search/?api=1&amp;query=-30.9062548627498,-55.5457498348248" TargetMode="External"/><Relationship Id="rId180" Type="http://schemas.openxmlformats.org/officeDocument/2006/relationships/hyperlink" Target="https://earth.google.com/web/search/-3.0905949462765,-55.5455248362094" TargetMode="External"/><Relationship Id="rId176" Type="http://schemas.openxmlformats.org/officeDocument/2006/relationships/hyperlink" Target="https://earth.google.com/web/search/-30.9058100235644,-55.5454487557114" TargetMode="External"/><Relationship Id="rId175" Type="http://schemas.openxmlformats.org/officeDocument/2006/relationships/hyperlink" Target="https://www.google.com/maps/search/?api=1&amp;query=-30.9058100235644,-55.5454487557114" TargetMode="External"/><Relationship Id="rId174" Type="http://schemas.openxmlformats.org/officeDocument/2006/relationships/hyperlink" Target="https://earth.google.com/web/search/-30.9057951514457,-55.5454320159901" TargetMode="External"/><Relationship Id="rId173" Type="http://schemas.openxmlformats.org/officeDocument/2006/relationships/hyperlink" Target="https://www.google.com/maps/search/?api=1&amp;query=-30.9057951514457,-55.5454320159901" TargetMode="External"/><Relationship Id="rId179" Type="http://schemas.openxmlformats.org/officeDocument/2006/relationships/hyperlink" Target="https://www.google.com/maps/search/?api=1&amp;query=-3.0905949462765,-55.5455248362094" TargetMode="External"/><Relationship Id="rId178" Type="http://schemas.openxmlformats.org/officeDocument/2006/relationships/hyperlink" Target="https://earth.google.com/web/search/-30.9058701221712,-55.5454854122774" TargetMode="External"/><Relationship Id="rId177" Type="http://schemas.openxmlformats.org/officeDocument/2006/relationships/hyperlink" Target="https://www.google.com/maps/search/?api=1&amp;query=-30.9058701221712,-55.5454854122774" TargetMode="External"/><Relationship Id="rId1910" Type="http://schemas.openxmlformats.org/officeDocument/2006/relationships/hyperlink" Target="https://earth.google.com/web/search/-30.8994687083075,-55.5406272251591" TargetMode="External"/><Relationship Id="rId1911" Type="http://schemas.openxmlformats.org/officeDocument/2006/relationships/hyperlink" Target="https://www.google.com/maps/search/?api=1&amp;query=-30.8993224358535,-55.5395477368057" TargetMode="External"/><Relationship Id="rId1912" Type="http://schemas.openxmlformats.org/officeDocument/2006/relationships/hyperlink" Target="https://earth.google.com/web/search/-30.8993224358535,-55.5395477368057" TargetMode="External"/><Relationship Id="rId1913" Type="http://schemas.openxmlformats.org/officeDocument/2006/relationships/hyperlink" Target="https://www.google.com/maps/search/?api=1&amp;query=-30.8989160195171,-55.5398399834184" TargetMode="External"/><Relationship Id="rId1914" Type="http://schemas.openxmlformats.org/officeDocument/2006/relationships/hyperlink" Target="https://earth.google.com/web/search/-30.8989160195171,-55.5398399834184" TargetMode="External"/><Relationship Id="rId1915" Type="http://schemas.openxmlformats.org/officeDocument/2006/relationships/hyperlink" Target="https://www.google.com/maps/search/?api=1&amp;query=-30.8987652368054,-55.5401106629414" TargetMode="External"/><Relationship Id="rId1916" Type="http://schemas.openxmlformats.org/officeDocument/2006/relationships/hyperlink" Target="https://earth.google.com/web/search/-30.8987652368054,-55.5401106629414" TargetMode="External"/><Relationship Id="rId1917" Type="http://schemas.openxmlformats.org/officeDocument/2006/relationships/hyperlink" Target="https://www.google.com/maps/search/?api=1&amp;query=-30.8991723118289,-55.5405712893108" TargetMode="External"/><Relationship Id="rId1918" Type="http://schemas.openxmlformats.org/officeDocument/2006/relationships/hyperlink" Target="https://earth.google.com/web/search/-30.8991723118289,-55.5405712893108" TargetMode="External"/><Relationship Id="rId1919" Type="http://schemas.openxmlformats.org/officeDocument/2006/relationships/hyperlink" Target="https://www.google.com/maps/search/?api=1&amp;query=-30.8989800127958,-55.5415821211935" TargetMode="External"/><Relationship Id="rId1900" Type="http://schemas.openxmlformats.org/officeDocument/2006/relationships/hyperlink" Target="https://earth.google.com/web/search/-30.8997642775274,-55.5385667532391" TargetMode="External"/><Relationship Id="rId1901" Type="http://schemas.openxmlformats.org/officeDocument/2006/relationships/hyperlink" Target="https://www.google.com/maps/search/?api=1&amp;query=-30.8995105963195,-55.5387440307554" TargetMode="External"/><Relationship Id="rId1902" Type="http://schemas.openxmlformats.org/officeDocument/2006/relationships/hyperlink" Target="https://earth.google.com/web/search/-30.8995105963195,-55.5387440307554" TargetMode="External"/><Relationship Id="rId1903" Type="http://schemas.openxmlformats.org/officeDocument/2006/relationships/hyperlink" Target="https://www.google.com/maps/search/?api=1&amp;query=-30.8992647726406,-5.5539169601898" TargetMode="External"/><Relationship Id="rId1904" Type="http://schemas.openxmlformats.org/officeDocument/2006/relationships/hyperlink" Target="https://earth.google.com/web/search/-30.8992647726406,-5.5539169601898" TargetMode="External"/><Relationship Id="rId1905" Type="http://schemas.openxmlformats.org/officeDocument/2006/relationships/hyperlink" Target="https://www.google.com/maps/search/?api=1&amp;query=-30.8992562033563,-55.5393254681837" TargetMode="External"/><Relationship Id="rId1906" Type="http://schemas.openxmlformats.org/officeDocument/2006/relationships/hyperlink" Target="https://earth.google.com/web/search/-30.8992562033563,-55.5393254681837" TargetMode="External"/><Relationship Id="rId1907" Type="http://schemas.openxmlformats.org/officeDocument/2006/relationships/hyperlink" Target="https://www.google.com/maps/search/?api=1&amp;query=-30.8995858054087,-55.5395644721655" TargetMode="External"/><Relationship Id="rId1908" Type="http://schemas.openxmlformats.org/officeDocument/2006/relationships/hyperlink" Target="https://earth.google.com/web/search/-30.8995858054087,-55.5395644721655" TargetMode="External"/><Relationship Id="rId1909" Type="http://schemas.openxmlformats.org/officeDocument/2006/relationships/hyperlink" Target="https://www.google.com/maps/search/?api=1&amp;query=-30.8994687083075,-55.5406272251591" TargetMode="External"/><Relationship Id="rId198" Type="http://schemas.openxmlformats.org/officeDocument/2006/relationships/hyperlink" Target="https://earth.google.com/web/search/-30.9076651959219,-0.5554045418706" TargetMode="External"/><Relationship Id="rId197" Type="http://schemas.openxmlformats.org/officeDocument/2006/relationships/hyperlink" Target="https://www.google.com/maps/search/?api=1&amp;query=-30.9076651959219,-0.5554045418706" TargetMode="External"/><Relationship Id="rId196" Type="http://schemas.openxmlformats.org/officeDocument/2006/relationships/hyperlink" Target="https://earth.google.com/web/search/-0.3090799288893,-55.5408303340199" TargetMode="External"/><Relationship Id="rId195" Type="http://schemas.openxmlformats.org/officeDocument/2006/relationships/hyperlink" Target="https://www.google.com/maps/search/?api=1&amp;query=-0.3090799288893,-55.5408303340199" TargetMode="External"/><Relationship Id="rId199" Type="http://schemas.openxmlformats.org/officeDocument/2006/relationships/hyperlink" Target="https://www.google.com/maps/search/?api=1&amp;query=-3.0907536742154,-5.5540363877482" TargetMode="External"/><Relationship Id="rId150" Type="http://schemas.openxmlformats.org/officeDocument/2006/relationships/hyperlink" Target="https://earth.google.com/web/search/-30.9058359210348,-55.5450853124537" TargetMode="External"/><Relationship Id="rId149" Type="http://schemas.openxmlformats.org/officeDocument/2006/relationships/hyperlink" Target="https://www.google.com/maps/search/?api=1&amp;query=-30.9058359210348,-55.5450853124537" TargetMode="External"/><Relationship Id="rId148" Type="http://schemas.openxmlformats.org/officeDocument/2006/relationships/hyperlink" Target="https://earth.google.com/web/search/-30.9060576304923,-55.5446626974414" TargetMode="External"/><Relationship Id="rId1090" Type="http://schemas.openxmlformats.org/officeDocument/2006/relationships/hyperlink" Target="https://earth.google.com/web/search/-30.9013990022236,-55.5434351894742" TargetMode="External"/><Relationship Id="rId1091" Type="http://schemas.openxmlformats.org/officeDocument/2006/relationships/hyperlink" Target="https://www.google.com/maps/search/?api=1&amp;query=-30.9014496169458,-55.5434698477272" TargetMode="External"/><Relationship Id="rId1092" Type="http://schemas.openxmlformats.org/officeDocument/2006/relationships/hyperlink" Target="https://earth.google.com/web/search/-30.9014496169458,-55.5434698477272" TargetMode="External"/><Relationship Id="rId1093" Type="http://schemas.openxmlformats.org/officeDocument/2006/relationships/hyperlink" Target="https://www.google.com/maps/search/?api=1&amp;query=-30.9014848633065,-55.5435096079607" TargetMode="External"/><Relationship Id="rId1094" Type="http://schemas.openxmlformats.org/officeDocument/2006/relationships/hyperlink" Target="https://earth.google.com/web/search/-30.9014848633065,-55.5435096079607" TargetMode="External"/><Relationship Id="rId143" Type="http://schemas.openxmlformats.org/officeDocument/2006/relationships/hyperlink" Target="https://www.google.com/maps/search/?api=1&amp;query=-30.9061182941135,-55.5445663472231" TargetMode="External"/><Relationship Id="rId1095" Type="http://schemas.openxmlformats.org/officeDocument/2006/relationships/hyperlink" Target="https://www.google.com/maps/search/?api=1&amp;query=-30.9015314550518,-55.5435346035214" TargetMode="External"/><Relationship Id="rId142" Type="http://schemas.openxmlformats.org/officeDocument/2006/relationships/hyperlink" Target="https://earth.google.com/web/search/-30.9061399539583,-55.5444996871527" TargetMode="External"/><Relationship Id="rId1096" Type="http://schemas.openxmlformats.org/officeDocument/2006/relationships/hyperlink" Target="https://earth.google.com/web/search/-30.9015314550518,-55.5435346035214" TargetMode="External"/><Relationship Id="rId141" Type="http://schemas.openxmlformats.org/officeDocument/2006/relationships/hyperlink" Target="https://www.google.com/maps/search/?api=1&amp;query=-30.9061399539583,-55.5444996871527" TargetMode="External"/><Relationship Id="rId1097" Type="http://schemas.openxmlformats.org/officeDocument/2006/relationships/hyperlink" Target="https://www.google.com/maps/search/?api=1&amp;query=-30.9016114740163,-55.5435958029097" TargetMode="External"/><Relationship Id="rId140" Type="http://schemas.openxmlformats.org/officeDocument/2006/relationships/hyperlink" Target="https://earth.google.com/web/search/-30.9061643849681,-55.5444905776153" TargetMode="External"/><Relationship Id="rId1098" Type="http://schemas.openxmlformats.org/officeDocument/2006/relationships/hyperlink" Target="https://earth.google.com/web/search/-30.9016114740163,-55.5435958029097" TargetMode="External"/><Relationship Id="rId147" Type="http://schemas.openxmlformats.org/officeDocument/2006/relationships/hyperlink" Target="https://www.google.com/maps/search/?api=1&amp;query=-30.9060576304923,-55.5446626974414" TargetMode="External"/><Relationship Id="rId1099" Type="http://schemas.openxmlformats.org/officeDocument/2006/relationships/hyperlink" Target="https://www.google.com/maps/search/?api=1&amp;query=-30.9018596769871,-55.5437523715697" TargetMode="External"/><Relationship Id="rId146" Type="http://schemas.openxmlformats.org/officeDocument/2006/relationships/hyperlink" Target="https://earth.google.com/web/search/-30.9060834419565,-5.5544619211356" TargetMode="External"/><Relationship Id="rId145" Type="http://schemas.openxmlformats.org/officeDocument/2006/relationships/hyperlink" Target="https://www.google.com/maps/search/?api=1&amp;query=-30.9060834419565,-5.5544619211356" TargetMode="External"/><Relationship Id="rId144" Type="http://schemas.openxmlformats.org/officeDocument/2006/relationships/hyperlink" Target="https://earth.google.com/web/search/-30.9061182941135,-55.5445663472231" TargetMode="External"/><Relationship Id="rId139" Type="http://schemas.openxmlformats.org/officeDocument/2006/relationships/hyperlink" Target="https://www.google.com/maps/search/?api=1&amp;query=-30.9061643849681,-55.5444905776153" TargetMode="External"/><Relationship Id="rId138" Type="http://schemas.openxmlformats.org/officeDocument/2006/relationships/hyperlink" Target="https://earth.google.com/web/search/-30.9062328673733,-5.5544484298214" TargetMode="External"/><Relationship Id="rId137" Type="http://schemas.openxmlformats.org/officeDocument/2006/relationships/hyperlink" Target="https://www.google.com/maps/search/?api=1&amp;query=-30.9062328673733,-5.5544484298214" TargetMode="External"/><Relationship Id="rId1080" Type="http://schemas.openxmlformats.org/officeDocument/2006/relationships/hyperlink" Target="https://earth.google.com/web/search/-3.0902052610761,-55.5427497140009" TargetMode="External"/><Relationship Id="rId1081" Type="http://schemas.openxmlformats.org/officeDocument/2006/relationships/hyperlink" Target="https://www.google.com/maps/search/?api=1&amp;query=-30.9019101989464,-55.5426618967513" TargetMode="External"/><Relationship Id="rId1082" Type="http://schemas.openxmlformats.org/officeDocument/2006/relationships/hyperlink" Target="https://earth.google.com/web/search/-30.9019101989464,-55.5426618967513" TargetMode="External"/><Relationship Id="rId1083" Type="http://schemas.openxmlformats.org/officeDocument/2006/relationships/hyperlink" Target="https://www.google.com/maps/search/?api=1&amp;query=-30.9017064180163,-55.5427401514255" TargetMode="External"/><Relationship Id="rId132" Type="http://schemas.openxmlformats.org/officeDocument/2006/relationships/hyperlink" Target="https://earth.google.com/web/search/-30.9064273984714,-55.5446259307892" TargetMode="External"/><Relationship Id="rId1084" Type="http://schemas.openxmlformats.org/officeDocument/2006/relationships/hyperlink" Target="https://earth.google.com/web/search/-30.9017064180163,-55.5427401514255" TargetMode="External"/><Relationship Id="rId131" Type="http://schemas.openxmlformats.org/officeDocument/2006/relationships/hyperlink" Target="https://www.google.com/maps/search/?api=1&amp;query=-30.9064273984714,-55.5446259307892" TargetMode="External"/><Relationship Id="rId1085" Type="http://schemas.openxmlformats.org/officeDocument/2006/relationships/hyperlink" Target="https://www.google.com/maps/search/?api=1&amp;query=-30.9016598284227,-55.5428398556522" TargetMode="External"/><Relationship Id="rId130" Type="http://schemas.openxmlformats.org/officeDocument/2006/relationships/hyperlink" Target="https://earth.google.com/web/search/-30.9067355577984,-55.5448361613182" TargetMode="External"/><Relationship Id="rId1086" Type="http://schemas.openxmlformats.org/officeDocument/2006/relationships/hyperlink" Target="https://earth.google.com/web/search/-30.9016598284227,-55.5428398556522" TargetMode="External"/><Relationship Id="rId1087" Type="http://schemas.openxmlformats.org/officeDocument/2006/relationships/hyperlink" Target="https://www.google.com/maps/search/?api=1&amp;query=-30.9014156796772,-55.5432801289721" TargetMode="External"/><Relationship Id="rId136" Type="http://schemas.openxmlformats.org/officeDocument/2006/relationships/hyperlink" Target="https://earth.google.com/web/search/-30.9063040304978,-5.5544531208111" TargetMode="External"/><Relationship Id="rId1088" Type="http://schemas.openxmlformats.org/officeDocument/2006/relationships/hyperlink" Target="https://earth.google.com/web/search/-30.9014156796772,-55.5432801289721" TargetMode="External"/><Relationship Id="rId135" Type="http://schemas.openxmlformats.org/officeDocument/2006/relationships/hyperlink" Target="https://www.google.com/maps/search/?api=1&amp;query=-30.9063040304978,-5.5544531208111" TargetMode="External"/><Relationship Id="rId1089" Type="http://schemas.openxmlformats.org/officeDocument/2006/relationships/hyperlink" Target="https://www.google.com/maps/search/?api=1&amp;query=-30.9013990022236,-55.5434351894742" TargetMode="External"/><Relationship Id="rId134" Type="http://schemas.openxmlformats.org/officeDocument/2006/relationships/hyperlink" Target="https://earth.google.com/web/search/-30.9063713001184,-55.5445787690684" TargetMode="External"/><Relationship Id="rId133" Type="http://schemas.openxmlformats.org/officeDocument/2006/relationships/hyperlink" Target="https://www.google.com/maps/search/?api=1&amp;query=-30.9063713001184,-55.5445787690684" TargetMode="External"/><Relationship Id="rId172" Type="http://schemas.openxmlformats.org/officeDocument/2006/relationships/hyperlink" Target="https://earth.google.com/web/search/-30.9057452741714,-55.5453859453561" TargetMode="External"/><Relationship Id="rId171" Type="http://schemas.openxmlformats.org/officeDocument/2006/relationships/hyperlink" Target="https://www.google.com/maps/search/?api=1&amp;query=-30.9057452741714,-55.5453859453561" TargetMode="External"/><Relationship Id="rId170" Type="http://schemas.openxmlformats.org/officeDocument/2006/relationships/hyperlink" Target="https://earth.google.com/web/search/-30.9056896451178,-55.5454074275334" TargetMode="External"/><Relationship Id="rId165" Type="http://schemas.openxmlformats.org/officeDocument/2006/relationships/hyperlink" Target="https://www.google.com/maps/search/?api=1&amp;query=-30.9063151655113,-55.5456584383578" TargetMode="External"/><Relationship Id="rId164" Type="http://schemas.openxmlformats.org/officeDocument/2006/relationships/hyperlink" Target="https://earth.google.com/web/search/-30.9062393566237,-55.5455905929223" TargetMode="External"/><Relationship Id="rId163" Type="http://schemas.openxmlformats.org/officeDocument/2006/relationships/hyperlink" Target="https://www.google.com/maps/search/?api=1&amp;query=-30.9062393566237,-55.5455905929223" TargetMode="External"/><Relationship Id="rId162" Type="http://schemas.openxmlformats.org/officeDocument/2006/relationships/hyperlink" Target="https://earth.google.com/web/search/-30.9061152722388,-55.5455346446913" TargetMode="External"/><Relationship Id="rId169" Type="http://schemas.openxmlformats.org/officeDocument/2006/relationships/hyperlink" Target="https://www.google.com/maps/search/?api=1&amp;query=-30.9056896451178,-55.5454074275334" TargetMode="External"/><Relationship Id="rId168" Type="http://schemas.openxmlformats.org/officeDocument/2006/relationships/hyperlink" Target="https://earth.google.com/web/search/-30.9056064797171,-55.5455440067214" TargetMode="External"/><Relationship Id="rId167" Type="http://schemas.openxmlformats.org/officeDocument/2006/relationships/hyperlink" Target="https://www.google.com/maps/search/?api=1&amp;query=-30.9056064797171,-55.5455440067214" TargetMode="External"/><Relationship Id="rId166" Type="http://schemas.openxmlformats.org/officeDocument/2006/relationships/hyperlink" Target="https://earth.google.com/web/search/-30.9063151655113,-55.5456584383578" TargetMode="External"/><Relationship Id="rId161" Type="http://schemas.openxmlformats.org/officeDocument/2006/relationships/hyperlink" Target="https://www.google.com/maps/search/?api=1&amp;query=-30.9061152722388,-55.5455346446913" TargetMode="External"/><Relationship Id="rId160" Type="http://schemas.openxmlformats.org/officeDocument/2006/relationships/hyperlink" Target="https://earth.google.com/web/search/-30.9060556086761,-55.5454749565226" TargetMode="External"/><Relationship Id="rId159" Type="http://schemas.openxmlformats.org/officeDocument/2006/relationships/hyperlink" Target="https://www.google.com/maps/search/?api=1&amp;query=-30.9060556086761,-55.5454749565226" TargetMode="External"/><Relationship Id="rId154" Type="http://schemas.openxmlformats.org/officeDocument/2006/relationships/hyperlink" Target="https://earth.google.com/web/search/-3.0905778305195,-55.5452808490344" TargetMode="External"/><Relationship Id="rId153" Type="http://schemas.openxmlformats.org/officeDocument/2006/relationships/hyperlink" Target="https://www.google.com/maps/search/?api=1&amp;query=-3.0905778305195,-55.5452808490344" TargetMode="External"/><Relationship Id="rId152" Type="http://schemas.openxmlformats.org/officeDocument/2006/relationships/hyperlink" Target="https://earth.google.com/web/search/-30.9057784144434,-55.5451903806213" TargetMode="External"/><Relationship Id="rId151" Type="http://schemas.openxmlformats.org/officeDocument/2006/relationships/hyperlink" Target="https://www.google.com/maps/search/?api=1&amp;query=-30.9057784144434,-55.5451903806213" TargetMode="External"/><Relationship Id="rId158" Type="http://schemas.openxmlformats.org/officeDocument/2006/relationships/hyperlink" Target="https://earth.google.com/web/search/-30.9059148324354,-5.5545378410436" TargetMode="External"/><Relationship Id="rId157" Type="http://schemas.openxmlformats.org/officeDocument/2006/relationships/hyperlink" Target="https://www.google.com/maps/search/?api=1&amp;query=-30.9059148324354,-5.5545378410436" TargetMode="External"/><Relationship Id="rId156" Type="http://schemas.openxmlformats.org/officeDocument/2006/relationships/hyperlink" Target="https://earth.google.com/web/search/-3.0905851879685,-55.5453377524178" TargetMode="External"/><Relationship Id="rId155" Type="http://schemas.openxmlformats.org/officeDocument/2006/relationships/hyperlink" Target="https://www.google.com/maps/search/?api=1&amp;query=-3.0905851879685,-55.5453377524178" TargetMode="External"/><Relationship Id="rId1972" Type="http://schemas.openxmlformats.org/officeDocument/2006/relationships/hyperlink" Target="https://earth.google.com/web/search/-30.8983097532202,-55.5413330252179" TargetMode="External"/><Relationship Id="rId1973" Type="http://schemas.openxmlformats.org/officeDocument/2006/relationships/hyperlink" Target="https://www.google.com/maps/search/?api=1&amp;query=-30.8981107392081,-55.5413705181441" TargetMode="External"/><Relationship Id="rId1974" Type="http://schemas.openxmlformats.org/officeDocument/2006/relationships/hyperlink" Target="https://earth.google.com/web/search/-30.8981107392081,-55.5413705181441" TargetMode="External"/><Relationship Id="rId1975" Type="http://schemas.openxmlformats.org/officeDocument/2006/relationships/hyperlink" Target="https://www.google.com/maps/search/?api=1&amp;query=-30.8980695284718,-55.5414437253582" TargetMode="External"/><Relationship Id="rId1976" Type="http://schemas.openxmlformats.org/officeDocument/2006/relationships/hyperlink" Target="https://earth.google.com/web/search/-30.8980695284718,-55.5414437253582" TargetMode="External"/><Relationship Id="rId1977" Type="http://schemas.openxmlformats.org/officeDocument/2006/relationships/hyperlink" Target="https://www.google.com/maps/search/?api=1&amp;query=-30.8979630628458,-55.5416409333335" TargetMode="External"/><Relationship Id="rId1978" Type="http://schemas.openxmlformats.org/officeDocument/2006/relationships/hyperlink" Target="https://earth.google.com/web/search/-30.8979630628458,-55.5416409333335" TargetMode="External"/><Relationship Id="rId1979" Type="http://schemas.openxmlformats.org/officeDocument/2006/relationships/hyperlink" Target="https://www.google.com/maps/search/?api=1&amp;query=-30.8979213020731,-55.5417048358892" TargetMode="External"/><Relationship Id="rId1970" Type="http://schemas.openxmlformats.org/officeDocument/2006/relationships/hyperlink" Target="https://earth.google.com/web/search/-30.8984402163921,-55.5414314085893" TargetMode="External"/><Relationship Id="rId1971" Type="http://schemas.openxmlformats.org/officeDocument/2006/relationships/hyperlink" Target="https://www.google.com/maps/search/?api=1&amp;query=-30.8983097532202,-55.5413330252179" TargetMode="External"/><Relationship Id="rId1961" Type="http://schemas.openxmlformats.org/officeDocument/2006/relationships/hyperlink" Target="https://www.google.com/maps/search/?api=1&amp;query=-30.8986369391589,-55.5421984870431" TargetMode="External"/><Relationship Id="rId1962" Type="http://schemas.openxmlformats.org/officeDocument/2006/relationships/hyperlink" Target="https://earth.google.com/web/search/-30.8986369391589,-55.5421984870431" TargetMode="External"/><Relationship Id="rId1963" Type="http://schemas.openxmlformats.org/officeDocument/2006/relationships/hyperlink" Target="https://www.google.com/maps/search/?api=1&amp;query=-30.8987859025406,-55.5419173595468" TargetMode="External"/><Relationship Id="rId1964" Type="http://schemas.openxmlformats.org/officeDocument/2006/relationships/hyperlink" Target="https://earth.google.com/web/search/-30.8987859025406,-55.5419173595468" TargetMode="External"/><Relationship Id="rId1965" Type="http://schemas.openxmlformats.org/officeDocument/2006/relationships/hyperlink" Target="https://www.google.com/maps/search/?api=1&amp;query=-30.8988174182227,-55.5418609325364" TargetMode="External"/><Relationship Id="rId1966" Type="http://schemas.openxmlformats.org/officeDocument/2006/relationships/hyperlink" Target="https://earth.google.com/web/search/-30.8988174182227,-55.5418609325364" TargetMode="External"/><Relationship Id="rId1967" Type="http://schemas.openxmlformats.org/officeDocument/2006/relationships/hyperlink" Target="https://www.google.com/maps/search/?api=1&amp;query=-30.8988591655099,-55.5417858677233" TargetMode="External"/><Relationship Id="rId1968" Type="http://schemas.openxmlformats.org/officeDocument/2006/relationships/hyperlink" Target="https://earth.google.com/web/search/-30.8988591655099,-55.5417858677233" TargetMode="External"/><Relationship Id="rId1969" Type="http://schemas.openxmlformats.org/officeDocument/2006/relationships/hyperlink" Target="https://www.google.com/maps/search/?api=1&amp;query=-30.8984402163921,-55.5414314085893" TargetMode="External"/><Relationship Id="rId1960" Type="http://schemas.openxmlformats.org/officeDocument/2006/relationships/hyperlink" Target="https://earth.google.com/web/search/-30.8985904581126,-55.5422823215695" TargetMode="External"/><Relationship Id="rId1510" Type="http://schemas.openxmlformats.org/officeDocument/2006/relationships/hyperlink" Target="https://earth.google.com/web/search/-30.9004755191971,-5.5541624112458" TargetMode="External"/><Relationship Id="rId1994" Type="http://schemas.openxmlformats.org/officeDocument/2006/relationships/hyperlink" Target="https://earth.google.com/web/search/-30.9008234050176,-0.5553557778185" TargetMode="External"/><Relationship Id="rId1511" Type="http://schemas.openxmlformats.org/officeDocument/2006/relationships/hyperlink" Target="https://www.google.com/maps/search/?api=1&amp;query=-30.9004281990633,-55.5415850919365" TargetMode="External"/><Relationship Id="rId1995" Type="http://schemas.openxmlformats.org/officeDocument/2006/relationships/hyperlink" Target="https://www.google.com/maps/search/?api=1&amp;query=-3.0900723640044,-55.5355054407966" TargetMode="External"/><Relationship Id="rId1512" Type="http://schemas.openxmlformats.org/officeDocument/2006/relationships/hyperlink" Target="https://earth.google.com/web/search/-30.9004281990633,-55.5415850919365" TargetMode="External"/><Relationship Id="rId1996" Type="http://schemas.openxmlformats.org/officeDocument/2006/relationships/hyperlink" Target="https://earth.google.com/web/search/-3.0900723640044,-55.5355054407966" TargetMode="External"/><Relationship Id="rId1513" Type="http://schemas.openxmlformats.org/officeDocument/2006/relationships/hyperlink" Target="https://www.google.com/maps/search/?api=1&amp;query=-30.8999419856801,-5.5542017620993" TargetMode="External"/><Relationship Id="rId1997" Type="http://schemas.openxmlformats.org/officeDocument/2006/relationships/hyperlink" Target="https://www.google.com/maps/search/?api=1&amp;query=-30.9006436148234,-55.5354530583077" TargetMode="External"/><Relationship Id="rId1514" Type="http://schemas.openxmlformats.org/officeDocument/2006/relationships/hyperlink" Target="https://earth.google.com/web/search/-30.8999419856801,-5.5542017620993" TargetMode="External"/><Relationship Id="rId1998" Type="http://schemas.openxmlformats.org/officeDocument/2006/relationships/hyperlink" Target="https://earth.google.com/web/search/-30.9006436148234,-55.5354530583077" TargetMode="External"/><Relationship Id="rId1515" Type="http://schemas.openxmlformats.org/officeDocument/2006/relationships/hyperlink" Target="https://www.google.com/maps/search/?api=1&amp;query=-30.8998875151561,-55.5423478241849" TargetMode="External"/><Relationship Id="rId1999" Type="http://schemas.openxmlformats.org/officeDocument/2006/relationships/hyperlink" Target="https://www.google.com/maps/search/?api=1&amp;query=-30.9005484117239,-55.5353726733088" TargetMode="External"/><Relationship Id="rId1516" Type="http://schemas.openxmlformats.org/officeDocument/2006/relationships/hyperlink" Target="https://earth.google.com/web/search/-30.8998875151561,-55.5423478241849" TargetMode="External"/><Relationship Id="rId1517" Type="http://schemas.openxmlformats.org/officeDocument/2006/relationships/hyperlink" Target="https://www.google.com/maps/search/?api=1&amp;query=-30.8999275772658,-55.5423922898504" TargetMode="External"/><Relationship Id="rId1518" Type="http://schemas.openxmlformats.org/officeDocument/2006/relationships/hyperlink" Target="https://earth.google.com/web/search/-30.8999275772658,-55.5423922898504" TargetMode="External"/><Relationship Id="rId1519" Type="http://schemas.openxmlformats.org/officeDocument/2006/relationships/hyperlink" Target="https://www.google.com/maps/search/?api=1&amp;query=-30.9000641168067,-55.5424767038438" TargetMode="External"/><Relationship Id="rId1990" Type="http://schemas.openxmlformats.org/officeDocument/2006/relationships/hyperlink" Target="https://earth.google.com/web/search/-30.9008207136681,-55.5360592922928" TargetMode="External"/><Relationship Id="rId1991" Type="http://schemas.openxmlformats.org/officeDocument/2006/relationships/hyperlink" Target="https://www.google.com/maps/search/?api=1&amp;query=-3.0900872656184,-55.5359413280977" TargetMode="External"/><Relationship Id="rId1992" Type="http://schemas.openxmlformats.org/officeDocument/2006/relationships/hyperlink" Target="https://earth.google.com/web/search/-3.0900872656184,-55.5359413280977" TargetMode="External"/><Relationship Id="rId1993" Type="http://schemas.openxmlformats.org/officeDocument/2006/relationships/hyperlink" Target="https://www.google.com/maps/search/?api=1&amp;query=-30.9008234050176,-0.5553557778185" TargetMode="External"/><Relationship Id="rId1983" Type="http://schemas.openxmlformats.org/officeDocument/2006/relationships/hyperlink" Target="https://www.google.com/maps/search/?api=1&amp;query=-30.9006041569498,-55.5364623390118" TargetMode="External"/><Relationship Id="rId1500" Type="http://schemas.openxmlformats.org/officeDocument/2006/relationships/hyperlink" Target="https://earth.google.com/web/search/-30.9005523937325,-55.5426595109627" TargetMode="External"/><Relationship Id="rId1984" Type="http://schemas.openxmlformats.org/officeDocument/2006/relationships/hyperlink" Target="https://earth.google.com/web/search/-30.9006041569498,-55.5364623390118" TargetMode="External"/><Relationship Id="rId1501" Type="http://schemas.openxmlformats.org/officeDocument/2006/relationships/hyperlink" Target="https://www.google.com/maps/search/?api=1&amp;query=-30.9006987245029,-55.5423670497946" TargetMode="External"/><Relationship Id="rId1985" Type="http://schemas.openxmlformats.org/officeDocument/2006/relationships/hyperlink" Target="https://www.google.com/maps/search/?api=1&amp;query=-30.9007036655686,-55.5362660651799" TargetMode="External"/><Relationship Id="rId1502" Type="http://schemas.openxmlformats.org/officeDocument/2006/relationships/hyperlink" Target="https://earth.google.com/web/search/-30.9006987245029,-55.5423670497946" TargetMode="External"/><Relationship Id="rId1986" Type="http://schemas.openxmlformats.org/officeDocument/2006/relationships/hyperlink" Target="https://earth.google.com/web/search/-30.9007036655686,-55.5362660651799" TargetMode="External"/><Relationship Id="rId1503" Type="http://schemas.openxmlformats.org/officeDocument/2006/relationships/hyperlink" Target="https://www.google.com/maps/search/?api=1&amp;query=-30.9007530108523,-55.5422860310134" TargetMode="External"/><Relationship Id="rId1987" Type="http://schemas.openxmlformats.org/officeDocument/2006/relationships/hyperlink" Target="https://www.google.com/maps/search/?api=1&amp;query=-30.9007445565416,-55.5361836496907" TargetMode="External"/><Relationship Id="rId1504" Type="http://schemas.openxmlformats.org/officeDocument/2006/relationships/hyperlink" Target="https://earth.google.com/web/search/-30.9007530108523,-55.5422860310134" TargetMode="External"/><Relationship Id="rId1988" Type="http://schemas.openxmlformats.org/officeDocument/2006/relationships/hyperlink" Target="https://earth.google.com/web/search/-30.9007445565416,-55.5361836496907" TargetMode="External"/><Relationship Id="rId1505" Type="http://schemas.openxmlformats.org/officeDocument/2006/relationships/hyperlink" Target="https://www.google.com/maps/search/?api=1&amp;query=-30.9007316534445,-55.5417941580084" TargetMode="External"/><Relationship Id="rId1989" Type="http://schemas.openxmlformats.org/officeDocument/2006/relationships/hyperlink" Target="https://www.google.com/maps/search/?api=1&amp;query=-30.9008207136681,-55.5360592922928" TargetMode="External"/><Relationship Id="rId1506" Type="http://schemas.openxmlformats.org/officeDocument/2006/relationships/hyperlink" Target="https://earth.google.com/web/search/-30.9007316534445,-55.5417941580084" TargetMode="External"/><Relationship Id="rId1507" Type="http://schemas.openxmlformats.org/officeDocument/2006/relationships/hyperlink" Target="https://www.google.com/maps/search/?api=1&amp;query=-30.9005980205587,-55.5417095176489" TargetMode="External"/><Relationship Id="rId1508" Type="http://schemas.openxmlformats.org/officeDocument/2006/relationships/hyperlink" Target="https://earth.google.com/web/search/-30.9005980205587,-55.5417095176489" TargetMode="External"/><Relationship Id="rId1509" Type="http://schemas.openxmlformats.org/officeDocument/2006/relationships/hyperlink" Target="https://www.google.com/maps/search/?api=1&amp;query=-30.9004755191971,-5.5541624112458" TargetMode="External"/><Relationship Id="rId1980" Type="http://schemas.openxmlformats.org/officeDocument/2006/relationships/hyperlink" Target="https://earth.google.com/web/search/-30.8979213020731,-55.5417048358892" TargetMode="External"/><Relationship Id="rId1981" Type="http://schemas.openxmlformats.org/officeDocument/2006/relationships/hyperlink" Target="https://www.google.com/maps/search/?api=1&amp;query=-30.8977949518116,-55.5419658525365" TargetMode="External"/><Relationship Id="rId1982" Type="http://schemas.openxmlformats.org/officeDocument/2006/relationships/hyperlink" Target="https://earth.google.com/web/search/-30.8977949518116,-55.5419658525365" TargetMode="External"/><Relationship Id="rId1930" Type="http://schemas.openxmlformats.org/officeDocument/2006/relationships/hyperlink" Target="https://earth.google.com/web/search/-30.8992022615502,-55.5407199892122" TargetMode="External"/><Relationship Id="rId1931" Type="http://schemas.openxmlformats.org/officeDocument/2006/relationships/hyperlink" Target="https://www.google.com/maps/search/?api=1&amp;query=-30.8990398746707,-55.5406070945383" TargetMode="External"/><Relationship Id="rId1932" Type="http://schemas.openxmlformats.org/officeDocument/2006/relationships/hyperlink" Target="https://earth.google.com/web/search/-30.8990398746707,-55.5406070945383" TargetMode="External"/><Relationship Id="rId1933" Type="http://schemas.openxmlformats.org/officeDocument/2006/relationships/hyperlink" Target="https://www.google.com/maps/search/?api=1&amp;query=-30.8983712514167,-55.5408726624898" TargetMode="External"/><Relationship Id="rId1934" Type="http://schemas.openxmlformats.org/officeDocument/2006/relationships/hyperlink" Target="https://earth.google.com/web/search/-30.8983712514167,-55.5408726624898" TargetMode="External"/><Relationship Id="rId1935" Type="http://schemas.openxmlformats.org/officeDocument/2006/relationships/hyperlink" Target="https://www.google.com/maps/search/?api=1&amp;query=-30.8983380365911,-55.5409390658516" TargetMode="External"/><Relationship Id="rId1936" Type="http://schemas.openxmlformats.org/officeDocument/2006/relationships/hyperlink" Target="https://earth.google.com/web/search/-30.8983380365911,-55.5409390658516" TargetMode="External"/><Relationship Id="rId1937" Type="http://schemas.openxmlformats.org/officeDocument/2006/relationships/hyperlink" Target="https://www.google.com/maps/search/?api=1&amp;query=-30.8982592957036,-55.5410928272012" TargetMode="External"/><Relationship Id="rId1938" Type="http://schemas.openxmlformats.org/officeDocument/2006/relationships/hyperlink" Target="https://earth.google.com/web/search/-30.8982592957036,-55.5410928272012" TargetMode="External"/><Relationship Id="rId1939" Type="http://schemas.openxmlformats.org/officeDocument/2006/relationships/hyperlink" Target="https://www.google.com/maps/search/?api=1&amp;query=-30.8982841984857,-55.5412047278847" TargetMode="External"/><Relationship Id="rId1920" Type="http://schemas.openxmlformats.org/officeDocument/2006/relationships/hyperlink" Target="https://earth.google.com/web/search/-30.8989800127958,-55.5415821211935" TargetMode="External"/><Relationship Id="rId1921" Type="http://schemas.openxmlformats.org/officeDocument/2006/relationships/hyperlink" Target="https://www.google.com/maps/search/?api=1&amp;query=-30.8991211148638,-55.5412836418502" TargetMode="External"/><Relationship Id="rId1922" Type="http://schemas.openxmlformats.org/officeDocument/2006/relationships/hyperlink" Target="https://earth.google.com/web/search/-30.8991211148638,-55.5412836418502" TargetMode="External"/><Relationship Id="rId1923" Type="http://schemas.openxmlformats.org/officeDocument/2006/relationships/hyperlink" Target="https://www.google.com/maps/search/?api=1&amp;query=-3.0899184718355,-55.5411783641668" TargetMode="External"/><Relationship Id="rId1924" Type="http://schemas.openxmlformats.org/officeDocument/2006/relationships/hyperlink" Target="https://earth.google.com/web/search/-3.0899184718355,-55.5411783641668" TargetMode="External"/><Relationship Id="rId1925" Type="http://schemas.openxmlformats.org/officeDocument/2006/relationships/hyperlink" Target="https://www.google.com/maps/search/?api=1&amp;query=-30.8992947044136,-55.5409709121789" TargetMode="External"/><Relationship Id="rId1926" Type="http://schemas.openxmlformats.org/officeDocument/2006/relationships/hyperlink" Target="https://earth.google.com/web/search/-30.8992947044136,-55.5409709121789" TargetMode="External"/><Relationship Id="rId1927" Type="http://schemas.openxmlformats.org/officeDocument/2006/relationships/hyperlink" Target="https://www.google.com/maps/search/?api=1&amp;query=-30.8992879907925,-55.5407662905886" TargetMode="External"/><Relationship Id="rId1928" Type="http://schemas.openxmlformats.org/officeDocument/2006/relationships/hyperlink" Target="https://earth.google.com/web/search/-30.8992879907925,-55.5407662905886" TargetMode="External"/><Relationship Id="rId1929" Type="http://schemas.openxmlformats.org/officeDocument/2006/relationships/hyperlink" Target="https://www.google.com/maps/search/?api=1&amp;query=-30.8992022615502,-55.5407199892122" TargetMode="External"/><Relationship Id="rId1950" Type="http://schemas.openxmlformats.org/officeDocument/2006/relationships/hyperlink" Target="https://earth.google.com/web/search/-30.8981726086042,-55.5423702417183" TargetMode="External"/><Relationship Id="rId1951" Type="http://schemas.openxmlformats.org/officeDocument/2006/relationships/hyperlink" Target="https://www.google.com/maps/search/?api=1&amp;query=-30.8982548012276,-55.5424155347397" TargetMode="External"/><Relationship Id="rId1952" Type="http://schemas.openxmlformats.org/officeDocument/2006/relationships/hyperlink" Target="https://earth.google.com/web/search/-30.8982548012276,-55.5424155347397" TargetMode="External"/><Relationship Id="rId1953" Type="http://schemas.openxmlformats.org/officeDocument/2006/relationships/hyperlink" Target="https://www.google.com/maps/search/?api=1&amp;query=-30.8984710249479,-55.5425166848929" TargetMode="External"/><Relationship Id="rId1954" Type="http://schemas.openxmlformats.org/officeDocument/2006/relationships/hyperlink" Target="https://earth.google.com/web/search/-30.8984710249479,-55.5425166848929" TargetMode="External"/><Relationship Id="rId1955" Type="http://schemas.openxmlformats.org/officeDocument/2006/relationships/hyperlink" Target="https://www.google.com/maps/search/?api=1&amp;query=-30.8984955283851,-55.5424455910643" TargetMode="External"/><Relationship Id="rId1956" Type="http://schemas.openxmlformats.org/officeDocument/2006/relationships/hyperlink" Target="https://earth.google.com/web/search/-30.8984955283851,-55.5424455910643" TargetMode="External"/><Relationship Id="rId1957" Type="http://schemas.openxmlformats.org/officeDocument/2006/relationships/hyperlink" Target="https://www.google.com/maps/search/?api=1&amp;query=-30.8985469111315,-55.5423976349703" TargetMode="External"/><Relationship Id="rId1958" Type="http://schemas.openxmlformats.org/officeDocument/2006/relationships/hyperlink" Target="https://earth.google.com/web/search/-30.8985469111315,-55.5423976349703" TargetMode="External"/><Relationship Id="rId1959" Type="http://schemas.openxmlformats.org/officeDocument/2006/relationships/hyperlink" Target="https://www.google.com/maps/search/?api=1&amp;query=-30.8985904581126,-55.5422823215695" TargetMode="External"/><Relationship Id="rId1940" Type="http://schemas.openxmlformats.org/officeDocument/2006/relationships/hyperlink" Target="https://earth.google.com/web/search/-30.8982841984857,-55.5412047278847" TargetMode="External"/><Relationship Id="rId1941" Type="http://schemas.openxmlformats.org/officeDocument/2006/relationships/hyperlink" Target="https://www.google.com/maps/search/?api=1&amp;query=-30.8985013959956,-55.5413523935319" TargetMode="External"/><Relationship Id="rId1942" Type="http://schemas.openxmlformats.org/officeDocument/2006/relationships/hyperlink" Target="https://earth.google.com/web/search/-30.8985013959956,-55.5413523935319" TargetMode="External"/><Relationship Id="rId1943" Type="http://schemas.openxmlformats.org/officeDocument/2006/relationships/hyperlink" Target="https://www.google.com/maps/search/?api=1&amp;query=-30.8987722272045,-55.5415441848993" TargetMode="External"/><Relationship Id="rId1944" Type="http://schemas.openxmlformats.org/officeDocument/2006/relationships/hyperlink" Target="https://earth.google.com/web/search/-30.8987722272045,-55.5415441848993" TargetMode="External"/><Relationship Id="rId1945" Type="http://schemas.openxmlformats.org/officeDocument/2006/relationships/hyperlink" Target="https://www.google.com/maps/search/?api=1&amp;query=-30.8988417828387,-55.5415912209923" TargetMode="External"/><Relationship Id="rId1946" Type="http://schemas.openxmlformats.org/officeDocument/2006/relationships/hyperlink" Target="https://earth.google.com/web/search/-30.8988417828387,-55.5415912209923" TargetMode="External"/><Relationship Id="rId1947" Type="http://schemas.openxmlformats.org/officeDocument/2006/relationships/hyperlink" Target="https://www.google.com/maps/search/?api=1&amp;query=-30.8978705455035,-55.5421608286773" TargetMode="External"/><Relationship Id="rId1948" Type="http://schemas.openxmlformats.org/officeDocument/2006/relationships/hyperlink" Target="https://earth.google.com/web/search/-30.8978705455035,-55.5421608286773" TargetMode="External"/><Relationship Id="rId1949" Type="http://schemas.openxmlformats.org/officeDocument/2006/relationships/hyperlink" Target="https://www.google.com/maps/search/?api=1&amp;query=-30.8981726086042,-55.5423702417183" TargetMode="External"/><Relationship Id="rId1576" Type="http://schemas.openxmlformats.org/officeDocument/2006/relationships/hyperlink" Target="https://earth.google.com/web/search/-3.0902212067572,-55.5375527496267" TargetMode="External"/><Relationship Id="rId2423" Type="http://schemas.openxmlformats.org/officeDocument/2006/relationships/hyperlink" Target="https://www.google.com/maps/search/?api=1&amp;query=-30.8959597047258,-55.5393456717798" TargetMode="External"/><Relationship Id="rId1577" Type="http://schemas.openxmlformats.org/officeDocument/2006/relationships/hyperlink" Target="https://www.google.com/maps/search/?api=1&amp;query=-30.9023223167147,-55.5373118355414" TargetMode="External"/><Relationship Id="rId2424" Type="http://schemas.openxmlformats.org/officeDocument/2006/relationships/hyperlink" Target="https://earth.google.com/web/search/-30.8959597047258,-55.5393456717798" TargetMode="External"/><Relationship Id="rId1578" Type="http://schemas.openxmlformats.org/officeDocument/2006/relationships/hyperlink" Target="https://earth.google.com/web/search/-30.9023223167147,-55.5373118355414" TargetMode="External"/><Relationship Id="rId2425" Type="http://schemas.openxmlformats.org/officeDocument/2006/relationships/hyperlink" Target="https://www.google.com/maps/search/?api=1&amp;query=-30.8960736953033,-55.5391167912065" TargetMode="External"/><Relationship Id="rId1579" Type="http://schemas.openxmlformats.org/officeDocument/2006/relationships/hyperlink" Target="https://www.google.com/maps/search/?api=1&amp;query=-30.9018546749789,-55.5363451041953" TargetMode="External"/><Relationship Id="rId2426" Type="http://schemas.openxmlformats.org/officeDocument/2006/relationships/hyperlink" Target="https://earth.google.com/web/search/-30.8960736953033,-55.5391167912065" TargetMode="External"/><Relationship Id="rId2427" Type="http://schemas.openxmlformats.org/officeDocument/2006/relationships/hyperlink" Target="https://www.google.com/maps/search/?api=1&amp;query=-30.8961390166818,-55.5389877795353" TargetMode="External"/><Relationship Id="rId2428" Type="http://schemas.openxmlformats.org/officeDocument/2006/relationships/hyperlink" Target="https://earth.google.com/web/search/-30.8961390166818,-55.5389877795353" TargetMode="External"/><Relationship Id="rId2429" Type="http://schemas.openxmlformats.org/officeDocument/2006/relationships/hyperlink" Target="https://www.google.com/maps/search/?api=1&amp;query=-30.8962142188988,-55.5388615483696" TargetMode="External"/><Relationship Id="rId509" Type="http://schemas.openxmlformats.org/officeDocument/2006/relationships/hyperlink" Target="https://www.google.com/maps/search/?api=1&amp;query=-30.9056689750018,-55.5431781183231" TargetMode="External"/><Relationship Id="rId508" Type="http://schemas.openxmlformats.org/officeDocument/2006/relationships/hyperlink" Target="https://earth.google.com/web/search/-30.9056305167776,-55.5432594632674" TargetMode="External"/><Relationship Id="rId503" Type="http://schemas.openxmlformats.org/officeDocument/2006/relationships/hyperlink" Target="https://www.google.com/maps/search/?api=1&amp;query=-30.9056510206845,-55.5426449869553" TargetMode="External"/><Relationship Id="rId987" Type="http://schemas.openxmlformats.org/officeDocument/2006/relationships/hyperlink" Target="https://www.google.com/maps/search/?api=1&amp;query=-30.9040474449771,-55.5391014673086" TargetMode="External"/><Relationship Id="rId502" Type="http://schemas.openxmlformats.org/officeDocument/2006/relationships/hyperlink" Target="https://earth.google.com/web/search/-30.9055760430366,-55.5425995350711" TargetMode="External"/><Relationship Id="rId986" Type="http://schemas.openxmlformats.org/officeDocument/2006/relationships/hyperlink" Target="https://earth.google.com/web/search/-30.9042555582107,-5.5539253114277" TargetMode="External"/><Relationship Id="rId501" Type="http://schemas.openxmlformats.org/officeDocument/2006/relationships/hyperlink" Target="https://www.google.com/maps/search/?api=1&amp;query=-30.9055760430366,-55.5425995350711" TargetMode="External"/><Relationship Id="rId985" Type="http://schemas.openxmlformats.org/officeDocument/2006/relationships/hyperlink" Target="https://www.google.com/maps/search/?api=1&amp;query=-30.9042555582107,-5.5539253114277" TargetMode="External"/><Relationship Id="rId500" Type="http://schemas.openxmlformats.org/officeDocument/2006/relationships/hyperlink" Target="https://earth.google.com/web/search/-30.9054669520482,-55.5424997098385" TargetMode="External"/><Relationship Id="rId984" Type="http://schemas.openxmlformats.org/officeDocument/2006/relationships/hyperlink" Target="https://earth.google.com/web/search/-30.9043480880134,-55.5395820929481" TargetMode="External"/><Relationship Id="rId507" Type="http://schemas.openxmlformats.org/officeDocument/2006/relationships/hyperlink" Target="https://www.google.com/maps/search/?api=1&amp;query=-30.9056305167776,-55.5432594632674" TargetMode="External"/><Relationship Id="rId506" Type="http://schemas.openxmlformats.org/officeDocument/2006/relationships/hyperlink" Target="https://earth.google.com/web/search/-30.9057669818182,-55.5427322282652" TargetMode="External"/><Relationship Id="rId505" Type="http://schemas.openxmlformats.org/officeDocument/2006/relationships/hyperlink" Target="https://www.google.com/maps/search/?api=1&amp;query=-30.9057669818182,-55.5427322282652" TargetMode="External"/><Relationship Id="rId989" Type="http://schemas.openxmlformats.org/officeDocument/2006/relationships/hyperlink" Target="https://www.google.com/maps/search/?api=1&amp;query=-30.9039146088045,-55.5390026370184" TargetMode="External"/><Relationship Id="rId504" Type="http://schemas.openxmlformats.org/officeDocument/2006/relationships/hyperlink" Target="https://earth.google.com/web/search/-30.9056510206845,-55.5426449869553" TargetMode="External"/><Relationship Id="rId988" Type="http://schemas.openxmlformats.org/officeDocument/2006/relationships/hyperlink" Target="https://earth.google.com/web/search/-30.9040474449771,-55.5391014673086" TargetMode="External"/><Relationship Id="rId1570" Type="http://schemas.openxmlformats.org/officeDocument/2006/relationships/hyperlink" Target="https://earth.google.com/web/search/-3.0899889889631,-5.5543592441913" TargetMode="External"/><Relationship Id="rId1571" Type="http://schemas.openxmlformats.org/officeDocument/2006/relationships/hyperlink" Target="https://www.google.com/maps/search/?api=1&amp;query=-30.8999841344258,-5.5543648682277" TargetMode="External"/><Relationship Id="rId983" Type="http://schemas.openxmlformats.org/officeDocument/2006/relationships/hyperlink" Target="https://www.google.com/maps/search/?api=1&amp;query=-30.9043480880134,-55.5395820929481" TargetMode="External"/><Relationship Id="rId1572" Type="http://schemas.openxmlformats.org/officeDocument/2006/relationships/hyperlink" Target="https://earth.google.com/web/search/-30.8999841344258,-5.5543648682277" TargetMode="External"/><Relationship Id="rId982" Type="http://schemas.openxmlformats.org/officeDocument/2006/relationships/hyperlink" Target="https://earth.google.com/web/search/-30.9041940719613,-55.5398918653551" TargetMode="External"/><Relationship Id="rId1573" Type="http://schemas.openxmlformats.org/officeDocument/2006/relationships/hyperlink" Target="https://www.google.com/maps/search/?api=1&amp;query=-30.9021762674063,-5.5537622753463" TargetMode="External"/><Relationship Id="rId2420" Type="http://schemas.openxmlformats.org/officeDocument/2006/relationships/hyperlink" Target="https://earth.google.com/web/search/-30.8961250624666,-55.5396302097219" TargetMode="External"/><Relationship Id="rId981" Type="http://schemas.openxmlformats.org/officeDocument/2006/relationships/hyperlink" Target="https://www.google.com/maps/search/?api=1&amp;query=-30.9041940719613,-55.5398918653551" TargetMode="External"/><Relationship Id="rId1574" Type="http://schemas.openxmlformats.org/officeDocument/2006/relationships/hyperlink" Target="https://earth.google.com/web/search/-30.9021762674063,-5.5537622753463" TargetMode="External"/><Relationship Id="rId2421" Type="http://schemas.openxmlformats.org/officeDocument/2006/relationships/hyperlink" Target="https://www.google.com/maps/search/?api=1&amp;query=-30.8960437638141,-55.5395877633479" TargetMode="External"/><Relationship Id="rId980" Type="http://schemas.openxmlformats.org/officeDocument/2006/relationships/hyperlink" Target="https://earth.google.com/web/search/-30.9043858963054,-55.5392390774177" TargetMode="External"/><Relationship Id="rId1575" Type="http://schemas.openxmlformats.org/officeDocument/2006/relationships/hyperlink" Target="https://www.google.com/maps/search/?api=1&amp;query=-3.0902212067572,-55.5375527496267" TargetMode="External"/><Relationship Id="rId2422" Type="http://schemas.openxmlformats.org/officeDocument/2006/relationships/hyperlink" Target="https://earth.google.com/web/search/-30.8960437638141,-55.5395877633479" TargetMode="External"/><Relationship Id="rId1565" Type="http://schemas.openxmlformats.org/officeDocument/2006/relationships/hyperlink" Target="https://www.google.com/maps/search/?api=1&amp;query=-30.8997202863523,-5.5543472141518" TargetMode="External"/><Relationship Id="rId2412" Type="http://schemas.openxmlformats.org/officeDocument/2006/relationships/hyperlink" Target="https://earth.google.com/web/search/-30.8967283977023,-55.5389572648396" TargetMode="External"/><Relationship Id="rId1566" Type="http://schemas.openxmlformats.org/officeDocument/2006/relationships/hyperlink" Target="https://earth.google.com/web/search/-30.8997202863523,-5.5543472141518" TargetMode="External"/><Relationship Id="rId2413" Type="http://schemas.openxmlformats.org/officeDocument/2006/relationships/hyperlink" Target="https://www.google.com/maps/search/?api=1&amp;query=-30.8968843579261,-55.5393981307237" TargetMode="External"/><Relationship Id="rId1567" Type="http://schemas.openxmlformats.org/officeDocument/2006/relationships/hyperlink" Target="https://www.google.com/maps/search/?api=1&amp;query=-30.8998016895989,-55.5435343040881" TargetMode="External"/><Relationship Id="rId2414" Type="http://schemas.openxmlformats.org/officeDocument/2006/relationships/hyperlink" Target="https://earth.google.com/web/search/-30.8968843579261,-55.5393981307237" TargetMode="External"/><Relationship Id="rId1568" Type="http://schemas.openxmlformats.org/officeDocument/2006/relationships/hyperlink" Target="https://earth.google.com/web/search/-30.8998016895989,-55.5435343040881" TargetMode="External"/><Relationship Id="rId2415" Type="http://schemas.openxmlformats.org/officeDocument/2006/relationships/hyperlink" Target="https://www.google.com/maps/search/?api=1&amp;query=-0.3089658806882,-55.5399743206763" TargetMode="External"/><Relationship Id="rId1569" Type="http://schemas.openxmlformats.org/officeDocument/2006/relationships/hyperlink" Target="https://www.google.com/maps/search/?api=1&amp;query=-3.0899889889631,-5.5543592441913" TargetMode="External"/><Relationship Id="rId2416" Type="http://schemas.openxmlformats.org/officeDocument/2006/relationships/hyperlink" Target="https://earth.google.com/web/search/-0.3089658806882,-55.5399743206763" TargetMode="External"/><Relationship Id="rId2417" Type="http://schemas.openxmlformats.org/officeDocument/2006/relationships/hyperlink" Target="https://www.google.com/maps/search/?api=1&amp;query=-30.8964896014276,-55.5399009675515" TargetMode="External"/><Relationship Id="rId2418" Type="http://schemas.openxmlformats.org/officeDocument/2006/relationships/hyperlink" Target="https://earth.google.com/web/search/-30.8964896014276,-55.5399009675515" TargetMode="External"/><Relationship Id="rId2419" Type="http://schemas.openxmlformats.org/officeDocument/2006/relationships/hyperlink" Target="https://www.google.com/maps/search/?api=1&amp;query=-30.8961250624666,-55.5396302097219" TargetMode="External"/><Relationship Id="rId976" Type="http://schemas.openxmlformats.org/officeDocument/2006/relationships/hyperlink" Target="https://earth.google.com/web/search/-30.9041533750787,-55.5390872035305" TargetMode="External"/><Relationship Id="rId975" Type="http://schemas.openxmlformats.org/officeDocument/2006/relationships/hyperlink" Target="https://www.google.com/maps/search/?api=1&amp;query=-30.9041533750787,-55.5390872035305" TargetMode="External"/><Relationship Id="rId974" Type="http://schemas.openxmlformats.org/officeDocument/2006/relationships/hyperlink" Target="https://earth.google.com/web/search/-30.9040380300183,-55.5389867621223" TargetMode="External"/><Relationship Id="rId973" Type="http://schemas.openxmlformats.org/officeDocument/2006/relationships/hyperlink" Target="https://www.google.com/maps/search/?api=1&amp;query=-30.9040380300183,-55.5389867621223" TargetMode="External"/><Relationship Id="rId979" Type="http://schemas.openxmlformats.org/officeDocument/2006/relationships/hyperlink" Target="https://www.google.com/maps/search/?api=1&amp;query=-30.9043858963054,-55.5392390774177" TargetMode="External"/><Relationship Id="rId978" Type="http://schemas.openxmlformats.org/officeDocument/2006/relationships/hyperlink" Target="https://earth.google.com/web/search/-30.9042741130955,-55.5391494742533" TargetMode="External"/><Relationship Id="rId977" Type="http://schemas.openxmlformats.org/officeDocument/2006/relationships/hyperlink" Target="https://www.google.com/maps/search/?api=1&amp;query=-30.9042741130955,-55.5391494742533" TargetMode="External"/><Relationship Id="rId1560" Type="http://schemas.openxmlformats.org/officeDocument/2006/relationships/hyperlink" Target="https://earth.google.com/web/search/-30.8994758466852,-55.5432969824009" TargetMode="External"/><Relationship Id="rId972" Type="http://schemas.openxmlformats.org/officeDocument/2006/relationships/hyperlink" Target="https://earth.google.com/web/search/-30.9038678934465,-55.5386231734106" TargetMode="External"/><Relationship Id="rId1561" Type="http://schemas.openxmlformats.org/officeDocument/2006/relationships/hyperlink" Target="https://www.google.com/maps/search/?api=1&amp;query=-30.8995330622534,-55.5433476496418" TargetMode="External"/><Relationship Id="rId971" Type="http://schemas.openxmlformats.org/officeDocument/2006/relationships/hyperlink" Target="https://www.google.com/maps/search/?api=1&amp;query=-30.9038678934465,-55.5386231734106" TargetMode="External"/><Relationship Id="rId1562" Type="http://schemas.openxmlformats.org/officeDocument/2006/relationships/hyperlink" Target="https://earth.google.com/web/search/-30.8995330622534,-55.5433476496418" TargetMode="External"/><Relationship Id="rId970" Type="http://schemas.openxmlformats.org/officeDocument/2006/relationships/hyperlink" Target="https://earth.google.com/web/search/-30.9039823537806,-55.5383717159934" TargetMode="External"/><Relationship Id="rId1563" Type="http://schemas.openxmlformats.org/officeDocument/2006/relationships/hyperlink" Target="https://www.google.com/maps/search/?api=1&amp;query=-30.8996261072775,-55.5433999588933" TargetMode="External"/><Relationship Id="rId2410" Type="http://schemas.openxmlformats.org/officeDocument/2006/relationships/hyperlink" Target="https://earth.google.com/web/search/-30.8964829106729,-55.5387804182816" TargetMode="External"/><Relationship Id="rId1564" Type="http://schemas.openxmlformats.org/officeDocument/2006/relationships/hyperlink" Target="https://earth.google.com/web/search/-30.8996261072775,-55.5433999588933" TargetMode="External"/><Relationship Id="rId2411" Type="http://schemas.openxmlformats.org/officeDocument/2006/relationships/hyperlink" Target="https://www.google.com/maps/search/?api=1&amp;query=-30.8967283977023,-55.5389572648396" TargetMode="External"/><Relationship Id="rId1114" Type="http://schemas.openxmlformats.org/officeDocument/2006/relationships/hyperlink" Target="https://earth.google.com/web/search/-30.9017236544621,-55.5437595083251" TargetMode="External"/><Relationship Id="rId1598" Type="http://schemas.openxmlformats.org/officeDocument/2006/relationships/hyperlink" Target="https://earth.google.com/web/search/-30.9015613942655,-55.5372097916469" TargetMode="External"/><Relationship Id="rId2445" Type="http://schemas.openxmlformats.org/officeDocument/2006/relationships/hyperlink" Target="https://www.google.com/maps/search/?api=1&amp;query=-30.8972380946243,-55.5387387561222" TargetMode="External"/><Relationship Id="rId1115" Type="http://schemas.openxmlformats.org/officeDocument/2006/relationships/hyperlink" Target="https://www.google.com/maps/search/?api=1&amp;query=-30.9016382772794,-55.5437007252447" TargetMode="External"/><Relationship Id="rId1599" Type="http://schemas.openxmlformats.org/officeDocument/2006/relationships/hyperlink" Target="https://www.google.com/maps/search/?api=1&amp;query=-30.9016223934471,-5.5537262070003" TargetMode="External"/><Relationship Id="rId2446" Type="http://schemas.openxmlformats.org/officeDocument/2006/relationships/hyperlink" Target="https://earth.google.com/web/search/-30.8972380946243,-55.5387387561222" TargetMode="External"/><Relationship Id="rId1116" Type="http://schemas.openxmlformats.org/officeDocument/2006/relationships/hyperlink" Target="https://earth.google.com/web/search/-30.9016382772794,-55.5437007252447" TargetMode="External"/><Relationship Id="rId2447" Type="http://schemas.openxmlformats.org/officeDocument/2006/relationships/hyperlink" Target="https://www.google.com/maps/search/?api=1&amp;query=-30.8972622018724,-55.5386929178202" TargetMode="External"/><Relationship Id="rId1117" Type="http://schemas.openxmlformats.org/officeDocument/2006/relationships/hyperlink" Target="https://www.google.com/maps/search/?api=1&amp;query=-30.9014459474304,-55.5435813409999" TargetMode="External"/><Relationship Id="rId2448" Type="http://schemas.openxmlformats.org/officeDocument/2006/relationships/hyperlink" Target="https://earth.google.com/web/search/-30.8972622018724,-55.5386929178202" TargetMode="External"/><Relationship Id="rId1118" Type="http://schemas.openxmlformats.org/officeDocument/2006/relationships/hyperlink" Target="https://earth.google.com/web/search/-30.9014459474304,-55.5435813409999" TargetMode="External"/><Relationship Id="rId2449" Type="http://schemas.openxmlformats.org/officeDocument/2006/relationships/hyperlink" Target="https://www.google.com/maps/search/?api=1&amp;query=-30.8973054825383,-55.5386134142694" TargetMode="External"/><Relationship Id="rId1119" Type="http://schemas.openxmlformats.org/officeDocument/2006/relationships/hyperlink" Target="https://www.google.com/maps/search/?api=1&amp;query=-30.9011468496243,-55.5437920947915" TargetMode="External"/><Relationship Id="rId525" Type="http://schemas.openxmlformats.org/officeDocument/2006/relationships/hyperlink" Target="https://www.google.com/maps/search/?api=1&amp;query=-30.9050591705561,-55.5425021126981" TargetMode="External"/><Relationship Id="rId524" Type="http://schemas.openxmlformats.org/officeDocument/2006/relationships/hyperlink" Target="https://earth.google.com/web/search/-30.9051918364551,-55.5424485774027" TargetMode="External"/><Relationship Id="rId523" Type="http://schemas.openxmlformats.org/officeDocument/2006/relationships/hyperlink" Target="https://www.google.com/maps/search/?api=1&amp;query=-30.9051918364551,-55.5424485774027" TargetMode="External"/><Relationship Id="rId522" Type="http://schemas.openxmlformats.org/officeDocument/2006/relationships/hyperlink" Target="https://earth.google.com/web/search/-30.9053946517649,-55.5425913531961" TargetMode="External"/><Relationship Id="rId529" Type="http://schemas.openxmlformats.org/officeDocument/2006/relationships/hyperlink" Target="https://www.google.com/maps/search/?api=1&amp;query=-30.9049485337524,-55.5426874429198" TargetMode="External"/><Relationship Id="rId528" Type="http://schemas.openxmlformats.org/officeDocument/2006/relationships/hyperlink" Target="https://earth.google.com/web/search/-30.9049744703999,-55.5426460528014" TargetMode="External"/><Relationship Id="rId527" Type="http://schemas.openxmlformats.org/officeDocument/2006/relationships/hyperlink" Target="https://www.google.com/maps/search/?api=1&amp;query=-30.9049744703999,-55.5426460528014" TargetMode="External"/><Relationship Id="rId526" Type="http://schemas.openxmlformats.org/officeDocument/2006/relationships/hyperlink" Target="https://earth.google.com/web/search/-30.9050591705561,-55.5425021126981" TargetMode="External"/><Relationship Id="rId1590" Type="http://schemas.openxmlformats.org/officeDocument/2006/relationships/hyperlink" Target="https://earth.google.com/web/search/-30.9015853098035,-55.5368692099804" TargetMode="External"/><Relationship Id="rId1591" Type="http://schemas.openxmlformats.org/officeDocument/2006/relationships/hyperlink" Target="https://www.google.com/maps/search/?api=1&amp;query=-30.9015001505067,-5.5537026114976" TargetMode="External"/><Relationship Id="rId1592" Type="http://schemas.openxmlformats.org/officeDocument/2006/relationships/hyperlink" Target="https://earth.google.com/web/search/-30.9015001505067,-5.5537026114976" TargetMode="External"/><Relationship Id="rId1593" Type="http://schemas.openxmlformats.org/officeDocument/2006/relationships/hyperlink" Target="https://www.google.com/maps/search/?api=1&amp;query=-30.9014652963008,-55.5371523228686" TargetMode="External"/><Relationship Id="rId2440" Type="http://schemas.openxmlformats.org/officeDocument/2006/relationships/hyperlink" Target="https://earth.google.com/web/search/-30.8969406450004,-55.5389796793526" TargetMode="External"/><Relationship Id="rId521" Type="http://schemas.openxmlformats.org/officeDocument/2006/relationships/hyperlink" Target="https://www.google.com/maps/search/?api=1&amp;query=-30.9053946517649,-55.5425913531961" TargetMode="External"/><Relationship Id="rId1110" Type="http://schemas.openxmlformats.org/officeDocument/2006/relationships/hyperlink" Target="https://earth.google.com/web/search/-30.9020089709869,-55.5440603116944" TargetMode="External"/><Relationship Id="rId1594" Type="http://schemas.openxmlformats.org/officeDocument/2006/relationships/hyperlink" Target="https://earth.google.com/web/search/-30.9014652963008,-55.5371523228686" TargetMode="External"/><Relationship Id="rId2441" Type="http://schemas.openxmlformats.org/officeDocument/2006/relationships/hyperlink" Target="https://www.google.com/maps/search/?api=1&amp;query=-30.8970086943143,-55.5390323463274" TargetMode="External"/><Relationship Id="rId520" Type="http://schemas.openxmlformats.org/officeDocument/2006/relationships/hyperlink" Target="https://earth.google.com/web/search/-30.9055288652254,-5.5542681319269" TargetMode="External"/><Relationship Id="rId1111" Type="http://schemas.openxmlformats.org/officeDocument/2006/relationships/hyperlink" Target="https://www.google.com/maps/search/?api=1&amp;query=-30.9019288601759,-55.5438931271956" TargetMode="External"/><Relationship Id="rId1595" Type="http://schemas.openxmlformats.org/officeDocument/2006/relationships/hyperlink" Target="https://www.google.com/maps/search/?api=1&amp;query=-30.9015133027059,-55.5371756858227" TargetMode="External"/><Relationship Id="rId2442" Type="http://schemas.openxmlformats.org/officeDocument/2006/relationships/hyperlink" Target="https://earth.google.com/web/search/-30.8970086943143,-55.5390323463274" TargetMode="External"/><Relationship Id="rId1112" Type="http://schemas.openxmlformats.org/officeDocument/2006/relationships/hyperlink" Target="https://earth.google.com/web/search/-30.9019288601759,-55.5438931271956" TargetMode="External"/><Relationship Id="rId1596" Type="http://schemas.openxmlformats.org/officeDocument/2006/relationships/hyperlink" Target="https://earth.google.com/web/search/-30.9015133027059,-55.5371756858227" TargetMode="External"/><Relationship Id="rId2443" Type="http://schemas.openxmlformats.org/officeDocument/2006/relationships/hyperlink" Target="https://www.google.com/maps/search/?api=1&amp;query=-30.8972179414473,-5.5538795279808" TargetMode="External"/><Relationship Id="rId1113" Type="http://schemas.openxmlformats.org/officeDocument/2006/relationships/hyperlink" Target="https://www.google.com/maps/search/?api=1&amp;query=-30.9017236544621,-55.5437595083251" TargetMode="External"/><Relationship Id="rId1597" Type="http://schemas.openxmlformats.org/officeDocument/2006/relationships/hyperlink" Target="https://www.google.com/maps/search/?api=1&amp;query=-30.9015613942655,-55.5372097916469" TargetMode="External"/><Relationship Id="rId2444" Type="http://schemas.openxmlformats.org/officeDocument/2006/relationships/hyperlink" Target="https://earth.google.com/web/search/-30.8972179414473,-5.5538795279808" TargetMode="External"/><Relationship Id="rId1103" Type="http://schemas.openxmlformats.org/officeDocument/2006/relationships/hyperlink" Target="https://www.google.com/maps/search/?api=1&amp;query=-3.0901654841268,-55.5446448931117" TargetMode="External"/><Relationship Id="rId1587" Type="http://schemas.openxmlformats.org/officeDocument/2006/relationships/hyperlink" Target="https://www.google.com/maps/search/?api=1&amp;query=-30.9016260787651,-55.5367973234866" TargetMode="External"/><Relationship Id="rId2434" Type="http://schemas.openxmlformats.org/officeDocument/2006/relationships/hyperlink" Target="https://earth.google.com/web/search/-30.8965446189862,-55.5386850099032" TargetMode="External"/><Relationship Id="rId1104" Type="http://schemas.openxmlformats.org/officeDocument/2006/relationships/hyperlink" Target="https://earth.google.com/web/search/-3.0901654841268,-55.5446448931117" TargetMode="External"/><Relationship Id="rId1588" Type="http://schemas.openxmlformats.org/officeDocument/2006/relationships/hyperlink" Target="https://earth.google.com/web/search/-30.9016260787651,-55.5367973234866" TargetMode="External"/><Relationship Id="rId2435" Type="http://schemas.openxmlformats.org/officeDocument/2006/relationships/hyperlink" Target="https://www.google.com/maps/search/?api=1&amp;query=-3.0896828355727,-55.5388977491593" TargetMode="External"/><Relationship Id="rId1105" Type="http://schemas.openxmlformats.org/officeDocument/2006/relationships/hyperlink" Target="https://www.google.com/maps/search/?api=1&amp;query=-30.9018278211945,-55.5443079608928" TargetMode="External"/><Relationship Id="rId1589" Type="http://schemas.openxmlformats.org/officeDocument/2006/relationships/hyperlink" Target="https://www.google.com/maps/search/?api=1&amp;query=-30.9015853098035,-55.5368692099804" TargetMode="External"/><Relationship Id="rId2436" Type="http://schemas.openxmlformats.org/officeDocument/2006/relationships/hyperlink" Target="https://earth.google.com/web/search/-3.0896828355727,-55.5388977491593" TargetMode="External"/><Relationship Id="rId1106" Type="http://schemas.openxmlformats.org/officeDocument/2006/relationships/hyperlink" Target="https://earth.google.com/web/search/-30.9018278211945,-55.5443079608928" TargetMode="External"/><Relationship Id="rId2437" Type="http://schemas.openxmlformats.org/officeDocument/2006/relationships/hyperlink" Target="https://www.google.com/maps/search/?api=1&amp;query=-30.8968764406173,-5.5538949707548" TargetMode="External"/><Relationship Id="rId1107" Type="http://schemas.openxmlformats.org/officeDocument/2006/relationships/hyperlink" Target="https://www.google.com/maps/search/?api=1&amp;query=-30.9019506238991,-55.5441129995618" TargetMode="External"/><Relationship Id="rId2438" Type="http://schemas.openxmlformats.org/officeDocument/2006/relationships/hyperlink" Target="https://earth.google.com/web/search/-30.8968764406173,-5.5538949707548" TargetMode="External"/><Relationship Id="rId1108" Type="http://schemas.openxmlformats.org/officeDocument/2006/relationships/hyperlink" Target="https://earth.google.com/web/search/-30.9019506238991,-55.5441129995618" TargetMode="External"/><Relationship Id="rId2439" Type="http://schemas.openxmlformats.org/officeDocument/2006/relationships/hyperlink" Target="https://www.google.com/maps/search/?api=1&amp;query=-30.8969406450004,-55.5389796793526" TargetMode="External"/><Relationship Id="rId1109" Type="http://schemas.openxmlformats.org/officeDocument/2006/relationships/hyperlink" Target="https://www.google.com/maps/search/?api=1&amp;query=-30.9020089709869,-55.5440603116944" TargetMode="External"/><Relationship Id="rId519" Type="http://schemas.openxmlformats.org/officeDocument/2006/relationships/hyperlink" Target="https://www.google.com/maps/search/?api=1&amp;query=-30.9055288652254,-5.5542681319269" TargetMode="External"/><Relationship Id="rId514" Type="http://schemas.openxmlformats.org/officeDocument/2006/relationships/hyperlink" Target="https://earth.google.com/web/search/-30.9056840954301,-55.5427838706629" TargetMode="External"/><Relationship Id="rId998" Type="http://schemas.openxmlformats.org/officeDocument/2006/relationships/hyperlink" Target="https://earth.google.com/web/search/-30.9035298570783,-55.5398647275713" TargetMode="External"/><Relationship Id="rId513" Type="http://schemas.openxmlformats.org/officeDocument/2006/relationships/hyperlink" Target="https://www.google.com/maps/search/?api=1&amp;query=-30.9056840954301,-55.5427838706629" TargetMode="External"/><Relationship Id="rId997" Type="http://schemas.openxmlformats.org/officeDocument/2006/relationships/hyperlink" Target="https://www.google.com/maps/search/?api=1&amp;query=-30.9035298570783,-55.5398647275713" TargetMode="External"/><Relationship Id="rId512" Type="http://schemas.openxmlformats.org/officeDocument/2006/relationships/hyperlink" Target="https://earth.google.com/web/search/-30.9057226968924,-55.5428134448025" TargetMode="External"/><Relationship Id="rId996" Type="http://schemas.openxmlformats.org/officeDocument/2006/relationships/hyperlink" Target="https://earth.google.com/web/search/-30.9033977785875,-55.5397947826143" TargetMode="External"/><Relationship Id="rId511" Type="http://schemas.openxmlformats.org/officeDocument/2006/relationships/hyperlink" Target="https://www.google.com/maps/search/?api=1&amp;query=-30.9057226968924,-55.5428134448025" TargetMode="External"/><Relationship Id="rId995" Type="http://schemas.openxmlformats.org/officeDocument/2006/relationships/hyperlink" Target="https://www.google.com/maps/search/?api=1&amp;query=-30.9033977785875,-55.5397947826143" TargetMode="External"/><Relationship Id="rId518" Type="http://schemas.openxmlformats.org/officeDocument/2006/relationships/hyperlink" Target="https://earth.google.com/web/search/-3.0905576552958,-55.5427115729586" TargetMode="External"/><Relationship Id="rId517" Type="http://schemas.openxmlformats.org/officeDocument/2006/relationships/hyperlink" Target="https://www.google.com/maps/search/?api=1&amp;query=-3.0905576552958,-55.5427115729586" TargetMode="External"/><Relationship Id="rId516" Type="http://schemas.openxmlformats.org/officeDocument/2006/relationships/hyperlink" Target="https://earth.google.com/web/search/-30.9056231847204,-55.5427449669821" TargetMode="External"/><Relationship Id="rId515" Type="http://schemas.openxmlformats.org/officeDocument/2006/relationships/hyperlink" Target="https://www.google.com/maps/search/?api=1&amp;query=-30.9056231847204,-55.5427449669821" TargetMode="External"/><Relationship Id="rId999" Type="http://schemas.openxmlformats.org/officeDocument/2006/relationships/hyperlink" Target="https://www.google.com/maps/search/?api=1&amp;query=-30.9036922170269,-55.5400048831511" TargetMode="External"/><Relationship Id="rId990" Type="http://schemas.openxmlformats.org/officeDocument/2006/relationships/hyperlink" Target="https://earth.google.com/web/search/-30.9039146088045,-55.5390026370184" TargetMode="External"/><Relationship Id="rId1580" Type="http://schemas.openxmlformats.org/officeDocument/2006/relationships/hyperlink" Target="https://earth.google.com/web/search/-30.9018546749789,-55.5363451041953" TargetMode="External"/><Relationship Id="rId1581" Type="http://schemas.openxmlformats.org/officeDocument/2006/relationships/hyperlink" Target="https://www.google.com/maps/search/?api=1&amp;query=-30.9017442745536,-55.5365325594379" TargetMode="External"/><Relationship Id="rId1582" Type="http://schemas.openxmlformats.org/officeDocument/2006/relationships/hyperlink" Target="https://earth.google.com/web/search/-30.9017442745536,-55.5365325594379" TargetMode="External"/><Relationship Id="rId510" Type="http://schemas.openxmlformats.org/officeDocument/2006/relationships/hyperlink" Target="https://earth.google.com/web/search/-30.9056689750018,-55.5431781183231" TargetMode="External"/><Relationship Id="rId994" Type="http://schemas.openxmlformats.org/officeDocument/2006/relationships/hyperlink" Target="https://earth.google.com/web/search/-30.9033477135695,-55.5396472506684" TargetMode="External"/><Relationship Id="rId1583" Type="http://schemas.openxmlformats.org/officeDocument/2006/relationships/hyperlink" Target="https://www.google.com/maps/search/?api=1&amp;query=-3.0901685023776,-55.5366290654682" TargetMode="External"/><Relationship Id="rId2430" Type="http://schemas.openxmlformats.org/officeDocument/2006/relationships/hyperlink" Target="https://earth.google.com/web/search/-30.8962142188988,-55.5388615483696" TargetMode="External"/><Relationship Id="rId993" Type="http://schemas.openxmlformats.org/officeDocument/2006/relationships/hyperlink" Target="https://www.google.com/maps/search/?api=1&amp;query=-30.9033477135695,-55.5396472506684" TargetMode="External"/><Relationship Id="rId1100" Type="http://schemas.openxmlformats.org/officeDocument/2006/relationships/hyperlink" Target="https://earth.google.com/web/search/-30.9018596769871,-55.5437523715697" TargetMode="External"/><Relationship Id="rId1584" Type="http://schemas.openxmlformats.org/officeDocument/2006/relationships/hyperlink" Target="https://earth.google.com/web/search/-3.0901685023776,-55.5366290654682" TargetMode="External"/><Relationship Id="rId2431" Type="http://schemas.openxmlformats.org/officeDocument/2006/relationships/hyperlink" Target="https://www.google.com/maps/search/?api=1&amp;query=-30.8964626012366,-5.5538626617819" TargetMode="External"/><Relationship Id="rId992" Type="http://schemas.openxmlformats.org/officeDocument/2006/relationships/hyperlink" Target="https://earth.google.com/web/search/-30.9034256259568,-5.5539484302353" TargetMode="External"/><Relationship Id="rId1101" Type="http://schemas.openxmlformats.org/officeDocument/2006/relationships/hyperlink" Target="https://www.google.com/maps/search/?api=1&amp;query=-30.9020166637439,-55.5438593434756" TargetMode="External"/><Relationship Id="rId1585" Type="http://schemas.openxmlformats.org/officeDocument/2006/relationships/hyperlink" Target="https://www.google.com/maps/search/?api=1&amp;query=-30.9016730670086,-55.5367253533342" TargetMode="External"/><Relationship Id="rId2432" Type="http://schemas.openxmlformats.org/officeDocument/2006/relationships/hyperlink" Target="https://earth.google.com/web/search/-30.8964626012366,-5.5538626617819" TargetMode="External"/><Relationship Id="rId991" Type="http://schemas.openxmlformats.org/officeDocument/2006/relationships/hyperlink" Target="https://www.google.com/maps/search/?api=1&amp;query=-30.9034256259568,-5.5539484302353" TargetMode="External"/><Relationship Id="rId1102" Type="http://schemas.openxmlformats.org/officeDocument/2006/relationships/hyperlink" Target="https://earth.google.com/web/search/-30.9020166637439,-55.5438593434756" TargetMode="External"/><Relationship Id="rId1586" Type="http://schemas.openxmlformats.org/officeDocument/2006/relationships/hyperlink" Target="https://earth.google.com/web/search/-30.9016730670086,-55.5367253533342" TargetMode="External"/><Relationship Id="rId2433" Type="http://schemas.openxmlformats.org/officeDocument/2006/relationships/hyperlink" Target="https://www.google.com/maps/search/?api=1&amp;query=-30.8965446189862,-55.5386850099032" TargetMode="External"/><Relationship Id="rId1532" Type="http://schemas.openxmlformats.org/officeDocument/2006/relationships/hyperlink" Target="https://earth.google.com/web/search/-30.9000557152023,-5.5543596908436" TargetMode="External"/><Relationship Id="rId1533" Type="http://schemas.openxmlformats.org/officeDocument/2006/relationships/hyperlink" Target="https://www.google.com/maps/search/?api=1&amp;query=-30.9000818271328,-55.5435383029935" TargetMode="External"/><Relationship Id="rId1534" Type="http://schemas.openxmlformats.org/officeDocument/2006/relationships/hyperlink" Target="https://earth.google.com/web/search/-30.9000818271328,-55.5435383029935" TargetMode="External"/><Relationship Id="rId1535" Type="http://schemas.openxmlformats.org/officeDocument/2006/relationships/hyperlink" Target="https://www.google.com/maps/search/?api=1&amp;query=-30.9001199773017,-55.5434508454055" TargetMode="External"/><Relationship Id="rId1536" Type="http://schemas.openxmlformats.org/officeDocument/2006/relationships/hyperlink" Target="https://earth.google.com/web/search/-30.9001199773017,-55.5434508454055" TargetMode="External"/><Relationship Id="rId1537" Type="http://schemas.openxmlformats.org/officeDocument/2006/relationships/hyperlink" Target="https://www.google.com/maps/search/?api=1&amp;query=-30.9001522224157,-55.5433893970433" TargetMode="External"/><Relationship Id="rId1538" Type="http://schemas.openxmlformats.org/officeDocument/2006/relationships/hyperlink" Target="https://earth.google.com/web/search/-30.9001522224157,-55.5433893970433" TargetMode="External"/><Relationship Id="rId1539" Type="http://schemas.openxmlformats.org/officeDocument/2006/relationships/hyperlink" Target="https://www.google.com/maps/search/?api=1&amp;query=-30.9001949240365,-55.5433208050701" TargetMode="External"/><Relationship Id="rId949" Type="http://schemas.openxmlformats.org/officeDocument/2006/relationships/hyperlink" Target="https://www.google.com/maps/search/?api=1&amp;query=-30.9047594333469,-55.5387665487494" TargetMode="External"/><Relationship Id="rId948" Type="http://schemas.openxmlformats.org/officeDocument/2006/relationships/hyperlink" Target="https://earth.google.com/web/search/-30.9021901356545,-55.5440993357623" TargetMode="External"/><Relationship Id="rId943" Type="http://schemas.openxmlformats.org/officeDocument/2006/relationships/hyperlink" Target="https://www.google.com/maps/search/?api=1&amp;query=-3.0902763453827,-55.5446079801904" TargetMode="External"/><Relationship Id="rId942" Type="http://schemas.openxmlformats.org/officeDocument/2006/relationships/hyperlink" Target="https://earth.google.com/web/search/-30.9027198734165,-55.5446667316024" TargetMode="External"/><Relationship Id="rId941" Type="http://schemas.openxmlformats.org/officeDocument/2006/relationships/hyperlink" Target="https://www.google.com/maps/search/?api=1&amp;query=-30.9027198734165,-55.5446667316024" TargetMode="External"/><Relationship Id="rId940" Type="http://schemas.openxmlformats.org/officeDocument/2006/relationships/hyperlink" Target="https://earth.google.com/web/search/-30.9026982103171,-5.5544743986383" TargetMode="External"/><Relationship Id="rId947" Type="http://schemas.openxmlformats.org/officeDocument/2006/relationships/hyperlink" Target="https://www.google.com/maps/search/?api=1&amp;query=-30.9021901356545,-55.5440993357623" TargetMode="External"/><Relationship Id="rId946" Type="http://schemas.openxmlformats.org/officeDocument/2006/relationships/hyperlink" Target="https://earth.google.com/web/search/-3.0902349223211,-55.5442005421021" TargetMode="External"/><Relationship Id="rId945" Type="http://schemas.openxmlformats.org/officeDocument/2006/relationships/hyperlink" Target="https://www.google.com/maps/search/?api=1&amp;query=-3.0902349223211,-55.5442005421021" TargetMode="External"/><Relationship Id="rId944" Type="http://schemas.openxmlformats.org/officeDocument/2006/relationships/hyperlink" Target="https://earth.google.com/web/search/-3.0902763453827,-55.5446079801904" TargetMode="External"/><Relationship Id="rId1530" Type="http://schemas.openxmlformats.org/officeDocument/2006/relationships/hyperlink" Target="https://earth.google.com/web/search/-30.9004569502131,-5.5542748706017" TargetMode="External"/><Relationship Id="rId1531" Type="http://schemas.openxmlformats.org/officeDocument/2006/relationships/hyperlink" Target="https://www.google.com/maps/search/?api=1&amp;query=-30.9000557152023,-5.5543596908436" TargetMode="External"/><Relationship Id="rId1521" Type="http://schemas.openxmlformats.org/officeDocument/2006/relationships/hyperlink" Target="https://www.google.com/maps/search/?api=1&amp;query=-30.9001695548425,-0.0055542532895" TargetMode="External"/><Relationship Id="rId1522" Type="http://schemas.openxmlformats.org/officeDocument/2006/relationships/hyperlink" Target="https://earth.google.com/web/search/-30.9001695548425,-0.0055542532895" TargetMode="External"/><Relationship Id="rId1523" Type="http://schemas.openxmlformats.org/officeDocument/2006/relationships/hyperlink" Target="https://www.google.com/maps/search/?api=1&amp;query=-30.9002272693687,-55.5425818282632" TargetMode="External"/><Relationship Id="rId1524" Type="http://schemas.openxmlformats.org/officeDocument/2006/relationships/hyperlink" Target="https://earth.google.com/web/search/-30.9002272693687,-55.5425818282632" TargetMode="External"/><Relationship Id="rId1525" Type="http://schemas.openxmlformats.org/officeDocument/2006/relationships/hyperlink" Target="https://www.google.com/maps/search/?api=1&amp;query=-3.0900292049608,-55.5426225522118" TargetMode="External"/><Relationship Id="rId1526" Type="http://schemas.openxmlformats.org/officeDocument/2006/relationships/hyperlink" Target="https://earth.google.com/web/search/-3.0900292049608,-55.5426225522118" TargetMode="External"/><Relationship Id="rId1527" Type="http://schemas.openxmlformats.org/officeDocument/2006/relationships/hyperlink" Target="https://www.google.com/maps/search/?api=1&amp;query=-30.9003423724801,-55.5426626989965" TargetMode="External"/><Relationship Id="rId1528" Type="http://schemas.openxmlformats.org/officeDocument/2006/relationships/hyperlink" Target="https://earth.google.com/web/search/-30.9003423724801,-55.5426626989965" TargetMode="External"/><Relationship Id="rId1529" Type="http://schemas.openxmlformats.org/officeDocument/2006/relationships/hyperlink" Target="https://www.google.com/maps/search/?api=1&amp;query=-30.9004569502131,-5.5542748706017" TargetMode="External"/><Relationship Id="rId939" Type="http://schemas.openxmlformats.org/officeDocument/2006/relationships/hyperlink" Target="https://www.google.com/maps/search/?api=1&amp;query=-30.9026982103171,-5.5544743986383" TargetMode="External"/><Relationship Id="rId938" Type="http://schemas.openxmlformats.org/officeDocument/2006/relationships/hyperlink" Target="https://earth.google.com/web/search/-30.9023417962279,-55.5440935120504" TargetMode="External"/><Relationship Id="rId937" Type="http://schemas.openxmlformats.org/officeDocument/2006/relationships/hyperlink" Target="https://www.google.com/maps/search/?api=1&amp;query=-30.9023417962279,-55.5440935120504" TargetMode="External"/><Relationship Id="rId932" Type="http://schemas.openxmlformats.org/officeDocument/2006/relationships/hyperlink" Target="https://earth.google.com/web/search/-30.9021764617787,-55.5438510078228" TargetMode="External"/><Relationship Id="rId931" Type="http://schemas.openxmlformats.org/officeDocument/2006/relationships/hyperlink" Target="https://www.google.com/maps/search/?api=1&amp;query=-30.9021764617787,-55.5438510078228" TargetMode="External"/><Relationship Id="rId930" Type="http://schemas.openxmlformats.org/officeDocument/2006/relationships/hyperlink" Target="https://earth.google.com/web/search/-30.9022174004591,-55.5437861237448" TargetMode="External"/><Relationship Id="rId936" Type="http://schemas.openxmlformats.org/officeDocument/2006/relationships/hyperlink" Target="https://earth.google.com/web/search/-30.9022773217732,-55.5440534751683" TargetMode="External"/><Relationship Id="rId935" Type="http://schemas.openxmlformats.org/officeDocument/2006/relationships/hyperlink" Target="https://www.google.com/maps/search/?api=1&amp;query=-30.9022773217732,-55.5440534751683" TargetMode="External"/><Relationship Id="rId934" Type="http://schemas.openxmlformats.org/officeDocument/2006/relationships/hyperlink" Target="https://earth.google.com/web/search/-30.9021714819084,-55.5439555476467" TargetMode="External"/><Relationship Id="rId933" Type="http://schemas.openxmlformats.org/officeDocument/2006/relationships/hyperlink" Target="https://www.google.com/maps/search/?api=1&amp;query=-30.9021714819084,-55.5439555476467" TargetMode="External"/><Relationship Id="rId1520" Type="http://schemas.openxmlformats.org/officeDocument/2006/relationships/hyperlink" Target="https://earth.google.com/web/search/-30.9000641168067,-55.5424767038438" TargetMode="External"/><Relationship Id="rId1554" Type="http://schemas.openxmlformats.org/officeDocument/2006/relationships/hyperlink" Target="https://earth.google.com/web/search/-30.8993140688432,-55.5431160372795" TargetMode="External"/><Relationship Id="rId2401" Type="http://schemas.openxmlformats.org/officeDocument/2006/relationships/hyperlink" Target="https://www.google.com/maps/search/?api=1&amp;query=-30.8961634434846,-55.5407541260222" TargetMode="External"/><Relationship Id="rId1555" Type="http://schemas.openxmlformats.org/officeDocument/2006/relationships/hyperlink" Target="https://www.google.com/maps/search/?api=1&amp;query=-30.8993379956749,-55.5431853408385" TargetMode="External"/><Relationship Id="rId2402" Type="http://schemas.openxmlformats.org/officeDocument/2006/relationships/hyperlink" Target="https://earth.google.com/web/search/-30.8961634434846,-55.5407541260222" TargetMode="External"/><Relationship Id="rId1556" Type="http://schemas.openxmlformats.org/officeDocument/2006/relationships/hyperlink" Target="https://earth.google.com/web/search/-30.8993379956749,-55.5431853408385" TargetMode="External"/><Relationship Id="rId2403" Type="http://schemas.openxmlformats.org/officeDocument/2006/relationships/hyperlink" Target="https://www.google.com/maps/search/?api=1&amp;query=-30.8962062349824,-5.5540721880676" TargetMode="External"/><Relationship Id="rId1557" Type="http://schemas.openxmlformats.org/officeDocument/2006/relationships/hyperlink" Target="https://www.google.com/maps/search/?api=1&amp;query=-30.8994064983025,-55.5432540811909" TargetMode="External"/><Relationship Id="rId2404" Type="http://schemas.openxmlformats.org/officeDocument/2006/relationships/hyperlink" Target="https://earth.google.com/web/search/-30.8962062349824,-5.5540721880676" TargetMode="External"/><Relationship Id="rId1558" Type="http://schemas.openxmlformats.org/officeDocument/2006/relationships/hyperlink" Target="https://earth.google.com/web/search/-30.8994064983025,-55.5432540811909" TargetMode="External"/><Relationship Id="rId2405" Type="http://schemas.openxmlformats.org/officeDocument/2006/relationships/hyperlink" Target="https://www.google.com/maps/search/?api=1&amp;query=-30.8962577638991,-55.5406329876787" TargetMode="External"/><Relationship Id="rId1559" Type="http://schemas.openxmlformats.org/officeDocument/2006/relationships/hyperlink" Target="https://www.google.com/maps/search/?api=1&amp;query=-30.8994758466852,-55.5432969824009" TargetMode="External"/><Relationship Id="rId2406" Type="http://schemas.openxmlformats.org/officeDocument/2006/relationships/hyperlink" Target="https://earth.google.com/web/search/-30.8962577638991,-55.5406329876787" TargetMode="External"/><Relationship Id="rId2407" Type="http://schemas.openxmlformats.org/officeDocument/2006/relationships/hyperlink" Target="https://www.google.com/maps/search/?api=1&amp;query=-30.8963982943858,-55.5387137746236" TargetMode="External"/><Relationship Id="rId2408" Type="http://schemas.openxmlformats.org/officeDocument/2006/relationships/hyperlink" Target="https://earth.google.com/web/search/-30.8963982943858,-55.5387137746236" TargetMode="External"/><Relationship Id="rId2409" Type="http://schemas.openxmlformats.org/officeDocument/2006/relationships/hyperlink" Target="https://www.google.com/maps/search/?api=1&amp;query=-30.8964829106729,-55.5387804182816" TargetMode="External"/><Relationship Id="rId965" Type="http://schemas.openxmlformats.org/officeDocument/2006/relationships/hyperlink" Target="https://www.google.com/maps/search/?api=1&amp;query=-30.9041551190189,-55.5381309769155" TargetMode="External"/><Relationship Id="rId964" Type="http://schemas.openxmlformats.org/officeDocument/2006/relationships/hyperlink" Target="https://earth.google.com/web/search/-30.9043063964064,-55.5380707180625" TargetMode="External"/><Relationship Id="rId963" Type="http://schemas.openxmlformats.org/officeDocument/2006/relationships/hyperlink" Target="https://www.google.com/maps/search/?api=1&amp;query=-30.9043063964064,-55.5380707180625" TargetMode="External"/><Relationship Id="rId962" Type="http://schemas.openxmlformats.org/officeDocument/2006/relationships/hyperlink" Target="https://earth.google.com/web/search/-30.9043710895315,-55.5381032049806" TargetMode="External"/><Relationship Id="rId969" Type="http://schemas.openxmlformats.org/officeDocument/2006/relationships/hyperlink" Target="https://www.google.com/maps/search/?api=1&amp;query=-30.9039823537806,-55.5383717159934" TargetMode="External"/><Relationship Id="rId968" Type="http://schemas.openxmlformats.org/officeDocument/2006/relationships/hyperlink" Target="https://earth.google.com/web/search/-30.9040319285188,-55.5383318802582" TargetMode="External"/><Relationship Id="rId967" Type="http://schemas.openxmlformats.org/officeDocument/2006/relationships/hyperlink" Target="https://www.google.com/maps/search/?api=1&amp;query=-30.9040319285188,-55.5383318802582" TargetMode="External"/><Relationship Id="rId966" Type="http://schemas.openxmlformats.org/officeDocument/2006/relationships/hyperlink" Target="https://earth.google.com/web/search/-30.9041551190189,-55.5381309769155" TargetMode="External"/><Relationship Id="rId961" Type="http://schemas.openxmlformats.org/officeDocument/2006/relationships/hyperlink" Target="https://www.google.com/maps/search/?api=1&amp;query=-30.9043710895315,-55.5381032049806" TargetMode="External"/><Relationship Id="rId1550" Type="http://schemas.openxmlformats.org/officeDocument/2006/relationships/hyperlink" Target="https://earth.google.com/web/search/-30.8995674604156,-55.5426926172519" TargetMode="External"/><Relationship Id="rId960" Type="http://schemas.openxmlformats.org/officeDocument/2006/relationships/hyperlink" Target="https://earth.google.com/web/search/-3.0904419743296,-55.5381491820805" TargetMode="External"/><Relationship Id="rId1551" Type="http://schemas.openxmlformats.org/officeDocument/2006/relationships/hyperlink" Target="https://www.google.com/maps/search/?api=1&amp;query=-30.8994455883459,-55.5429195015559" TargetMode="External"/><Relationship Id="rId1552" Type="http://schemas.openxmlformats.org/officeDocument/2006/relationships/hyperlink" Target="https://earth.google.com/web/search/-30.8994455883459,-55.5429195015559" TargetMode="External"/><Relationship Id="rId1553" Type="http://schemas.openxmlformats.org/officeDocument/2006/relationships/hyperlink" Target="https://www.google.com/maps/search/?api=1&amp;query=-30.8993140688432,-55.5431160372795" TargetMode="External"/><Relationship Id="rId2400" Type="http://schemas.openxmlformats.org/officeDocument/2006/relationships/hyperlink" Target="https://earth.google.com/web/search/-30.8961490775822,-55.5408290258412" TargetMode="External"/><Relationship Id="rId1543" Type="http://schemas.openxmlformats.org/officeDocument/2006/relationships/hyperlink" Target="https://www.google.com/maps/search/?api=1&amp;query=-30.9004071155209,-55.5428444748594" TargetMode="External"/><Relationship Id="rId1544" Type="http://schemas.openxmlformats.org/officeDocument/2006/relationships/hyperlink" Target="https://earth.google.com/web/search/-30.9004071155209,-55.5428444748594" TargetMode="External"/><Relationship Id="rId1545" Type="http://schemas.openxmlformats.org/officeDocument/2006/relationships/hyperlink" Target="https://www.google.com/maps/search/?api=1&amp;query=-3.0899822779156,-55.5424258122958" TargetMode="External"/><Relationship Id="rId1546" Type="http://schemas.openxmlformats.org/officeDocument/2006/relationships/hyperlink" Target="https://earth.google.com/web/search/-3.0899822779156,-55.5424258122958" TargetMode="External"/><Relationship Id="rId1547" Type="http://schemas.openxmlformats.org/officeDocument/2006/relationships/hyperlink" Target="https://www.google.com/maps/search/?api=1&amp;query=-30.8996143338304,-55.5426010715545" TargetMode="External"/><Relationship Id="rId1548" Type="http://schemas.openxmlformats.org/officeDocument/2006/relationships/hyperlink" Target="https://earth.google.com/web/search/-30.8996143338304,-55.5426010715545" TargetMode="External"/><Relationship Id="rId1549" Type="http://schemas.openxmlformats.org/officeDocument/2006/relationships/hyperlink" Target="https://www.google.com/maps/search/?api=1&amp;query=-30.8995674604156,-55.5426926172519" TargetMode="External"/><Relationship Id="rId959" Type="http://schemas.openxmlformats.org/officeDocument/2006/relationships/hyperlink" Target="https://www.google.com/maps/search/?api=1&amp;query=-3.0904419743296,-55.5381491820805" TargetMode="External"/><Relationship Id="rId954" Type="http://schemas.openxmlformats.org/officeDocument/2006/relationships/hyperlink" Target="https://earth.google.com/web/search/-30.9048877631886,-55.5384739530947" TargetMode="External"/><Relationship Id="rId953" Type="http://schemas.openxmlformats.org/officeDocument/2006/relationships/hyperlink" Target="https://www.google.com/maps/search/?api=1&amp;query=-30.9048877631886,-55.5384739530947" TargetMode="External"/><Relationship Id="rId952" Type="http://schemas.openxmlformats.org/officeDocument/2006/relationships/hyperlink" Target="https://earth.google.com/web/search/-30.9048718650363,-55.5386133596576" TargetMode="External"/><Relationship Id="rId951" Type="http://schemas.openxmlformats.org/officeDocument/2006/relationships/hyperlink" Target="https://www.google.com/maps/search/?api=1&amp;query=-30.9048718650363,-55.5386133596576" TargetMode="External"/><Relationship Id="rId958" Type="http://schemas.openxmlformats.org/officeDocument/2006/relationships/hyperlink" Target="https://earth.google.com/web/search/-30.9045082544073,-55.5382104694265" TargetMode="External"/><Relationship Id="rId957" Type="http://schemas.openxmlformats.org/officeDocument/2006/relationships/hyperlink" Target="https://www.google.com/maps/search/?api=1&amp;query=-30.9045082544073,-55.5382104694265" TargetMode="External"/><Relationship Id="rId956" Type="http://schemas.openxmlformats.org/officeDocument/2006/relationships/hyperlink" Target="https://earth.google.com/web/search/-30.9048198510127,-55.5384180866443" TargetMode="External"/><Relationship Id="rId955" Type="http://schemas.openxmlformats.org/officeDocument/2006/relationships/hyperlink" Target="https://www.google.com/maps/search/?api=1&amp;query=-30.9048198510127,-55.5384180866443" TargetMode="External"/><Relationship Id="rId950" Type="http://schemas.openxmlformats.org/officeDocument/2006/relationships/hyperlink" Target="https://earth.google.com/web/search/-30.9047594333469,-55.5387665487494" TargetMode="External"/><Relationship Id="rId1540" Type="http://schemas.openxmlformats.org/officeDocument/2006/relationships/hyperlink" Target="https://earth.google.com/web/search/-30.9001949240365,-55.5433208050701" TargetMode="External"/><Relationship Id="rId1541" Type="http://schemas.openxmlformats.org/officeDocument/2006/relationships/hyperlink" Target="https://www.google.com/maps/search/?api=1&amp;query=-30.9002463323139,-55.5432493406334" TargetMode="External"/><Relationship Id="rId1542" Type="http://schemas.openxmlformats.org/officeDocument/2006/relationships/hyperlink" Target="https://earth.google.com/web/search/-30.9002463323139,-55.5432493406334" TargetMode="External"/><Relationship Id="rId2027" Type="http://schemas.openxmlformats.org/officeDocument/2006/relationships/hyperlink" Target="https://www.google.com/maps/search/?api=1&amp;query=-30.9001734164615,-55.5372539649552" TargetMode="External"/><Relationship Id="rId2028" Type="http://schemas.openxmlformats.org/officeDocument/2006/relationships/hyperlink" Target="https://earth.google.com/web/search/-30.9001734164615,-55.5372539649552" TargetMode="External"/><Relationship Id="rId2029" Type="http://schemas.openxmlformats.org/officeDocument/2006/relationships/hyperlink" Target="https://www.google.com/maps/search/?api=1&amp;query=-30.9004264389962,-55.5368046340356" TargetMode="External"/><Relationship Id="rId590" Type="http://schemas.openxmlformats.org/officeDocument/2006/relationships/hyperlink" Target="https://earth.google.com/web/search/-30.9058451169246,-55.5391462964251" TargetMode="External"/><Relationship Id="rId107" Type="http://schemas.openxmlformats.org/officeDocument/2006/relationships/hyperlink" Target="https://www.google.com/maps/search/?api=1&amp;query=-3.0906305108685,-55.5443622899591" TargetMode="External"/><Relationship Id="rId106" Type="http://schemas.openxmlformats.org/officeDocument/2006/relationships/hyperlink" Target="https://earth.google.com/web/search/-30.9063286471819,-55.5441819980959" TargetMode="External"/><Relationship Id="rId105" Type="http://schemas.openxmlformats.org/officeDocument/2006/relationships/hyperlink" Target="https://www.google.com/maps/search/?api=1&amp;query=-30.9063286471819,-55.5441819980959" TargetMode="External"/><Relationship Id="rId589" Type="http://schemas.openxmlformats.org/officeDocument/2006/relationships/hyperlink" Target="https://www.google.com/maps/search/?api=1&amp;query=-30.9058451169246,-55.5391462964251" TargetMode="External"/><Relationship Id="rId104" Type="http://schemas.openxmlformats.org/officeDocument/2006/relationships/hyperlink" Target="https://earth.google.com/web/search/-30.9063766871876,-55.5440925567203" TargetMode="External"/><Relationship Id="rId588" Type="http://schemas.openxmlformats.org/officeDocument/2006/relationships/hyperlink" Target="https://earth.google.com/web/search/-30.9059283688007,-55.5392127243041" TargetMode="External"/><Relationship Id="rId109" Type="http://schemas.openxmlformats.org/officeDocument/2006/relationships/hyperlink" Target="https://www.google.com/maps/search/?api=1&amp;query=-30.9063607014925,-55.5443985830834" TargetMode="External"/><Relationship Id="rId1170" Type="http://schemas.openxmlformats.org/officeDocument/2006/relationships/hyperlink" Target="https://earth.google.com/web/search/-30.9026873135681,-55.5392788468216" TargetMode="External"/><Relationship Id="rId108" Type="http://schemas.openxmlformats.org/officeDocument/2006/relationships/hyperlink" Target="https://earth.google.com/web/search/-3.0906305108685,-55.5443622899591" TargetMode="External"/><Relationship Id="rId1171" Type="http://schemas.openxmlformats.org/officeDocument/2006/relationships/hyperlink" Target="https://www.google.com/maps/search/?api=1&amp;query=-30.9028007795953,-55.5393658776701" TargetMode="External"/><Relationship Id="rId583" Type="http://schemas.openxmlformats.org/officeDocument/2006/relationships/hyperlink" Target="https://www.google.com/maps/search/?api=1&amp;query=-30.9063350437917,-55.5398914866894" TargetMode="External"/><Relationship Id="rId1172" Type="http://schemas.openxmlformats.org/officeDocument/2006/relationships/hyperlink" Target="https://earth.google.com/web/search/-30.9028007795953,-55.5393658776701" TargetMode="External"/><Relationship Id="rId582" Type="http://schemas.openxmlformats.org/officeDocument/2006/relationships/hyperlink" Target="https://earth.google.com/web/search/-30.9062909567593,-55.5399728502007" TargetMode="External"/><Relationship Id="rId1173" Type="http://schemas.openxmlformats.org/officeDocument/2006/relationships/hyperlink" Target="https://www.google.com/maps/search/?api=1&amp;query=-30.9028878381728,-55.5394227108547" TargetMode="External"/><Relationship Id="rId2020" Type="http://schemas.openxmlformats.org/officeDocument/2006/relationships/hyperlink" Target="https://earth.google.com/web/search/-30.9003643296102,-55.5363553247754" TargetMode="External"/><Relationship Id="rId581" Type="http://schemas.openxmlformats.org/officeDocument/2006/relationships/hyperlink" Target="https://www.google.com/maps/search/?api=1&amp;query=-30.9062909567593,-55.5399728502007" TargetMode="External"/><Relationship Id="rId1174" Type="http://schemas.openxmlformats.org/officeDocument/2006/relationships/hyperlink" Target="https://earth.google.com/web/search/-30.9028878381728,-55.5394227108547" TargetMode="External"/><Relationship Id="rId2021" Type="http://schemas.openxmlformats.org/officeDocument/2006/relationships/hyperlink" Target="https://www.google.com/maps/search/?api=1&amp;query=-30.9004189039707,-55.5364081502521" TargetMode="External"/><Relationship Id="rId580" Type="http://schemas.openxmlformats.org/officeDocument/2006/relationships/hyperlink" Target="https://earth.google.com/web/search/-30.9062626657419,-55.5400593672128" TargetMode="External"/><Relationship Id="rId1175" Type="http://schemas.openxmlformats.org/officeDocument/2006/relationships/hyperlink" Target="https://www.google.com/maps/search/?api=1&amp;query=-30.9029818025511,-55.5395174741139" TargetMode="External"/><Relationship Id="rId2022" Type="http://schemas.openxmlformats.org/officeDocument/2006/relationships/hyperlink" Target="https://earth.google.com/web/search/-30.9004189039707,-55.5364081502521" TargetMode="External"/><Relationship Id="rId103" Type="http://schemas.openxmlformats.org/officeDocument/2006/relationships/hyperlink" Target="https://www.google.com/maps/search/?api=1&amp;query=-30.9063766871876,-55.5440925567203" TargetMode="External"/><Relationship Id="rId587" Type="http://schemas.openxmlformats.org/officeDocument/2006/relationships/hyperlink" Target="https://www.google.com/maps/search/?api=1&amp;query=-30.9059283688007,-55.5392127243041" TargetMode="External"/><Relationship Id="rId1176" Type="http://schemas.openxmlformats.org/officeDocument/2006/relationships/hyperlink" Target="https://earth.google.com/web/search/-30.9029818025511,-55.5395174741139" TargetMode="External"/><Relationship Id="rId2023" Type="http://schemas.openxmlformats.org/officeDocument/2006/relationships/hyperlink" Target="https://www.google.com/maps/search/?api=1&amp;query=-30.9004691078066,-55.5364405844181" TargetMode="External"/><Relationship Id="rId102" Type="http://schemas.openxmlformats.org/officeDocument/2006/relationships/hyperlink" Target="https://earth.google.com/web/search/-30.9064708260981,-55.5439270306378" TargetMode="External"/><Relationship Id="rId586" Type="http://schemas.openxmlformats.org/officeDocument/2006/relationships/hyperlink" Target="https://earth.google.com/web/search/-30.9063676185956,-5.5539527600018" TargetMode="External"/><Relationship Id="rId1177" Type="http://schemas.openxmlformats.org/officeDocument/2006/relationships/hyperlink" Target="https://www.google.com/maps/search/?api=1&amp;query=-30.9030686034228,-5.5539553348655" TargetMode="External"/><Relationship Id="rId2024" Type="http://schemas.openxmlformats.org/officeDocument/2006/relationships/hyperlink" Target="https://earth.google.com/web/search/-30.9004691078066,-55.5364405844181" TargetMode="External"/><Relationship Id="rId101" Type="http://schemas.openxmlformats.org/officeDocument/2006/relationships/hyperlink" Target="https://www.google.com/maps/search/?api=1&amp;query=-30.9064708260981,-55.5439270306378" TargetMode="External"/><Relationship Id="rId585" Type="http://schemas.openxmlformats.org/officeDocument/2006/relationships/hyperlink" Target="https://www.google.com/maps/search/?api=1&amp;query=-30.9063676185956,-5.5539527600018" TargetMode="External"/><Relationship Id="rId1178" Type="http://schemas.openxmlformats.org/officeDocument/2006/relationships/hyperlink" Target="https://earth.google.com/web/search/-30.9030686034228,-5.5539553348655" TargetMode="External"/><Relationship Id="rId2025" Type="http://schemas.openxmlformats.org/officeDocument/2006/relationships/hyperlink" Target="https://www.google.com/maps/search/?api=1&amp;query=-30.9005386712548,-55.5364840278589" TargetMode="External"/><Relationship Id="rId100" Type="http://schemas.openxmlformats.org/officeDocument/2006/relationships/hyperlink" Target="https://earth.google.com/web/search/-30.9065389182527,-5.5543764634981" TargetMode="External"/><Relationship Id="rId584" Type="http://schemas.openxmlformats.org/officeDocument/2006/relationships/hyperlink" Target="https://earth.google.com/web/search/-30.9063350437917,-55.5398914866894" TargetMode="External"/><Relationship Id="rId1179" Type="http://schemas.openxmlformats.org/officeDocument/2006/relationships/hyperlink" Target="https://www.google.com/maps/search/?api=1&amp;query=-30.9031739165389,-55.5396356839257" TargetMode="External"/><Relationship Id="rId2026" Type="http://schemas.openxmlformats.org/officeDocument/2006/relationships/hyperlink" Target="https://earth.google.com/web/search/-30.9005386712548,-55.5364840278589" TargetMode="External"/><Relationship Id="rId1169" Type="http://schemas.openxmlformats.org/officeDocument/2006/relationships/hyperlink" Target="https://www.google.com/maps/search/?api=1&amp;query=-30.9026873135681,-55.5392788468216" TargetMode="External"/><Relationship Id="rId2016" Type="http://schemas.openxmlformats.org/officeDocument/2006/relationships/hyperlink" Target="https://earth.google.com/web/search/-30.9000887025078,-55.5361840771204" TargetMode="External"/><Relationship Id="rId2017" Type="http://schemas.openxmlformats.org/officeDocument/2006/relationships/hyperlink" Target="https://www.google.com/maps/search/?api=1&amp;query=-3.0900289799228,-55.5363164036982" TargetMode="External"/><Relationship Id="rId2018" Type="http://schemas.openxmlformats.org/officeDocument/2006/relationships/hyperlink" Target="https://earth.google.com/web/search/-3.0900289799228,-55.5363164036982" TargetMode="External"/><Relationship Id="rId2019" Type="http://schemas.openxmlformats.org/officeDocument/2006/relationships/hyperlink" Target="https://www.google.com/maps/search/?api=1&amp;query=-30.9003643296102,-55.5363553247754" TargetMode="External"/><Relationship Id="rId579" Type="http://schemas.openxmlformats.org/officeDocument/2006/relationships/hyperlink" Target="https://www.google.com/maps/search/?api=1&amp;query=-30.9062626657419,-55.5400593672128" TargetMode="External"/><Relationship Id="rId578" Type="http://schemas.openxmlformats.org/officeDocument/2006/relationships/hyperlink" Target="https://earth.google.com/web/search/-30.9061737128308,-55.5402103468574" TargetMode="External"/><Relationship Id="rId577" Type="http://schemas.openxmlformats.org/officeDocument/2006/relationships/hyperlink" Target="https://www.google.com/maps/search/?api=1&amp;query=-30.9061737128308,-55.5402103468574" TargetMode="External"/><Relationship Id="rId2490" Type="http://schemas.openxmlformats.org/officeDocument/2006/relationships/hyperlink" Target="https://earth.google.com/web/search/-30.8976493498301,-55.5369286107194" TargetMode="External"/><Relationship Id="rId1160" Type="http://schemas.openxmlformats.org/officeDocument/2006/relationships/hyperlink" Target="https://earth.google.com/web/search/-30.9027172727426,-5.5538805030917" TargetMode="External"/><Relationship Id="rId2491" Type="http://schemas.openxmlformats.org/officeDocument/2006/relationships/hyperlink" Target="https://www.google.com/maps/search/?api=1&amp;query=-30.8976059943484,-55.5362292930463" TargetMode="External"/><Relationship Id="rId572" Type="http://schemas.openxmlformats.org/officeDocument/2006/relationships/hyperlink" Target="https://earth.google.com/web/search/-30.9048767674103,-55.5447619488076" TargetMode="External"/><Relationship Id="rId1161" Type="http://schemas.openxmlformats.org/officeDocument/2006/relationships/hyperlink" Target="https://www.google.com/maps/search/?api=1&amp;query=-30.9026311383269,-55.5389224793881" TargetMode="External"/><Relationship Id="rId2492" Type="http://schemas.openxmlformats.org/officeDocument/2006/relationships/hyperlink" Target="https://earth.google.com/web/search/-30.8976059943484,-55.5362292930463" TargetMode="External"/><Relationship Id="rId571" Type="http://schemas.openxmlformats.org/officeDocument/2006/relationships/hyperlink" Target="https://www.google.com/maps/search/?api=1&amp;query=-30.9048767674103,-55.5447619488076" TargetMode="External"/><Relationship Id="rId1162" Type="http://schemas.openxmlformats.org/officeDocument/2006/relationships/hyperlink" Target="https://earth.google.com/web/search/-30.9026311383269,-55.5389224793881" TargetMode="External"/><Relationship Id="rId2493" Type="http://schemas.openxmlformats.org/officeDocument/2006/relationships/hyperlink" Target="https://www.google.com/maps/search/?api=1&amp;query=-30.8988967802284,-55.5354411890879" TargetMode="External"/><Relationship Id="rId570" Type="http://schemas.openxmlformats.org/officeDocument/2006/relationships/hyperlink" Target="https://earth.google.com/web/search/-30.9048070293893,-55.5447275906498" TargetMode="External"/><Relationship Id="rId1163" Type="http://schemas.openxmlformats.org/officeDocument/2006/relationships/hyperlink" Target="https://www.google.com/maps/search/?api=1&amp;query=-30.9026172192486,-55.5389806312985" TargetMode="External"/><Relationship Id="rId2010" Type="http://schemas.openxmlformats.org/officeDocument/2006/relationships/hyperlink" Target="https://earth.google.com/web/search/-30.9000284238521,-55.5357065209031" TargetMode="External"/><Relationship Id="rId2494" Type="http://schemas.openxmlformats.org/officeDocument/2006/relationships/hyperlink" Target="https://earth.google.com/web/search/-30.8988967802284,-55.5354411890879" TargetMode="External"/><Relationship Id="rId1164" Type="http://schemas.openxmlformats.org/officeDocument/2006/relationships/hyperlink" Target="https://earth.google.com/web/search/-30.9026172192486,-55.5389806312985" TargetMode="External"/><Relationship Id="rId2011" Type="http://schemas.openxmlformats.org/officeDocument/2006/relationships/hyperlink" Target="https://www.google.com/maps/search/?api=1&amp;query=-3.0899886309486,-5.5535989784461" TargetMode="External"/><Relationship Id="rId2495" Type="http://schemas.openxmlformats.org/officeDocument/2006/relationships/hyperlink" Target="https://www.google.com/maps/search/?api=1&amp;query=-30.8987268779951,-55.5353168640542" TargetMode="External"/><Relationship Id="rId576" Type="http://schemas.openxmlformats.org/officeDocument/2006/relationships/hyperlink" Target="https://earth.google.com/web/search/-30.9061362270462,-55.5402894928206" TargetMode="External"/><Relationship Id="rId1165" Type="http://schemas.openxmlformats.org/officeDocument/2006/relationships/hyperlink" Target="https://www.google.com/maps/search/?api=1&amp;query=-30.9025754552564,-55.5390645996353" TargetMode="External"/><Relationship Id="rId2012" Type="http://schemas.openxmlformats.org/officeDocument/2006/relationships/hyperlink" Target="https://earth.google.com/web/search/-3.0899886309486,-5.5535989784461" TargetMode="External"/><Relationship Id="rId2496" Type="http://schemas.openxmlformats.org/officeDocument/2006/relationships/hyperlink" Target="https://earth.google.com/web/search/-30.8987268779951,-55.5353168640542" TargetMode="External"/><Relationship Id="rId575" Type="http://schemas.openxmlformats.org/officeDocument/2006/relationships/hyperlink" Target="https://www.google.com/maps/search/?api=1&amp;query=-30.9061362270462,-55.5402894928206" TargetMode="External"/><Relationship Id="rId1166" Type="http://schemas.openxmlformats.org/officeDocument/2006/relationships/hyperlink" Target="https://earth.google.com/web/search/-30.9025754552564,-55.5390645996353" TargetMode="External"/><Relationship Id="rId2013" Type="http://schemas.openxmlformats.org/officeDocument/2006/relationships/hyperlink" Target="https://www.google.com/maps/search/?api=1&amp;query=-30.9000256073316,-55.5361230573551" TargetMode="External"/><Relationship Id="rId2497" Type="http://schemas.openxmlformats.org/officeDocument/2006/relationships/hyperlink" Target="https://www.google.com/maps/search/?api=1&amp;query=-30.8981437920385,-55.5352160424994" TargetMode="External"/><Relationship Id="rId574" Type="http://schemas.openxmlformats.org/officeDocument/2006/relationships/hyperlink" Target="https://earth.google.com/web/search/-30.9060986307168,-55.5403555369007" TargetMode="External"/><Relationship Id="rId1167" Type="http://schemas.openxmlformats.org/officeDocument/2006/relationships/hyperlink" Target="https://www.google.com/maps/search/?api=1&amp;query=-30.9025566687343,-55.5392030374377" TargetMode="External"/><Relationship Id="rId2014" Type="http://schemas.openxmlformats.org/officeDocument/2006/relationships/hyperlink" Target="https://earth.google.com/web/search/-30.9000256073316,-55.5361230573551" TargetMode="External"/><Relationship Id="rId2498" Type="http://schemas.openxmlformats.org/officeDocument/2006/relationships/hyperlink" Target="https://earth.google.com/web/search/-30.8981437920385,-55.5352160424994" TargetMode="External"/><Relationship Id="rId573" Type="http://schemas.openxmlformats.org/officeDocument/2006/relationships/hyperlink" Target="https://www.google.com/maps/search/?api=1&amp;query=-30.9060986307168,-55.5403555369007" TargetMode="External"/><Relationship Id="rId1168" Type="http://schemas.openxmlformats.org/officeDocument/2006/relationships/hyperlink" Target="https://earth.google.com/web/search/-30.9025566687343,-55.5392030374377" TargetMode="External"/><Relationship Id="rId2015" Type="http://schemas.openxmlformats.org/officeDocument/2006/relationships/hyperlink" Target="https://www.google.com/maps/search/?api=1&amp;query=-30.9000887025078,-55.5361840771204" TargetMode="External"/><Relationship Id="rId2499" Type="http://schemas.openxmlformats.org/officeDocument/2006/relationships/hyperlink" Target="https://www.google.com/maps/search/?api=1&amp;query=-3.0897962579011,-55.5355506626906" TargetMode="External"/><Relationship Id="rId2049" Type="http://schemas.openxmlformats.org/officeDocument/2006/relationships/hyperlink" Target="https://www.google.com/maps/search/?api=1&amp;query=-30.8997900640579,-55.5372128555641" TargetMode="External"/><Relationship Id="rId129" Type="http://schemas.openxmlformats.org/officeDocument/2006/relationships/hyperlink" Target="https://www.google.com/maps/search/?api=1&amp;query=-30.9067355577984,-55.5448361613182" TargetMode="External"/><Relationship Id="rId128" Type="http://schemas.openxmlformats.org/officeDocument/2006/relationships/hyperlink" Target="https://earth.google.com/web/search/-30.9067899708162,-55.5448793834167" TargetMode="External"/><Relationship Id="rId127" Type="http://schemas.openxmlformats.org/officeDocument/2006/relationships/hyperlink" Target="https://www.google.com/maps/search/?api=1&amp;query=-30.9067899708162,-55.5448793834167" TargetMode="External"/><Relationship Id="rId126" Type="http://schemas.openxmlformats.org/officeDocument/2006/relationships/hyperlink" Target="https://earth.google.com/web/search/-30.9068652321899,-5.5545043402873" TargetMode="External"/><Relationship Id="rId1190" Type="http://schemas.openxmlformats.org/officeDocument/2006/relationships/hyperlink" Target="https://earth.google.com/web/search/-30.9027867770977,-55.5394659574288" TargetMode="External"/><Relationship Id="rId1191" Type="http://schemas.openxmlformats.org/officeDocument/2006/relationships/hyperlink" Target="https://www.google.com/maps/search/?api=1&amp;query=-3.0902590999383,-55.5393199994532" TargetMode="External"/><Relationship Id="rId1192" Type="http://schemas.openxmlformats.org/officeDocument/2006/relationships/hyperlink" Target="https://earth.google.com/web/search/-3.0902590999383,-55.5393199994532" TargetMode="External"/><Relationship Id="rId1193" Type="http://schemas.openxmlformats.org/officeDocument/2006/relationships/hyperlink" Target="https://www.google.com/maps/search/?api=1&amp;query=-30.9025016133665,-55.5392824418645" TargetMode="External"/><Relationship Id="rId2040" Type="http://schemas.openxmlformats.org/officeDocument/2006/relationships/hyperlink" Target="https://earth.google.com/web/search/-30.9001037371291,-55.5363055464618" TargetMode="External"/><Relationship Id="rId121" Type="http://schemas.openxmlformats.org/officeDocument/2006/relationships/hyperlink" Target="https://www.google.com/maps/search/?api=1&amp;query=-30.9067071339585,-55.5453101737368" TargetMode="External"/><Relationship Id="rId1194" Type="http://schemas.openxmlformats.org/officeDocument/2006/relationships/hyperlink" Target="https://earth.google.com/web/search/-30.9025016133665,-55.5392824418645" TargetMode="External"/><Relationship Id="rId2041" Type="http://schemas.openxmlformats.org/officeDocument/2006/relationships/hyperlink" Target="https://www.google.com/maps/search/?api=1&amp;query=-30.8997804920528,-55.5362177370382" TargetMode="External"/><Relationship Id="rId120" Type="http://schemas.openxmlformats.org/officeDocument/2006/relationships/hyperlink" Target="https://earth.google.com/web/search/-30.9065143760065,-55.5456879469385" TargetMode="External"/><Relationship Id="rId1195" Type="http://schemas.openxmlformats.org/officeDocument/2006/relationships/hyperlink" Target="https://www.google.com/maps/search/?api=1&amp;query=-30.9024271456743,-55.5393398725779" TargetMode="External"/><Relationship Id="rId2042" Type="http://schemas.openxmlformats.org/officeDocument/2006/relationships/hyperlink" Target="https://earth.google.com/web/search/-30.8997804920528,-55.5362177370382" TargetMode="External"/><Relationship Id="rId1196" Type="http://schemas.openxmlformats.org/officeDocument/2006/relationships/hyperlink" Target="https://earth.google.com/web/search/-30.9024271456743,-55.5393398725779" TargetMode="External"/><Relationship Id="rId2043" Type="http://schemas.openxmlformats.org/officeDocument/2006/relationships/hyperlink" Target="https://www.google.com/maps/search/?api=1&amp;query=-30.8996494337954,-55.5364646140425" TargetMode="External"/><Relationship Id="rId1197" Type="http://schemas.openxmlformats.org/officeDocument/2006/relationships/hyperlink" Target="https://www.google.com/maps/search/?api=1&amp;query=-30.9023760010127,-55.5394180362661" TargetMode="External"/><Relationship Id="rId2044" Type="http://schemas.openxmlformats.org/officeDocument/2006/relationships/hyperlink" Target="https://earth.google.com/web/search/-30.8996494337954,-55.5364646140425" TargetMode="External"/><Relationship Id="rId125" Type="http://schemas.openxmlformats.org/officeDocument/2006/relationships/hyperlink" Target="https://www.google.com/maps/search/?api=1&amp;query=-30.9068652321899,-5.5545043402873" TargetMode="External"/><Relationship Id="rId1198" Type="http://schemas.openxmlformats.org/officeDocument/2006/relationships/hyperlink" Target="https://earth.google.com/web/search/-30.9023760010127,-55.5394180362661" TargetMode="External"/><Relationship Id="rId2045" Type="http://schemas.openxmlformats.org/officeDocument/2006/relationships/hyperlink" Target="https://www.google.com/maps/search/?api=1&amp;query=-30.8995986549443,-55.5365403015198" TargetMode="External"/><Relationship Id="rId124" Type="http://schemas.openxmlformats.org/officeDocument/2006/relationships/hyperlink" Target="https://earth.google.com/web/search/-30.9068304019994,-55.5451009550144" TargetMode="External"/><Relationship Id="rId1199" Type="http://schemas.openxmlformats.org/officeDocument/2006/relationships/hyperlink" Target="https://www.google.com/maps/search/?api=1&amp;query=-30.9023314910852,-55.5394944460225" TargetMode="External"/><Relationship Id="rId2046" Type="http://schemas.openxmlformats.org/officeDocument/2006/relationships/hyperlink" Target="https://earth.google.com/web/search/-30.8995986549443,-55.5365403015198" TargetMode="External"/><Relationship Id="rId123" Type="http://schemas.openxmlformats.org/officeDocument/2006/relationships/hyperlink" Target="https://www.google.com/maps/search/?api=1&amp;query=-30.9068304019994,-55.5451009550144" TargetMode="External"/><Relationship Id="rId2047" Type="http://schemas.openxmlformats.org/officeDocument/2006/relationships/hyperlink" Target="https://www.google.com/maps/search/?api=1&amp;query=-30.8994754846354,-55.5369995698896" TargetMode="External"/><Relationship Id="rId122" Type="http://schemas.openxmlformats.org/officeDocument/2006/relationships/hyperlink" Target="https://earth.google.com/web/search/-30.9067071339585,-55.5453101737368" TargetMode="External"/><Relationship Id="rId2048" Type="http://schemas.openxmlformats.org/officeDocument/2006/relationships/hyperlink" Target="https://earth.google.com/web/search/-30.8994754846354,-55.5369995698896" TargetMode="External"/><Relationship Id="rId2038" Type="http://schemas.openxmlformats.org/officeDocument/2006/relationships/hyperlink" Target="https://earth.google.com/web/search/-30.9002710576673,-55.5364273465068" TargetMode="External"/><Relationship Id="rId2039" Type="http://schemas.openxmlformats.org/officeDocument/2006/relationships/hyperlink" Target="https://www.google.com/maps/search/?api=1&amp;query=-30.9001037371291,-55.5363055464618" TargetMode="External"/><Relationship Id="rId118" Type="http://schemas.openxmlformats.org/officeDocument/2006/relationships/hyperlink" Target="https://earth.google.com/web/search/-30.9067750827534,-55.5447095557594" TargetMode="External"/><Relationship Id="rId117" Type="http://schemas.openxmlformats.org/officeDocument/2006/relationships/hyperlink" Target="https://www.google.com/maps/search/?api=1&amp;query=-30.9067750827534,-55.5447095557594" TargetMode="External"/><Relationship Id="rId116" Type="http://schemas.openxmlformats.org/officeDocument/2006/relationships/hyperlink" Target="https://earth.google.com/web/search/-30.9066962702298,-5.5544640998411" TargetMode="External"/><Relationship Id="rId115" Type="http://schemas.openxmlformats.org/officeDocument/2006/relationships/hyperlink" Target="https://www.google.com/maps/search/?api=1&amp;query=-30.9066962702298,-5.5544640998411" TargetMode="External"/><Relationship Id="rId599" Type="http://schemas.openxmlformats.org/officeDocument/2006/relationships/hyperlink" Target="https://www.google.com/maps/search/?api=1&amp;query=-30.9053901071008,-55.5399600013538" TargetMode="External"/><Relationship Id="rId1180" Type="http://schemas.openxmlformats.org/officeDocument/2006/relationships/hyperlink" Target="https://earth.google.com/web/search/-30.9031739165389,-55.5396356839257" TargetMode="External"/><Relationship Id="rId1181" Type="http://schemas.openxmlformats.org/officeDocument/2006/relationships/hyperlink" Target="https://www.google.com/maps/search/?api=1&amp;query=-30.9028000888138,-55.5404898362116" TargetMode="External"/><Relationship Id="rId119" Type="http://schemas.openxmlformats.org/officeDocument/2006/relationships/hyperlink" Target="https://www.google.com/maps/search/?api=1&amp;query=-30.9065143760065,-55.5456879469385" TargetMode="External"/><Relationship Id="rId1182" Type="http://schemas.openxmlformats.org/officeDocument/2006/relationships/hyperlink" Target="https://earth.google.com/web/search/-30.9028000888138,-55.5404898362116" TargetMode="External"/><Relationship Id="rId110" Type="http://schemas.openxmlformats.org/officeDocument/2006/relationships/hyperlink" Target="https://earth.google.com/web/search/-30.9063607014925,-55.5443985830834" TargetMode="External"/><Relationship Id="rId594" Type="http://schemas.openxmlformats.org/officeDocument/2006/relationships/hyperlink" Target="https://earth.google.com/web/search/-0.3090554572835,-55.5395525231297" TargetMode="External"/><Relationship Id="rId1183" Type="http://schemas.openxmlformats.org/officeDocument/2006/relationships/hyperlink" Target="https://www.google.com/maps/search/?api=1&amp;query=-30.9028411132399,-55.5403932246258" TargetMode="External"/><Relationship Id="rId2030" Type="http://schemas.openxmlformats.org/officeDocument/2006/relationships/hyperlink" Target="https://earth.google.com/web/search/-30.9004264389962,-55.5368046340356" TargetMode="External"/><Relationship Id="rId593" Type="http://schemas.openxmlformats.org/officeDocument/2006/relationships/hyperlink" Target="https://www.google.com/maps/search/?api=1&amp;query=-0.3090554572835,-55.5395525231297" TargetMode="External"/><Relationship Id="rId1184" Type="http://schemas.openxmlformats.org/officeDocument/2006/relationships/hyperlink" Target="https://earth.google.com/web/search/-30.9028411132399,-55.5403932246258" TargetMode="External"/><Relationship Id="rId2031" Type="http://schemas.openxmlformats.org/officeDocument/2006/relationships/hyperlink" Target="https://www.google.com/maps/search/?api=1&amp;query=-30.9004779405411,-55.5365780622079" TargetMode="External"/><Relationship Id="rId592" Type="http://schemas.openxmlformats.org/officeDocument/2006/relationships/hyperlink" Target="https://earth.google.com/web/search/-30.9057916275691,-55.5391130735863" TargetMode="External"/><Relationship Id="rId1185" Type="http://schemas.openxmlformats.org/officeDocument/2006/relationships/hyperlink" Target="https://www.google.com/maps/search/?api=1&amp;query=-30.9029607083602,-55.5401636279019" TargetMode="External"/><Relationship Id="rId2032" Type="http://schemas.openxmlformats.org/officeDocument/2006/relationships/hyperlink" Target="https://earth.google.com/web/search/-30.9004779405411,-55.5365780622079" TargetMode="External"/><Relationship Id="rId591" Type="http://schemas.openxmlformats.org/officeDocument/2006/relationships/hyperlink" Target="https://www.google.com/maps/search/?api=1&amp;query=-30.9057916275691,-55.5391130735863" TargetMode="External"/><Relationship Id="rId1186" Type="http://schemas.openxmlformats.org/officeDocument/2006/relationships/hyperlink" Target="https://earth.google.com/web/search/-30.9029607083602,-55.5401636279019" TargetMode="External"/><Relationship Id="rId2033" Type="http://schemas.openxmlformats.org/officeDocument/2006/relationships/hyperlink" Target="https://www.google.com/maps/search/?api=1&amp;query=-30.9004391237017,-55.5365333944267" TargetMode="External"/><Relationship Id="rId114" Type="http://schemas.openxmlformats.org/officeDocument/2006/relationships/hyperlink" Target="https://earth.google.com/web/search/-3.0906548129111,-5.5544538307502" TargetMode="External"/><Relationship Id="rId598" Type="http://schemas.openxmlformats.org/officeDocument/2006/relationships/hyperlink" Target="https://earth.google.com/web/search/-30.9053739776893,-55.5398784386627" TargetMode="External"/><Relationship Id="rId1187" Type="http://schemas.openxmlformats.org/officeDocument/2006/relationships/hyperlink" Target="https://www.google.com/maps/search/?api=1&amp;query=-30.9028797933636,-55.5395298481824" TargetMode="External"/><Relationship Id="rId2034" Type="http://schemas.openxmlformats.org/officeDocument/2006/relationships/hyperlink" Target="https://earth.google.com/web/search/-30.9004391237017,-55.5365333944267" TargetMode="External"/><Relationship Id="rId113" Type="http://schemas.openxmlformats.org/officeDocument/2006/relationships/hyperlink" Target="https://www.google.com/maps/search/?api=1&amp;query=-3.0906548129111,-5.5544538307502" TargetMode="External"/><Relationship Id="rId597" Type="http://schemas.openxmlformats.org/officeDocument/2006/relationships/hyperlink" Target="https://www.google.com/maps/search/?api=1&amp;query=-30.9053739776893,-55.5398784386627" TargetMode="External"/><Relationship Id="rId1188" Type="http://schemas.openxmlformats.org/officeDocument/2006/relationships/hyperlink" Target="https://earth.google.com/web/search/-30.9028797933636,-55.5395298481824" TargetMode="External"/><Relationship Id="rId2035" Type="http://schemas.openxmlformats.org/officeDocument/2006/relationships/hyperlink" Target="https://www.google.com/maps/search/?api=1&amp;query=-30.9003203957027,-55.5364603054125" TargetMode="External"/><Relationship Id="rId112" Type="http://schemas.openxmlformats.org/officeDocument/2006/relationships/hyperlink" Target="https://earth.google.com/web/search/-30.9064684296088,-55.5444848959363" TargetMode="External"/><Relationship Id="rId596" Type="http://schemas.openxmlformats.org/officeDocument/2006/relationships/hyperlink" Target="https://earth.google.com/web/search/-30.9054119652755,-55.5397902965138" TargetMode="External"/><Relationship Id="rId1189" Type="http://schemas.openxmlformats.org/officeDocument/2006/relationships/hyperlink" Target="https://www.google.com/maps/search/?api=1&amp;query=-30.9027867770977,-55.5394659574288" TargetMode="External"/><Relationship Id="rId2036" Type="http://schemas.openxmlformats.org/officeDocument/2006/relationships/hyperlink" Target="https://earth.google.com/web/search/-30.9003203957027,-55.5364603054125" TargetMode="External"/><Relationship Id="rId111" Type="http://schemas.openxmlformats.org/officeDocument/2006/relationships/hyperlink" Target="https://www.google.com/maps/search/?api=1&amp;query=-30.9064684296088,-55.5444848959363" TargetMode="External"/><Relationship Id="rId595" Type="http://schemas.openxmlformats.org/officeDocument/2006/relationships/hyperlink" Target="https://www.google.com/maps/search/?api=1&amp;query=-30.9054119652755,-55.5397902965138" TargetMode="External"/><Relationship Id="rId2037" Type="http://schemas.openxmlformats.org/officeDocument/2006/relationships/hyperlink" Target="https://www.google.com/maps/search/?api=1&amp;query=-30.9002710576673,-55.5364273465068" TargetMode="External"/><Relationship Id="rId1136" Type="http://schemas.openxmlformats.org/officeDocument/2006/relationships/hyperlink" Target="https://earth.google.com/web/search/-30.9030346468542,-55.5381735652584" TargetMode="External"/><Relationship Id="rId2467" Type="http://schemas.openxmlformats.org/officeDocument/2006/relationships/hyperlink" Target="https://www.google.com/maps/search/?api=1&amp;query=-30.8969577814029,-55.5374591353061" TargetMode="External"/><Relationship Id="rId1137" Type="http://schemas.openxmlformats.org/officeDocument/2006/relationships/hyperlink" Target="https://www.google.com/maps/search/?api=1&amp;query=-30.9030582142611,-0.5553829689086" TargetMode="External"/><Relationship Id="rId2468" Type="http://schemas.openxmlformats.org/officeDocument/2006/relationships/hyperlink" Target="https://earth.google.com/web/search/-30.8969577814029,-55.5374591353061" TargetMode="External"/><Relationship Id="rId1138" Type="http://schemas.openxmlformats.org/officeDocument/2006/relationships/hyperlink" Target="https://earth.google.com/web/search/-30.9030582142611,-0.5553829689086" TargetMode="External"/><Relationship Id="rId2469" Type="http://schemas.openxmlformats.org/officeDocument/2006/relationships/hyperlink" Target="https://www.google.com/maps/search/?api=1&amp;query=-30.8969318614729,-55.5375051170701" TargetMode="External"/><Relationship Id="rId1139" Type="http://schemas.openxmlformats.org/officeDocument/2006/relationships/hyperlink" Target="https://www.google.com/maps/search/?api=1&amp;query=-30.9033665891237,-55.5394139054604" TargetMode="External"/><Relationship Id="rId547" Type="http://schemas.openxmlformats.org/officeDocument/2006/relationships/hyperlink" Target="https://www.google.com/maps/search/?api=1&amp;query=-30.9037909111107,-55.5449158293535" TargetMode="External"/><Relationship Id="rId546" Type="http://schemas.openxmlformats.org/officeDocument/2006/relationships/hyperlink" Target="https://earth.google.com/web/search/-30.9037334736476,-55.5450153486376" TargetMode="External"/><Relationship Id="rId545" Type="http://schemas.openxmlformats.org/officeDocument/2006/relationships/hyperlink" Target="https://www.google.com/maps/search/?api=1&amp;query=-30.9037334736476,-55.5450153486376" TargetMode="External"/><Relationship Id="rId544" Type="http://schemas.openxmlformats.org/officeDocument/2006/relationships/hyperlink" Target="https://earth.google.com/web/search/-30.9052421223797,-55.5436008789186" TargetMode="External"/><Relationship Id="rId549" Type="http://schemas.openxmlformats.org/officeDocument/2006/relationships/hyperlink" Target="https://www.google.com/maps/search/?api=1&amp;query=-30.9039287051349,-55.5446435215858" TargetMode="External"/><Relationship Id="rId548" Type="http://schemas.openxmlformats.org/officeDocument/2006/relationships/hyperlink" Target="https://earth.google.com/web/search/-30.9037909111107,-55.5449158293535" TargetMode="External"/><Relationship Id="rId2460" Type="http://schemas.openxmlformats.org/officeDocument/2006/relationships/hyperlink" Target="https://earth.google.com/web/search/-30.8976060447126,-55.5370329687333" TargetMode="External"/><Relationship Id="rId1130" Type="http://schemas.openxmlformats.org/officeDocument/2006/relationships/hyperlink" Target="https://earth.google.com/web/search/-3.0903336500299,-55.5376206079836" TargetMode="External"/><Relationship Id="rId2461" Type="http://schemas.openxmlformats.org/officeDocument/2006/relationships/hyperlink" Target="https://www.google.com/maps/search/?api=1&amp;query=-30.8974781170179,-55.5369390903648" TargetMode="External"/><Relationship Id="rId1131" Type="http://schemas.openxmlformats.org/officeDocument/2006/relationships/hyperlink" Target="https://www.google.com/maps/search/?api=1&amp;query=-30.9033120808698,-55.5376566450844" TargetMode="External"/><Relationship Id="rId2462" Type="http://schemas.openxmlformats.org/officeDocument/2006/relationships/hyperlink" Target="https://earth.google.com/web/search/-30.8974781170179,-55.5369390903648" TargetMode="External"/><Relationship Id="rId543" Type="http://schemas.openxmlformats.org/officeDocument/2006/relationships/hyperlink" Target="https://www.google.com/maps/search/?api=1&amp;query=-30.9052421223797,-55.5436008789186" TargetMode="External"/><Relationship Id="rId1132" Type="http://schemas.openxmlformats.org/officeDocument/2006/relationships/hyperlink" Target="https://earth.google.com/web/search/-30.9033120808698,-55.5376566450844" TargetMode="External"/><Relationship Id="rId2463" Type="http://schemas.openxmlformats.org/officeDocument/2006/relationships/hyperlink" Target="https://www.google.com/maps/search/?api=1&amp;query=-30.8974002164777,-55.5368883965872" TargetMode="External"/><Relationship Id="rId542" Type="http://schemas.openxmlformats.org/officeDocument/2006/relationships/hyperlink" Target="https://earth.google.com/web/search/-30.9051879830672,-5.5543555144343" TargetMode="External"/><Relationship Id="rId1133" Type="http://schemas.openxmlformats.org/officeDocument/2006/relationships/hyperlink" Target="https://www.google.com/maps/search/?api=1&amp;query=-30.9031421632927,-55.5379773578621" TargetMode="External"/><Relationship Id="rId2464" Type="http://schemas.openxmlformats.org/officeDocument/2006/relationships/hyperlink" Target="https://earth.google.com/web/search/-30.8974002164777,-55.5368883965872" TargetMode="External"/><Relationship Id="rId541" Type="http://schemas.openxmlformats.org/officeDocument/2006/relationships/hyperlink" Target="https://www.google.com/maps/search/?api=1&amp;query=-30.9051879830672,-5.5543555144343" TargetMode="External"/><Relationship Id="rId1134" Type="http://schemas.openxmlformats.org/officeDocument/2006/relationships/hyperlink" Target="https://earth.google.com/web/search/-30.9031421632927,-55.5379773578621" TargetMode="External"/><Relationship Id="rId2465" Type="http://schemas.openxmlformats.org/officeDocument/2006/relationships/hyperlink" Target="https://www.google.com/maps/search/?api=1&amp;query=-30.8969835301764,-55.5374018777374" TargetMode="External"/><Relationship Id="rId540" Type="http://schemas.openxmlformats.org/officeDocument/2006/relationships/hyperlink" Target="https://earth.google.com/web/search/-0.3090512672296,-55.5435170089781" TargetMode="External"/><Relationship Id="rId1135" Type="http://schemas.openxmlformats.org/officeDocument/2006/relationships/hyperlink" Target="https://www.google.com/maps/search/?api=1&amp;query=-30.9030346468542,-55.5381735652584" TargetMode="External"/><Relationship Id="rId2466" Type="http://schemas.openxmlformats.org/officeDocument/2006/relationships/hyperlink" Target="https://earth.google.com/web/search/-30.8969835301764,-55.5374018777374" TargetMode="External"/><Relationship Id="rId1125" Type="http://schemas.openxmlformats.org/officeDocument/2006/relationships/hyperlink" Target="https://www.google.com/maps/search/?api=1&amp;query=-30.9041096765148,-5.5537987962516" TargetMode="External"/><Relationship Id="rId2456" Type="http://schemas.openxmlformats.org/officeDocument/2006/relationships/hyperlink" Target="https://earth.google.com/web/search/-30.8977758243543,-55.5371387784613" TargetMode="External"/><Relationship Id="rId1126" Type="http://schemas.openxmlformats.org/officeDocument/2006/relationships/hyperlink" Target="https://earth.google.com/web/search/-30.9041096765148,-5.5537987962516" TargetMode="External"/><Relationship Id="rId2457" Type="http://schemas.openxmlformats.org/officeDocument/2006/relationships/hyperlink" Target="https://www.google.com/maps/search/?api=1&amp;query=-30.8976993907593,-55.5370900828042" TargetMode="External"/><Relationship Id="rId1127" Type="http://schemas.openxmlformats.org/officeDocument/2006/relationships/hyperlink" Target="https://www.google.com/maps/search/?api=1&amp;query=-3.0903394666377,-55.5375160961699" TargetMode="External"/><Relationship Id="rId2458" Type="http://schemas.openxmlformats.org/officeDocument/2006/relationships/hyperlink" Target="https://earth.google.com/web/search/-30.8976993907593,-55.5370900828042" TargetMode="External"/><Relationship Id="rId1128" Type="http://schemas.openxmlformats.org/officeDocument/2006/relationships/hyperlink" Target="https://earth.google.com/web/search/-3.0903394666377,-55.5375160961699" TargetMode="External"/><Relationship Id="rId2459" Type="http://schemas.openxmlformats.org/officeDocument/2006/relationships/hyperlink" Target="https://www.google.com/maps/search/?api=1&amp;query=-30.8976060447126,-55.5370329687333" TargetMode="External"/><Relationship Id="rId1129" Type="http://schemas.openxmlformats.org/officeDocument/2006/relationships/hyperlink" Target="https://www.google.com/maps/search/?api=1&amp;query=-3.0903336500299,-55.5376206079836" TargetMode="External"/><Relationship Id="rId536" Type="http://schemas.openxmlformats.org/officeDocument/2006/relationships/hyperlink" Target="https://earth.google.com/web/search/-30.9048100946359,-55.5432848753061" TargetMode="External"/><Relationship Id="rId535" Type="http://schemas.openxmlformats.org/officeDocument/2006/relationships/hyperlink" Target="https://www.google.com/maps/search/?api=1&amp;query=-30.9048100946359,-55.5432848753061" TargetMode="External"/><Relationship Id="rId534" Type="http://schemas.openxmlformats.org/officeDocument/2006/relationships/hyperlink" Target="https://earth.google.com/web/search/-30.9047722680471,-55.5430138496469" TargetMode="External"/><Relationship Id="rId533" Type="http://schemas.openxmlformats.org/officeDocument/2006/relationships/hyperlink" Target="https://www.google.com/maps/search/?api=1&amp;query=-30.9047722680471,-55.5430138496469" TargetMode="External"/><Relationship Id="rId539" Type="http://schemas.openxmlformats.org/officeDocument/2006/relationships/hyperlink" Target="https://www.google.com/maps/search/?api=1&amp;query=-0.3090512672296,-55.5435170089781" TargetMode="External"/><Relationship Id="rId538" Type="http://schemas.openxmlformats.org/officeDocument/2006/relationships/hyperlink" Target="https://earth.google.com/web/search/-30.9050311966242,-5.5543447052536" TargetMode="External"/><Relationship Id="rId537" Type="http://schemas.openxmlformats.org/officeDocument/2006/relationships/hyperlink" Target="https://www.google.com/maps/search/?api=1&amp;query=-30.9050311966242,-5.5543447052536" TargetMode="External"/><Relationship Id="rId2450" Type="http://schemas.openxmlformats.org/officeDocument/2006/relationships/hyperlink" Target="https://earth.google.com/web/search/-30.8973054825383,-55.5386134142694" TargetMode="External"/><Relationship Id="rId1120" Type="http://schemas.openxmlformats.org/officeDocument/2006/relationships/hyperlink" Target="https://earth.google.com/web/search/-30.9011468496243,-55.5437920947915" TargetMode="External"/><Relationship Id="rId2451" Type="http://schemas.openxmlformats.org/officeDocument/2006/relationships/hyperlink" Target="https://www.google.com/maps/search/?api=1&amp;query=-30.8978742785496,-55.5372296209453" TargetMode="External"/><Relationship Id="rId532" Type="http://schemas.openxmlformats.org/officeDocument/2006/relationships/hyperlink" Target="https://earth.google.com/web/search/-30.9048308866265,-55.5428958962636" TargetMode="External"/><Relationship Id="rId1121" Type="http://schemas.openxmlformats.org/officeDocument/2006/relationships/hyperlink" Target="https://www.google.com/maps/search/?api=1&amp;query=-30.9010959051618,-5.5543872472504" TargetMode="External"/><Relationship Id="rId2452" Type="http://schemas.openxmlformats.org/officeDocument/2006/relationships/hyperlink" Target="https://earth.google.com/web/search/-30.8978742785496,-55.5372296209453" TargetMode="External"/><Relationship Id="rId531" Type="http://schemas.openxmlformats.org/officeDocument/2006/relationships/hyperlink" Target="https://www.google.com/maps/search/?api=1&amp;query=-30.9048308866265,-55.5428958962636" TargetMode="External"/><Relationship Id="rId1122" Type="http://schemas.openxmlformats.org/officeDocument/2006/relationships/hyperlink" Target="https://earth.google.com/web/search/-30.9010959051618,-5.5543872472504" TargetMode="External"/><Relationship Id="rId2453" Type="http://schemas.openxmlformats.org/officeDocument/2006/relationships/hyperlink" Target="https://www.google.com/maps/search/?api=1&amp;query=-30.8978130778811,-55.5371826522195" TargetMode="External"/><Relationship Id="rId530" Type="http://schemas.openxmlformats.org/officeDocument/2006/relationships/hyperlink" Target="https://earth.google.com/web/search/-30.9049485337524,-55.5426874429198" TargetMode="External"/><Relationship Id="rId1123" Type="http://schemas.openxmlformats.org/officeDocument/2006/relationships/hyperlink" Target="https://www.google.com/maps/search/?api=1&amp;query=-30.9038796168926,-55.5384620618007" TargetMode="External"/><Relationship Id="rId2454" Type="http://schemas.openxmlformats.org/officeDocument/2006/relationships/hyperlink" Target="https://earth.google.com/web/search/-30.8978130778811,-55.5371826522195" TargetMode="External"/><Relationship Id="rId1124" Type="http://schemas.openxmlformats.org/officeDocument/2006/relationships/hyperlink" Target="https://earth.google.com/web/search/-30.9038796168926,-55.5384620618007" TargetMode="External"/><Relationship Id="rId2455" Type="http://schemas.openxmlformats.org/officeDocument/2006/relationships/hyperlink" Target="https://www.google.com/maps/search/?api=1&amp;query=-30.8977758243543,-55.5371387784613" TargetMode="External"/><Relationship Id="rId1158" Type="http://schemas.openxmlformats.org/officeDocument/2006/relationships/hyperlink" Target="https://earth.google.com/web/search/-30.9027410867723,-5.5538750058081" TargetMode="External"/><Relationship Id="rId2005" Type="http://schemas.openxmlformats.org/officeDocument/2006/relationships/hyperlink" Target="https://www.google.com/maps/search/?api=1&amp;query=-30.9002042561617,-55.5353429337761" TargetMode="External"/><Relationship Id="rId2489" Type="http://schemas.openxmlformats.org/officeDocument/2006/relationships/hyperlink" Target="https://www.google.com/maps/search/?api=1&amp;query=-30.8976493498301,-55.5369286107194" TargetMode="External"/><Relationship Id="rId1159" Type="http://schemas.openxmlformats.org/officeDocument/2006/relationships/hyperlink" Target="https://www.google.com/maps/search/?api=1&amp;query=-30.9027172727426,-5.5538805030917" TargetMode="External"/><Relationship Id="rId2006" Type="http://schemas.openxmlformats.org/officeDocument/2006/relationships/hyperlink" Target="https://earth.google.com/web/search/-30.9002042561617,-55.5353429337761" TargetMode="External"/><Relationship Id="rId2007" Type="http://schemas.openxmlformats.org/officeDocument/2006/relationships/hyperlink" Target="https://www.google.com/maps/search/?api=1&amp;query=-30.9000594467374,-55.5356344298151" TargetMode="External"/><Relationship Id="rId2008" Type="http://schemas.openxmlformats.org/officeDocument/2006/relationships/hyperlink" Target="https://earth.google.com/web/search/-30.9000594467374,-55.5356344298151" TargetMode="External"/><Relationship Id="rId2009" Type="http://schemas.openxmlformats.org/officeDocument/2006/relationships/hyperlink" Target="https://www.google.com/maps/search/?api=1&amp;query=-30.9000284238521,-55.5357065209031" TargetMode="External"/><Relationship Id="rId569" Type="http://schemas.openxmlformats.org/officeDocument/2006/relationships/hyperlink" Target="https://www.google.com/maps/search/?api=1&amp;query=-30.9048070293893,-55.5447275906498" TargetMode="External"/><Relationship Id="rId568" Type="http://schemas.openxmlformats.org/officeDocument/2006/relationships/hyperlink" Target="https://earth.google.com/web/search/-3.0904745982872,-55.5446960573869" TargetMode="External"/><Relationship Id="rId567" Type="http://schemas.openxmlformats.org/officeDocument/2006/relationships/hyperlink" Target="https://www.google.com/maps/search/?api=1&amp;query=-3.0904745982872,-55.5446960573869" TargetMode="External"/><Relationship Id="rId566" Type="http://schemas.openxmlformats.org/officeDocument/2006/relationships/hyperlink" Target="https://earth.google.com/web/search/-30.9045963065033,-55.5445580869602" TargetMode="External"/><Relationship Id="rId2480" Type="http://schemas.openxmlformats.org/officeDocument/2006/relationships/hyperlink" Target="https://earth.google.com/web/search/-30.8982188415444,-55.5362273635869" TargetMode="External"/><Relationship Id="rId561" Type="http://schemas.openxmlformats.org/officeDocument/2006/relationships/hyperlink" Target="https://www.google.com/maps/search/?api=1&amp;query=-30.9044025238136,-5.5544434368195" TargetMode="External"/><Relationship Id="rId1150" Type="http://schemas.openxmlformats.org/officeDocument/2006/relationships/hyperlink" Target="https://earth.google.com/web/search/-30.9034219327027,-55.5386738494156" TargetMode="External"/><Relationship Id="rId2481" Type="http://schemas.openxmlformats.org/officeDocument/2006/relationships/hyperlink" Target="https://www.google.com/maps/search/?api=1&amp;query=-30.8982263468621,-55.5368865159951" TargetMode="External"/><Relationship Id="rId560" Type="http://schemas.openxmlformats.org/officeDocument/2006/relationships/hyperlink" Target="https://earth.google.com/web/search/-30.9043425103827,-55.5443874042899" TargetMode="External"/><Relationship Id="rId1151" Type="http://schemas.openxmlformats.org/officeDocument/2006/relationships/hyperlink" Target="https://www.google.com/maps/search/?api=1&amp;query=-30.9032680466689,-5.5538561515388" TargetMode="External"/><Relationship Id="rId2482" Type="http://schemas.openxmlformats.org/officeDocument/2006/relationships/hyperlink" Target="https://earth.google.com/web/search/-30.8982263468621,-55.5368865159951" TargetMode="External"/><Relationship Id="rId1152" Type="http://schemas.openxmlformats.org/officeDocument/2006/relationships/hyperlink" Target="https://earth.google.com/web/search/-30.9032680466689,-5.5538561515388" TargetMode="External"/><Relationship Id="rId2483" Type="http://schemas.openxmlformats.org/officeDocument/2006/relationships/hyperlink" Target="https://www.google.com/maps/search/?api=1&amp;query=-30.8980146178878,-55.5371913696195" TargetMode="External"/><Relationship Id="rId1153" Type="http://schemas.openxmlformats.org/officeDocument/2006/relationships/hyperlink" Target="https://www.google.com/maps/search/?api=1&amp;query=-30.9030421794828,-55.5383935067334" TargetMode="External"/><Relationship Id="rId2000" Type="http://schemas.openxmlformats.org/officeDocument/2006/relationships/hyperlink" Target="https://earth.google.com/web/search/-30.9005484117239,-55.5353726733088" TargetMode="External"/><Relationship Id="rId2484" Type="http://schemas.openxmlformats.org/officeDocument/2006/relationships/hyperlink" Target="https://earth.google.com/web/search/-30.8980146178878,-55.5371913696195" TargetMode="External"/><Relationship Id="rId565" Type="http://schemas.openxmlformats.org/officeDocument/2006/relationships/hyperlink" Target="https://www.google.com/maps/search/?api=1&amp;query=-30.9045963065033,-55.5445580869602" TargetMode="External"/><Relationship Id="rId1154" Type="http://schemas.openxmlformats.org/officeDocument/2006/relationships/hyperlink" Target="https://earth.google.com/web/search/-30.9030421794828,-55.5383935067334" TargetMode="External"/><Relationship Id="rId2001" Type="http://schemas.openxmlformats.org/officeDocument/2006/relationships/hyperlink" Target="https://www.google.com/maps/search/?api=1&amp;query=-0.3090043170657,-55.5352909457594" TargetMode="External"/><Relationship Id="rId2485" Type="http://schemas.openxmlformats.org/officeDocument/2006/relationships/hyperlink" Target="https://www.google.com/maps/search/?api=1&amp;query=-3.0897963249291,-55.5371454767079" TargetMode="External"/><Relationship Id="rId564" Type="http://schemas.openxmlformats.org/officeDocument/2006/relationships/hyperlink" Target="https://earth.google.com/web/search/-30.9045372571739,-55.5445208628237" TargetMode="External"/><Relationship Id="rId1155" Type="http://schemas.openxmlformats.org/officeDocument/2006/relationships/hyperlink" Target="https://www.google.com/maps/search/?api=1&amp;query=-30.9028084939139,-55.5386403235495" TargetMode="External"/><Relationship Id="rId2002" Type="http://schemas.openxmlformats.org/officeDocument/2006/relationships/hyperlink" Target="https://earth.google.com/web/search/-0.3090043170657,-55.5352909457594" TargetMode="External"/><Relationship Id="rId2486" Type="http://schemas.openxmlformats.org/officeDocument/2006/relationships/hyperlink" Target="https://earth.google.com/web/search/-3.0897963249291,-55.5371454767079" TargetMode="External"/><Relationship Id="rId563" Type="http://schemas.openxmlformats.org/officeDocument/2006/relationships/hyperlink" Target="https://www.google.com/maps/search/?api=1&amp;query=-30.9045372571739,-55.5445208628237" TargetMode="External"/><Relationship Id="rId1156" Type="http://schemas.openxmlformats.org/officeDocument/2006/relationships/hyperlink" Target="https://earth.google.com/web/search/-30.9028084939139,-55.5386403235495" TargetMode="External"/><Relationship Id="rId2003" Type="http://schemas.openxmlformats.org/officeDocument/2006/relationships/hyperlink" Target="https://www.google.com/maps/search/?api=1&amp;query=-30.9002402128052,-55.5352983969685" TargetMode="External"/><Relationship Id="rId2487" Type="http://schemas.openxmlformats.org/officeDocument/2006/relationships/hyperlink" Target="https://www.google.com/maps/search/?api=1&amp;query=-3.0897746548529,-55.5369831526619" TargetMode="External"/><Relationship Id="rId562" Type="http://schemas.openxmlformats.org/officeDocument/2006/relationships/hyperlink" Target="https://earth.google.com/web/search/-30.9044025238136,-5.5544434368195" TargetMode="External"/><Relationship Id="rId1157" Type="http://schemas.openxmlformats.org/officeDocument/2006/relationships/hyperlink" Target="https://www.google.com/maps/search/?api=1&amp;query=-30.9027410867723,-5.5538750058081" TargetMode="External"/><Relationship Id="rId2004" Type="http://schemas.openxmlformats.org/officeDocument/2006/relationships/hyperlink" Target="https://earth.google.com/web/search/-30.9002402128052,-55.5352983969685" TargetMode="External"/><Relationship Id="rId2488" Type="http://schemas.openxmlformats.org/officeDocument/2006/relationships/hyperlink" Target="https://earth.google.com/web/search/-3.0897746548529,-55.5369831526619" TargetMode="External"/><Relationship Id="rId1147" Type="http://schemas.openxmlformats.org/officeDocument/2006/relationships/hyperlink" Target="https://www.google.com/maps/search/?api=1&amp;query=-30.9034765600363,-5.5538720133291" TargetMode="External"/><Relationship Id="rId2478" Type="http://schemas.openxmlformats.org/officeDocument/2006/relationships/hyperlink" Target="https://earth.google.com/web/search/-30.8978089958384,-5.5535927781608" TargetMode="External"/><Relationship Id="rId1148" Type="http://schemas.openxmlformats.org/officeDocument/2006/relationships/hyperlink" Target="https://earth.google.com/web/search/-30.9034765600363,-5.5538720133291" TargetMode="External"/><Relationship Id="rId2479" Type="http://schemas.openxmlformats.org/officeDocument/2006/relationships/hyperlink" Target="https://www.google.com/maps/search/?api=1&amp;query=-30.8982188415444,-55.5362273635869" TargetMode="External"/><Relationship Id="rId1149" Type="http://schemas.openxmlformats.org/officeDocument/2006/relationships/hyperlink" Target="https://www.google.com/maps/search/?api=1&amp;query=-30.9034219327027,-55.5386738494156" TargetMode="External"/><Relationship Id="rId558" Type="http://schemas.openxmlformats.org/officeDocument/2006/relationships/hyperlink" Target="https://earth.google.com/web/search/-30.9042667321262,-55.5443335512771" TargetMode="External"/><Relationship Id="rId557" Type="http://schemas.openxmlformats.org/officeDocument/2006/relationships/hyperlink" Target="https://www.google.com/maps/search/?api=1&amp;query=-30.9042667321262,-55.5443335512771" TargetMode="External"/><Relationship Id="rId556" Type="http://schemas.openxmlformats.org/officeDocument/2006/relationships/hyperlink" Target="https://earth.google.com/web/search/-30.9040514810347,-5.5544392433398" TargetMode="External"/><Relationship Id="rId555" Type="http://schemas.openxmlformats.org/officeDocument/2006/relationships/hyperlink" Target="https://www.google.com/maps/search/?api=1&amp;query=-30.9040514810347,-5.5544392433398" TargetMode="External"/><Relationship Id="rId559" Type="http://schemas.openxmlformats.org/officeDocument/2006/relationships/hyperlink" Target="https://www.google.com/maps/search/?api=1&amp;query=-30.9043425103827,-55.5443874042899" TargetMode="External"/><Relationship Id="rId550" Type="http://schemas.openxmlformats.org/officeDocument/2006/relationships/hyperlink" Target="https://earth.google.com/web/search/-30.9039287051349,-55.5446435215858" TargetMode="External"/><Relationship Id="rId2470" Type="http://schemas.openxmlformats.org/officeDocument/2006/relationships/hyperlink" Target="https://earth.google.com/web/search/-30.8969318614729,-55.5375051170701" TargetMode="External"/><Relationship Id="rId1140" Type="http://schemas.openxmlformats.org/officeDocument/2006/relationships/hyperlink" Target="https://earth.google.com/web/search/-30.9033665891237,-55.5394139054604" TargetMode="External"/><Relationship Id="rId2471" Type="http://schemas.openxmlformats.org/officeDocument/2006/relationships/hyperlink" Target="https://www.google.com/maps/search/?api=1&amp;query=-30.8968957440172,-55.5375627035909" TargetMode="External"/><Relationship Id="rId1141" Type="http://schemas.openxmlformats.org/officeDocument/2006/relationships/hyperlink" Target="https://www.google.com/maps/search/?api=1&amp;query=-30.9033764049885,-55.5393680096893" TargetMode="External"/><Relationship Id="rId2472" Type="http://schemas.openxmlformats.org/officeDocument/2006/relationships/hyperlink" Target="https://earth.google.com/web/search/-30.8968957440172,-55.5375627035909" TargetMode="External"/><Relationship Id="rId1142" Type="http://schemas.openxmlformats.org/officeDocument/2006/relationships/hyperlink" Target="https://earth.google.com/web/search/-30.9033764049885,-55.5393680096893" TargetMode="External"/><Relationship Id="rId2473" Type="http://schemas.openxmlformats.org/officeDocument/2006/relationships/hyperlink" Target="https://www.google.com/maps/search/?api=1&amp;query=-30.8969503529115,-55.5376814422364" TargetMode="External"/><Relationship Id="rId554" Type="http://schemas.openxmlformats.org/officeDocument/2006/relationships/hyperlink" Target="https://earth.google.com/web/search/-30.9039919928929,-55.5445124036435" TargetMode="External"/><Relationship Id="rId1143" Type="http://schemas.openxmlformats.org/officeDocument/2006/relationships/hyperlink" Target="https://www.google.com/maps/search/?api=1&amp;query=-30.9034141846981,-55.5393243191598" TargetMode="External"/><Relationship Id="rId2474" Type="http://schemas.openxmlformats.org/officeDocument/2006/relationships/hyperlink" Target="https://earth.google.com/web/search/-30.8969503529115,-55.5376814422364" TargetMode="External"/><Relationship Id="rId553" Type="http://schemas.openxmlformats.org/officeDocument/2006/relationships/hyperlink" Target="https://www.google.com/maps/search/?api=1&amp;query=-30.9039919928929,-55.5445124036435" TargetMode="External"/><Relationship Id="rId1144" Type="http://schemas.openxmlformats.org/officeDocument/2006/relationships/hyperlink" Target="https://earth.google.com/web/search/-30.9034141846981,-55.5393243191598" TargetMode="External"/><Relationship Id="rId2475" Type="http://schemas.openxmlformats.org/officeDocument/2006/relationships/hyperlink" Target="https://www.google.com/maps/search/?api=1&amp;query=-30.8979365247093,-55.5374225903332" TargetMode="External"/><Relationship Id="rId552" Type="http://schemas.openxmlformats.org/officeDocument/2006/relationships/hyperlink" Target="https://earth.google.com/web/search/-30.9039505882959,-55.5446074576412" TargetMode="External"/><Relationship Id="rId1145" Type="http://schemas.openxmlformats.org/officeDocument/2006/relationships/hyperlink" Target="https://www.google.com/maps/search/?api=1&amp;query=-30.9035406707211,-55.5387753648007" TargetMode="External"/><Relationship Id="rId2476" Type="http://schemas.openxmlformats.org/officeDocument/2006/relationships/hyperlink" Target="https://earth.google.com/web/search/-30.8979365247093,-55.5374225903332" TargetMode="External"/><Relationship Id="rId551" Type="http://schemas.openxmlformats.org/officeDocument/2006/relationships/hyperlink" Target="https://www.google.com/maps/search/?api=1&amp;query=-30.9039505882959,-55.5446074576412" TargetMode="External"/><Relationship Id="rId1146" Type="http://schemas.openxmlformats.org/officeDocument/2006/relationships/hyperlink" Target="https://earth.google.com/web/search/-30.9035406707211,-55.5387753648007" TargetMode="External"/><Relationship Id="rId2477" Type="http://schemas.openxmlformats.org/officeDocument/2006/relationships/hyperlink" Target="https://www.google.com/maps/search/?api=1&amp;query=-30.8978089958384,-5.5535927781608" TargetMode="External"/><Relationship Id="rId2090" Type="http://schemas.openxmlformats.org/officeDocument/2006/relationships/hyperlink" Target="https://earth.google.com/web/search/-30.8987742826128,-55.5380725115072" TargetMode="External"/><Relationship Id="rId2091" Type="http://schemas.openxmlformats.org/officeDocument/2006/relationships/hyperlink" Target="https://www.google.com/maps/search/?api=1&amp;query=-30.8989167802536,-55.5390814830066" TargetMode="External"/><Relationship Id="rId2092" Type="http://schemas.openxmlformats.org/officeDocument/2006/relationships/hyperlink" Target="https://earth.google.com/web/search/-30.8989167802536,-55.5390814830066" TargetMode="External"/><Relationship Id="rId2093" Type="http://schemas.openxmlformats.org/officeDocument/2006/relationships/hyperlink" Target="https://www.google.com/maps/search/?api=1&amp;query=-30.8987119143654,-55.5400394678676" TargetMode="External"/><Relationship Id="rId2094" Type="http://schemas.openxmlformats.org/officeDocument/2006/relationships/hyperlink" Target="https://earth.google.com/web/search/-30.8987119143654,-55.5400394678676" TargetMode="External"/><Relationship Id="rId2095" Type="http://schemas.openxmlformats.org/officeDocument/2006/relationships/hyperlink" Target="https://www.google.com/maps/search/?api=1&amp;query=-30.8988170029399,-55.5398281914165" TargetMode="External"/><Relationship Id="rId2096" Type="http://schemas.openxmlformats.org/officeDocument/2006/relationships/hyperlink" Target="https://earth.google.com/web/search/-30.8988170029399,-55.5398281914165" TargetMode="External"/><Relationship Id="rId2097" Type="http://schemas.openxmlformats.org/officeDocument/2006/relationships/hyperlink" Target="https://www.google.com/maps/search/?api=1&amp;query=-30.8989211205757,-55.5396316528002" TargetMode="External"/><Relationship Id="rId2098" Type="http://schemas.openxmlformats.org/officeDocument/2006/relationships/hyperlink" Target="https://earth.google.com/web/search/-30.8989211205757,-55.5396316528002" TargetMode="External"/><Relationship Id="rId2099" Type="http://schemas.openxmlformats.org/officeDocument/2006/relationships/hyperlink" Target="https://www.google.com/maps/search/?api=1&amp;query=-30.8989699577238,-55.5395476791854" TargetMode="External"/><Relationship Id="rId2060" Type="http://schemas.openxmlformats.org/officeDocument/2006/relationships/hyperlink" Target="https://earth.google.com/web/search/-30.8996100239802,-55.5371931464848" TargetMode="External"/><Relationship Id="rId2061" Type="http://schemas.openxmlformats.org/officeDocument/2006/relationships/hyperlink" Target="https://www.google.com/maps/search/?api=1&amp;query=-3.0899313415645,-55.5370432107576" TargetMode="External"/><Relationship Id="rId2062" Type="http://schemas.openxmlformats.org/officeDocument/2006/relationships/hyperlink" Target="https://earth.google.com/web/search/-3.0899313415645,-55.5370432107576" TargetMode="External"/><Relationship Id="rId2063" Type="http://schemas.openxmlformats.org/officeDocument/2006/relationships/hyperlink" Target="https://www.google.com/maps/search/?api=1&amp;query=-30.8991147116568,-55.5374007594628" TargetMode="External"/><Relationship Id="rId2064" Type="http://schemas.openxmlformats.org/officeDocument/2006/relationships/hyperlink" Target="https://earth.google.com/web/search/-30.8991147116568,-55.5374007594628" TargetMode="External"/><Relationship Id="rId2065" Type="http://schemas.openxmlformats.org/officeDocument/2006/relationships/hyperlink" Target="https://www.google.com/maps/search/?api=1&amp;query=-30.8990805833504,-5.5537459823603" TargetMode="External"/><Relationship Id="rId2066" Type="http://schemas.openxmlformats.org/officeDocument/2006/relationships/hyperlink" Target="https://earth.google.com/web/search/-30.8990805833504,-5.5537459823603" TargetMode="External"/><Relationship Id="rId2067" Type="http://schemas.openxmlformats.org/officeDocument/2006/relationships/hyperlink" Target="https://www.google.com/maps/search/?api=1&amp;query=-30.8989673983597,-55.5377027831212" TargetMode="External"/><Relationship Id="rId2068" Type="http://schemas.openxmlformats.org/officeDocument/2006/relationships/hyperlink" Target="https://earth.google.com/web/search/-30.8989673983597,-55.5377027831212" TargetMode="External"/><Relationship Id="rId2069" Type="http://schemas.openxmlformats.org/officeDocument/2006/relationships/hyperlink" Target="https://www.google.com/maps/search/?api=1&amp;query=-30.8989617798864,-55.5378615181134" TargetMode="External"/><Relationship Id="rId2050" Type="http://schemas.openxmlformats.org/officeDocument/2006/relationships/hyperlink" Target="https://earth.google.com/web/search/-30.8997900640579,-55.5372128555641" TargetMode="External"/><Relationship Id="rId2051" Type="http://schemas.openxmlformats.org/officeDocument/2006/relationships/hyperlink" Target="https://www.google.com/maps/search/?api=1&amp;query=-30.8999432662654,-55.5373241867563" TargetMode="External"/><Relationship Id="rId495" Type="http://schemas.openxmlformats.org/officeDocument/2006/relationships/hyperlink" Target="https://www.google.com/maps/search/?api=1&amp;query=-30.9052341039823,-55.5423599233299" TargetMode="External"/><Relationship Id="rId2052" Type="http://schemas.openxmlformats.org/officeDocument/2006/relationships/hyperlink" Target="https://earth.google.com/web/search/-30.8999432662654,-55.5373241867563" TargetMode="External"/><Relationship Id="rId494" Type="http://schemas.openxmlformats.org/officeDocument/2006/relationships/hyperlink" Target="https://earth.google.com/web/search/-30.9052096272547,-55.5422466235474" TargetMode="External"/><Relationship Id="rId2053" Type="http://schemas.openxmlformats.org/officeDocument/2006/relationships/hyperlink" Target="https://www.google.com/maps/search/?api=1&amp;query=-30.8998182005339,-55.5379224482169" TargetMode="External"/><Relationship Id="rId493" Type="http://schemas.openxmlformats.org/officeDocument/2006/relationships/hyperlink" Target="https://www.google.com/maps/search/?api=1&amp;query=-30.9052096272547,-55.5422466235474" TargetMode="External"/><Relationship Id="rId2054" Type="http://schemas.openxmlformats.org/officeDocument/2006/relationships/hyperlink" Target="https://earth.google.com/web/search/-30.8998182005339,-55.5379224482169" TargetMode="External"/><Relationship Id="rId492" Type="http://schemas.openxmlformats.org/officeDocument/2006/relationships/hyperlink" Target="https://earth.google.com/web/search/-30.9053368567014,-55.5419904847643" TargetMode="External"/><Relationship Id="rId2055" Type="http://schemas.openxmlformats.org/officeDocument/2006/relationships/hyperlink" Target="https://www.google.com/maps/search/?api=1&amp;query=-30.8999637066583,-55.5376444453943" TargetMode="External"/><Relationship Id="rId499" Type="http://schemas.openxmlformats.org/officeDocument/2006/relationships/hyperlink" Target="https://www.google.com/maps/search/?api=1&amp;query=-30.9054669520482,-55.5424997098385" TargetMode="External"/><Relationship Id="rId2056" Type="http://schemas.openxmlformats.org/officeDocument/2006/relationships/hyperlink" Target="https://earth.google.com/web/search/-30.8999637066583,-55.5376444453943" TargetMode="External"/><Relationship Id="rId498" Type="http://schemas.openxmlformats.org/officeDocument/2006/relationships/hyperlink" Target="https://earth.google.com/web/search/-30.9053573189994,-55.5424395167475" TargetMode="External"/><Relationship Id="rId2057" Type="http://schemas.openxmlformats.org/officeDocument/2006/relationships/hyperlink" Target="https://www.google.com/maps/search/?api=1&amp;query=-30.8996552496854,-55.5372481958952" TargetMode="External"/><Relationship Id="rId497" Type="http://schemas.openxmlformats.org/officeDocument/2006/relationships/hyperlink" Target="https://www.google.com/maps/search/?api=1&amp;query=-30.9053573189994,-55.5424395167475" TargetMode="External"/><Relationship Id="rId2058" Type="http://schemas.openxmlformats.org/officeDocument/2006/relationships/hyperlink" Target="https://earth.google.com/web/search/-30.8996552496854,-55.5372481958952" TargetMode="External"/><Relationship Id="rId496" Type="http://schemas.openxmlformats.org/officeDocument/2006/relationships/hyperlink" Target="https://earth.google.com/web/search/-30.9052341039823,-55.5423599233299" TargetMode="External"/><Relationship Id="rId2059" Type="http://schemas.openxmlformats.org/officeDocument/2006/relationships/hyperlink" Target="https://www.google.com/maps/search/?api=1&amp;query=-30.8996100239802,-55.5371931464848" TargetMode="External"/><Relationship Id="rId2080" Type="http://schemas.openxmlformats.org/officeDocument/2006/relationships/hyperlink" Target="https://earth.google.com/web/search/-3.0899221103242,-55.5390721162179" TargetMode="External"/><Relationship Id="rId2081" Type="http://schemas.openxmlformats.org/officeDocument/2006/relationships/hyperlink" Target="https://www.google.com/maps/search/?api=1&amp;query=-30.8992616375582,-55.5389927467123" TargetMode="External"/><Relationship Id="rId2082" Type="http://schemas.openxmlformats.org/officeDocument/2006/relationships/hyperlink" Target="https://earth.google.com/web/search/-30.8992616375582,-55.5389927467123" TargetMode="External"/><Relationship Id="rId2083" Type="http://schemas.openxmlformats.org/officeDocument/2006/relationships/hyperlink" Target="https://www.google.com/maps/search/?api=1&amp;query=-30.8993758580146,-55.5387799993628" TargetMode="External"/><Relationship Id="rId2084" Type="http://schemas.openxmlformats.org/officeDocument/2006/relationships/hyperlink" Target="https://earth.google.com/web/search/-30.8993758580146,-55.5387799993628" TargetMode="External"/><Relationship Id="rId2085" Type="http://schemas.openxmlformats.org/officeDocument/2006/relationships/hyperlink" Target="https://www.google.com/maps/search/?api=1&amp;query=-30.8994238118334,-55.5386726844683" TargetMode="External"/><Relationship Id="rId2086" Type="http://schemas.openxmlformats.org/officeDocument/2006/relationships/hyperlink" Target="https://earth.google.com/web/search/-30.8994238118334,-55.5386726844683" TargetMode="External"/><Relationship Id="rId2087" Type="http://schemas.openxmlformats.org/officeDocument/2006/relationships/hyperlink" Target="https://www.google.com/maps/search/?api=1&amp;query=-30.8987975361879,-0.5553800571306" TargetMode="External"/><Relationship Id="rId2088" Type="http://schemas.openxmlformats.org/officeDocument/2006/relationships/hyperlink" Target="https://earth.google.com/web/search/-30.8987975361879,-0.5553800571306" TargetMode="External"/><Relationship Id="rId2089" Type="http://schemas.openxmlformats.org/officeDocument/2006/relationships/hyperlink" Target="https://www.google.com/maps/search/?api=1&amp;query=-30.8987742826128,-55.5380725115072" TargetMode="External"/><Relationship Id="rId2070" Type="http://schemas.openxmlformats.org/officeDocument/2006/relationships/hyperlink" Target="https://earth.google.com/web/search/-30.8989617798864,-55.5378615181134" TargetMode="External"/><Relationship Id="rId2071" Type="http://schemas.openxmlformats.org/officeDocument/2006/relationships/hyperlink" Target="https://www.google.com/maps/search/?api=1&amp;query=-30.8991724541508,-55.5380234132211" TargetMode="External"/><Relationship Id="rId2072" Type="http://schemas.openxmlformats.org/officeDocument/2006/relationships/hyperlink" Target="https://earth.google.com/web/search/-30.8991724541508,-55.5380234132211" TargetMode="External"/><Relationship Id="rId2073" Type="http://schemas.openxmlformats.org/officeDocument/2006/relationships/hyperlink" Target="https://www.google.com/maps/search/?api=1&amp;query=-30.8992144018269,-55.5380456153405" TargetMode="External"/><Relationship Id="rId2074" Type="http://schemas.openxmlformats.org/officeDocument/2006/relationships/hyperlink" Target="https://earth.google.com/web/search/-30.8992144018269,-55.5380456153405" TargetMode="External"/><Relationship Id="rId2075" Type="http://schemas.openxmlformats.org/officeDocument/2006/relationships/hyperlink" Target="https://www.google.com/maps/search/?api=1&amp;query=-30.8992936856524,-55.5380941901075" TargetMode="External"/><Relationship Id="rId2076" Type="http://schemas.openxmlformats.org/officeDocument/2006/relationships/hyperlink" Target="https://earth.google.com/web/search/-30.8992936856524,-55.5380941901075" TargetMode="External"/><Relationship Id="rId2077" Type="http://schemas.openxmlformats.org/officeDocument/2006/relationships/hyperlink" Target="https://www.google.com/maps/search/?api=1&amp;query=-30.8993442552542,-55.5381267341861" TargetMode="External"/><Relationship Id="rId2078" Type="http://schemas.openxmlformats.org/officeDocument/2006/relationships/hyperlink" Target="https://earth.google.com/web/search/-30.8993442552542,-55.5381267341861" TargetMode="External"/><Relationship Id="rId2079" Type="http://schemas.openxmlformats.org/officeDocument/2006/relationships/hyperlink" Target="https://www.google.com/maps/search/?api=1&amp;query=-3.0899221103242,-55.5390721162179" TargetMode="External"/><Relationship Id="rId1610" Type="http://schemas.openxmlformats.org/officeDocument/2006/relationships/hyperlink" Target="https://earth.google.com/web/search/-30.9020077082275,-55.5375416211463" TargetMode="External"/><Relationship Id="rId1611" Type="http://schemas.openxmlformats.org/officeDocument/2006/relationships/hyperlink" Target="https://www.google.com/maps/search/?api=1&amp;query=-30.9020892073062,-55.5375953967828" TargetMode="External"/><Relationship Id="rId1612" Type="http://schemas.openxmlformats.org/officeDocument/2006/relationships/hyperlink" Target="https://earth.google.com/web/search/-30.9020892073062,-55.5375953967828" TargetMode="External"/><Relationship Id="rId1613" Type="http://schemas.openxmlformats.org/officeDocument/2006/relationships/hyperlink" Target="https://www.google.com/maps/search/?api=1&amp;query=-30.9017074998574,-5.5538428704668" TargetMode="External"/><Relationship Id="rId1614" Type="http://schemas.openxmlformats.org/officeDocument/2006/relationships/hyperlink" Target="https://earth.google.com/web/search/-30.9017074998574,-5.5538428704668" TargetMode="External"/><Relationship Id="rId1615" Type="http://schemas.openxmlformats.org/officeDocument/2006/relationships/hyperlink" Target="https://www.google.com/maps/search/?api=1&amp;query=-30.9017615569737,-55.5383344186894" TargetMode="External"/><Relationship Id="rId1616" Type="http://schemas.openxmlformats.org/officeDocument/2006/relationships/hyperlink" Target="https://earth.google.com/web/search/-30.9017615569737,-55.5383344186894" TargetMode="External"/><Relationship Id="rId907" Type="http://schemas.openxmlformats.org/officeDocument/2006/relationships/hyperlink" Target="https://www.google.com/maps/search/?api=1&amp;query=-30.9030455400482,-55.5433245388036" TargetMode="External"/><Relationship Id="rId1617" Type="http://schemas.openxmlformats.org/officeDocument/2006/relationships/hyperlink" Target="https://www.google.com/maps/search/?api=1&amp;query=-30.9018476710668,-55.5381746722807" TargetMode="External"/><Relationship Id="rId906" Type="http://schemas.openxmlformats.org/officeDocument/2006/relationships/hyperlink" Target="https://earth.google.com/web/search/-30.9029416301144,-55.5432624683374" TargetMode="External"/><Relationship Id="rId1618" Type="http://schemas.openxmlformats.org/officeDocument/2006/relationships/hyperlink" Target="https://earth.google.com/web/search/-30.9018476710668,-55.5381746722807" TargetMode="External"/><Relationship Id="rId905" Type="http://schemas.openxmlformats.org/officeDocument/2006/relationships/hyperlink" Target="https://www.google.com/maps/search/?api=1&amp;query=-30.9029416301144,-55.5432624683374" TargetMode="External"/><Relationship Id="rId1619" Type="http://schemas.openxmlformats.org/officeDocument/2006/relationships/hyperlink" Target="https://www.google.com/maps/search/?api=1&amp;query=-30.9019021352963,-55.5380620486078" TargetMode="External"/><Relationship Id="rId904" Type="http://schemas.openxmlformats.org/officeDocument/2006/relationships/hyperlink" Target="https://earth.google.com/web/search/-30.9028259116762,-55.5431848179794" TargetMode="External"/><Relationship Id="rId909" Type="http://schemas.openxmlformats.org/officeDocument/2006/relationships/hyperlink" Target="https://www.google.com/maps/search/?api=1&amp;query=-30.9031238067988,-55.5433795381298" TargetMode="External"/><Relationship Id="rId908" Type="http://schemas.openxmlformats.org/officeDocument/2006/relationships/hyperlink" Target="https://earth.google.com/web/search/-30.9030455400482,-55.5433245388036" TargetMode="External"/><Relationship Id="rId903" Type="http://schemas.openxmlformats.org/officeDocument/2006/relationships/hyperlink" Target="https://www.google.com/maps/search/?api=1&amp;query=-30.9028259116762,-55.5431848179794" TargetMode="External"/><Relationship Id="rId902" Type="http://schemas.openxmlformats.org/officeDocument/2006/relationships/hyperlink" Target="https://earth.google.com/web/search/-30.9027753958771,-55.5431570589019" TargetMode="External"/><Relationship Id="rId901" Type="http://schemas.openxmlformats.org/officeDocument/2006/relationships/hyperlink" Target="https://www.google.com/maps/search/?api=1&amp;query=-30.9027753958771,-55.5431570589019" TargetMode="External"/><Relationship Id="rId900" Type="http://schemas.openxmlformats.org/officeDocument/2006/relationships/hyperlink" Target="https://earth.google.com/web/search/-30.9027330778345,-55.5431221291269" TargetMode="External"/><Relationship Id="rId1600" Type="http://schemas.openxmlformats.org/officeDocument/2006/relationships/hyperlink" Target="https://earth.google.com/web/search/-30.9016223934471,-5.5537262070003" TargetMode="External"/><Relationship Id="rId1601" Type="http://schemas.openxmlformats.org/officeDocument/2006/relationships/hyperlink" Target="https://www.google.com/maps/search/?api=1&amp;query=-30.9016794482238,-5.5537301026472" TargetMode="External"/><Relationship Id="rId1602" Type="http://schemas.openxmlformats.org/officeDocument/2006/relationships/hyperlink" Target="https://earth.google.com/web/search/-30.9016794482238,-5.5537301026472" TargetMode="External"/><Relationship Id="rId1603" Type="http://schemas.openxmlformats.org/officeDocument/2006/relationships/hyperlink" Target="https://www.google.com/maps/search/?api=1&amp;query=-30.9018047616059,-55.5373881838921" TargetMode="External"/><Relationship Id="rId1604" Type="http://schemas.openxmlformats.org/officeDocument/2006/relationships/hyperlink" Target="https://earth.google.com/web/search/-30.9018047616059,-55.5373881838921" TargetMode="External"/><Relationship Id="rId1605" Type="http://schemas.openxmlformats.org/officeDocument/2006/relationships/hyperlink" Target="https://www.google.com/maps/search/?api=1&amp;query=-30.9018577928966,-55.5374258032133" TargetMode="External"/><Relationship Id="rId1606" Type="http://schemas.openxmlformats.org/officeDocument/2006/relationships/hyperlink" Target="https://earth.google.com/web/search/-30.9018577928966,-55.5374258032133" TargetMode="External"/><Relationship Id="rId1607" Type="http://schemas.openxmlformats.org/officeDocument/2006/relationships/hyperlink" Target="https://www.google.com/maps/search/?api=1&amp;query=-30.9019099109738,-55.5374610686707" TargetMode="External"/><Relationship Id="rId1608" Type="http://schemas.openxmlformats.org/officeDocument/2006/relationships/hyperlink" Target="https://earth.google.com/web/search/-30.9019099109738,-55.5374610686707" TargetMode="External"/><Relationship Id="rId1609" Type="http://schemas.openxmlformats.org/officeDocument/2006/relationships/hyperlink" Target="https://www.google.com/maps/search/?api=1&amp;query=-30.9020077082275,-55.5375416211463" TargetMode="External"/><Relationship Id="rId1631" Type="http://schemas.openxmlformats.org/officeDocument/2006/relationships/hyperlink" Target="https://www.google.com/maps/search/?api=1&amp;query=-3.0901532812417,-55.5373348023231" TargetMode="External"/><Relationship Id="rId1632" Type="http://schemas.openxmlformats.org/officeDocument/2006/relationships/hyperlink" Target="https://earth.google.com/web/search/-3.0901532812417,-55.5373348023231" TargetMode="External"/><Relationship Id="rId1633" Type="http://schemas.openxmlformats.org/officeDocument/2006/relationships/hyperlink" Target="https://www.google.com/maps/search/?api=1&amp;query=-3.0901424908621,-55.5372489659906" TargetMode="External"/><Relationship Id="rId1634" Type="http://schemas.openxmlformats.org/officeDocument/2006/relationships/hyperlink" Target="https://earth.google.com/web/search/-3.0901424908621,-55.5372489659906" TargetMode="External"/><Relationship Id="rId1635" Type="http://schemas.openxmlformats.org/officeDocument/2006/relationships/hyperlink" Target="https://www.google.com/maps/search/?api=1&amp;query=-30.9013328900568,-55.5373209630592" TargetMode="External"/><Relationship Id="rId1636" Type="http://schemas.openxmlformats.org/officeDocument/2006/relationships/hyperlink" Target="https://earth.google.com/web/search/-30.9013328900568,-55.5373209630592" TargetMode="External"/><Relationship Id="rId1637" Type="http://schemas.openxmlformats.org/officeDocument/2006/relationships/hyperlink" Target="https://www.google.com/maps/search/?api=1&amp;query=-30.9013040562886,-55.5373672095465" TargetMode="External"/><Relationship Id="rId1638" Type="http://schemas.openxmlformats.org/officeDocument/2006/relationships/hyperlink" Target="https://earth.google.com/web/search/-30.9013040562886,-55.5373672095465" TargetMode="External"/><Relationship Id="rId929" Type="http://schemas.openxmlformats.org/officeDocument/2006/relationships/hyperlink" Target="https://www.google.com/maps/search/?api=1&amp;query=-30.9022174004591,-55.5437861237448" TargetMode="External"/><Relationship Id="rId1639" Type="http://schemas.openxmlformats.org/officeDocument/2006/relationships/hyperlink" Target="https://www.google.com/maps/search/?api=1&amp;query=-30.9012719403002,-55.5374329374221" TargetMode="External"/><Relationship Id="rId928" Type="http://schemas.openxmlformats.org/officeDocument/2006/relationships/hyperlink" Target="https://earth.google.com/web/search/-30.9022474492314,-55.5437447859891" TargetMode="External"/><Relationship Id="rId927" Type="http://schemas.openxmlformats.org/officeDocument/2006/relationships/hyperlink" Target="https://www.google.com/maps/search/?api=1&amp;query=-30.9022474492314,-55.5437447859891" TargetMode="External"/><Relationship Id="rId926" Type="http://schemas.openxmlformats.org/officeDocument/2006/relationships/hyperlink" Target="https://earth.google.com/web/search/-30.9023399611837,-55.5435735583197" TargetMode="External"/><Relationship Id="rId921" Type="http://schemas.openxmlformats.org/officeDocument/2006/relationships/hyperlink" Target="https://www.google.com/maps/search/?api=1&amp;query=-30.9024964443423,-55.5432698290881" TargetMode="External"/><Relationship Id="rId920" Type="http://schemas.openxmlformats.org/officeDocument/2006/relationships/hyperlink" Target="https://earth.google.com/web/search/-30.9027896611826,-55.5432685392315" TargetMode="External"/><Relationship Id="rId925" Type="http://schemas.openxmlformats.org/officeDocument/2006/relationships/hyperlink" Target="https://www.google.com/maps/search/?api=1&amp;query=-30.9023399611837,-55.5435735583197" TargetMode="External"/><Relationship Id="rId924" Type="http://schemas.openxmlformats.org/officeDocument/2006/relationships/hyperlink" Target="https://earth.google.com/web/search/-30.9024451821033,-55.5433474161151" TargetMode="External"/><Relationship Id="rId923" Type="http://schemas.openxmlformats.org/officeDocument/2006/relationships/hyperlink" Target="https://www.google.com/maps/search/?api=1&amp;query=-30.9024451821033,-55.5433474161151" TargetMode="External"/><Relationship Id="rId922" Type="http://schemas.openxmlformats.org/officeDocument/2006/relationships/hyperlink" Target="https://earth.google.com/web/search/-30.9024964443423,-55.5432698290881" TargetMode="External"/><Relationship Id="rId1630" Type="http://schemas.openxmlformats.org/officeDocument/2006/relationships/hyperlink" Target="https://earth.google.com/web/search/-30.9016335288475,-55.5374029474778" TargetMode="External"/><Relationship Id="rId1620" Type="http://schemas.openxmlformats.org/officeDocument/2006/relationships/hyperlink" Target="https://earth.google.com/web/search/-30.9019021352963,-55.5380620486078" TargetMode="External"/><Relationship Id="rId1621" Type="http://schemas.openxmlformats.org/officeDocument/2006/relationships/hyperlink" Target="https://www.google.com/maps/search/?api=1&amp;query=-30.9019588303878,-55.5379658094094" TargetMode="External"/><Relationship Id="rId1622" Type="http://schemas.openxmlformats.org/officeDocument/2006/relationships/hyperlink" Target="https://earth.google.com/web/search/-30.9019588303878,-55.5379658094094" TargetMode="External"/><Relationship Id="rId1623" Type="http://schemas.openxmlformats.org/officeDocument/2006/relationships/hyperlink" Target="https://www.google.com/maps/search/?api=1&amp;query=-30.9020515487951,-55.5378004895683" TargetMode="External"/><Relationship Id="rId1624" Type="http://schemas.openxmlformats.org/officeDocument/2006/relationships/hyperlink" Target="https://earth.google.com/web/search/-30.9020515487951,-55.5378004895683" TargetMode="External"/><Relationship Id="rId1625" Type="http://schemas.openxmlformats.org/officeDocument/2006/relationships/hyperlink" Target="https://www.google.com/maps/search/?api=1&amp;query=-30.9020675828078,-55.5377185531946" TargetMode="External"/><Relationship Id="rId1626" Type="http://schemas.openxmlformats.org/officeDocument/2006/relationships/hyperlink" Target="https://earth.google.com/web/search/-30.9020675828078,-55.5377185531946" TargetMode="External"/><Relationship Id="rId1627" Type="http://schemas.openxmlformats.org/officeDocument/2006/relationships/hyperlink" Target="https://www.google.com/maps/search/?api=1&amp;query=-30.9019591977997,-55.5376431714601" TargetMode="External"/><Relationship Id="rId918" Type="http://schemas.openxmlformats.org/officeDocument/2006/relationships/hyperlink" Target="https://earth.google.com/web/search/-30.9029486963701,-55.5433857222129" TargetMode="External"/><Relationship Id="rId1628" Type="http://schemas.openxmlformats.org/officeDocument/2006/relationships/hyperlink" Target="https://earth.google.com/web/search/-30.9019591977997,-55.5376431714601" TargetMode="External"/><Relationship Id="rId917" Type="http://schemas.openxmlformats.org/officeDocument/2006/relationships/hyperlink" Target="https://www.google.com/maps/search/?api=1&amp;query=-30.9029486963701,-55.5433857222129" TargetMode="External"/><Relationship Id="rId1629" Type="http://schemas.openxmlformats.org/officeDocument/2006/relationships/hyperlink" Target="https://www.google.com/maps/search/?api=1&amp;query=-30.9016335288475,-55.5374029474778" TargetMode="External"/><Relationship Id="rId916" Type="http://schemas.openxmlformats.org/officeDocument/2006/relationships/hyperlink" Target="https://earth.google.com/web/search/-30.9030103238033,-55.5434406065449" TargetMode="External"/><Relationship Id="rId915" Type="http://schemas.openxmlformats.org/officeDocument/2006/relationships/hyperlink" Target="https://www.google.com/maps/search/?api=1&amp;query=-30.9030103238033,-55.5434406065449" TargetMode="External"/><Relationship Id="rId919" Type="http://schemas.openxmlformats.org/officeDocument/2006/relationships/hyperlink" Target="https://www.google.com/maps/search/?api=1&amp;query=-30.9027896611826,-55.5432685392315" TargetMode="External"/><Relationship Id="rId910" Type="http://schemas.openxmlformats.org/officeDocument/2006/relationships/hyperlink" Target="https://earth.google.com/web/search/-30.9031238067988,-55.5433795381298" TargetMode="External"/><Relationship Id="rId914" Type="http://schemas.openxmlformats.org/officeDocument/2006/relationships/hyperlink" Target="https://earth.google.com/web/search/-30.9031982263258,-55.5435745131138" TargetMode="External"/><Relationship Id="rId913" Type="http://schemas.openxmlformats.org/officeDocument/2006/relationships/hyperlink" Target="https://www.google.com/maps/search/?api=1&amp;query=-30.9031982263258,-55.5435745131138" TargetMode="External"/><Relationship Id="rId912" Type="http://schemas.openxmlformats.org/officeDocument/2006/relationships/hyperlink" Target="https://earth.google.com/web/search/-30.9032912492092,-55.5435087534884" TargetMode="External"/><Relationship Id="rId911" Type="http://schemas.openxmlformats.org/officeDocument/2006/relationships/hyperlink" Target="https://www.google.com/maps/search/?api=1&amp;query=-30.9032912492092,-55.5435087534884" TargetMode="External"/><Relationship Id="rId1213" Type="http://schemas.openxmlformats.org/officeDocument/2006/relationships/hyperlink" Target="https://www.google.com/maps/search/?api=1&amp;query=-30.9022961440698,-55.5414203319484" TargetMode="External"/><Relationship Id="rId1697" Type="http://schemas.openxmlformats.org/officeDocument/2006/relationships/hyperlink" Target="https://www.google.com/maps/search/?api=1&amp;query=-30.9007368838627,-5.5540283321444" TargetMode="External"/><Relationship Id="rId2544" Type="http://schemas.openxmlformats.org/officeDocument/2006/relationships/hyperlink" Target="https://earth.google.com/web/search/-30.8979441775746,-55.5346226718623" TargetMode="External"/><Relationship Id="rId1214" Type="http://schemas.openxmlformats.org/officeDocument/2006/relationships/hyperlink" Target="https://earth.google.com/web/search/-30.9022961440698,-55.5414203319484" TargetMode="External"/><Relationship Id="rId1698" Type="http://schemas.openxmlformats.org/officeDocument/2006/relationships/hyperlink" Target="https://earth.google.com/web/search/-30.9007368838627,-5.5540283321444" TargetMode="External"/><Relationship Id="rId2545" Type="http://schemas.openxmlformats.org/officeDocument/2006/relationships/hyperlink" Target="https://www.google.com/maps/search/?api=1&amp;query=-30.8978062827663,-55.5345443988156" TargetMode="External"/><Relationship Id="rId1215" Type="http://schemas.openxmlformats.org/officeDocument/2006/relationships/hyperlink" Target="https://www.google.com/maps/search/?api=1&amp;query=-30.9023607013153,-55.5413062088555" TargetMode="External"/><Relationship Id="rId1699" Type="http://schemas.openxmlformats.org/officeDocument/2006/relationships/hyperlink" Target="https://www.google.com/maps/search/?api=1&amp;query=-30.9010752242575,-55.5396605405385" TargetMode="External"/><Relationship Id="rId2546" Type="http://schemas.openxmlformats.org/officeDocument/2006/relationships/hyperlink" Target="https://earth.google.com/web/search/-30.8978062827663,-55.5345443988156" TargetMode="External"/><Relationship Id="rId1216" Type="http://schemas.openxmlformats.org/officeDocument/2006/relationships/hyperlink" Target="https://earth.google.com/web/search/-30.9023607013153,-55.5413062088555" TargetMode="External"/><Relationship Id="rId2547" Type="http://schemas.openxmlformats.org/officeDocument/2006/relationships/hyperlink" Target="https://www.google.com/maps/search/?api=1&amp;query=-30.8976954454774,-55.5344515662382" TargetMode="External"/><Relationship Id="rId1217" Type="http://schemas.openxmlformats.org/officeDocument/2006/relationships/hyperlink" Target="https://www.google.com/maps/search/?api=1&amp;query=-30.9024882626124,-55.5410477874026" TargetMode="External"/><Relationship Id="rId2548" Type="http://schemas.openxmlformats.org/officeDocument/2006/relationships/hyperlink" Target="https://earth.google.com/web/search/-30.8976954454774,-55.5344515662382" TargetMode="External"/><Relationship Id="rId1218" Type="http://schemas.openxmlformats.org/officeDocument/2006/relationships/hyperlink" Target="https://earth.google.com/web/search/-30.9024882626124,-55.5410477874026" TargetMode="External"/><Relationship Id="rId2549" Type="http://schemas.openxmlformats.org/officeDocument/2006/relationships/hyperlink" Target="https://www.google.com/maps/search/?api=1&amp;query=-30.8975790002801,-5.5534371099059" TargetMode="External"/><Relationship Id="rId1219" Type="http://schemas.openxmlformats.org/officeDocument/2006/relationships/hyperlink" Target="https://www.google.com/maps/search/?api=1&amp;query=-30.9025513197417,-55.5409560017832" TargetMode="External"/><Relationship Id="rId866" Type="http://schemas.openxmlformats.org/officeDocument/2006/relationships/hyperlink" Target="https://earth.google.com/web/search/-30.9032944141527,-55.5422271366941" TargetMode="External"/><Relationship Id="rId865" Type="http://schemas.openxmlformats.org/officeDocument/2006/relationships/hyperlink" Target="https://www.google.com/maps/search/?api=1&amp;query=-30.9032944141527,-55.5422271366941" TargetMode="External"/><Relationship Id="rId864" Type="http://schemas.openxmlformats.org/officeDocument/2006/relationships/hyperlink" Target="https://earth.google.com/web/search/-3.0903211800722,-55.5421840349196" TargetMode="External"/><Relationship Id="rId863" Type="http://schemas.openxmlformats.org/officeDocument/2006/relationships/hyperlink" Target="https://www.google.com/maps/search/?api=1&amp;query=-3.0903211800722,-55.5421840349196" TargetMode="External"/><Relationship Id="rId869" Type="http://schemas.openxmlformats.org/officeDocument/2006/relationships/hyperlink" Target="https://www.google.com/maps/search/?api=1&amp;query=-30.9034503615007,-55.5423300417974" TargetMode="External"/><Relationship Id="rId868" Type="http://schemas.openxmlformats.org/officeDocument/2006/relationships/hyperlink" Target="https://earth.google.com/web/search/-30.9034087053907,-55.5422988902268" TargetMode="External"/><Relationship Id="rId867" Type="http://schemas.openxmlformats.org/officeDocument/2006/relationships/hyperlink" Target="https://www.google.com/maps/search/?api=1&amp;query=-30.9034087053907,-55.5422988902268" TargetMode="External"/><Relationship Id="rId1690" Type="http://schemas.openxmlformats.org/officeDocument/2006/relationships/hyperlink" Target="https://earth.google.com/web/search/-30.9007510740951,-5.5539152038327" TargetMode="External"/><Relationship Id="rId1691" Type="http://schemas.openxmlformats.org/officeDocument/2006/relationships/hyperlink" Target="https://www.google.com/maps/search/?api=1&amp;query=-30.9008639796082,-55.5392353574245" TargetMode="External"/><Relationship Id="rId1692" Type="http://schemas.openxmlformats.org/officeDocument/2006/relationships/hyperlink" Target="https://earth.google.com/web/search/-30.9008639796082,-55.5392353574245" TargetMode="External"/><Relationship Id="rId862" Type="http://schemas.openxmlformats.org/officeDocument/2006/relationships/hyperlink" Target="https://earth.google.com/web/search/-30.9032015729671,-55.5419145040312" TargetMode="External"/><Relationship Id="rId1693" Type="http://schemas.openxmlformats.org/officeDocument/2006/relationships/hyperlink" Target="https://www.google.com/maps/search/?api=1&amp;query=-30.9010309183245,-55.5393382263867" TargetMode="External"/><Relationship Id="rId2540" Type="http://schemas.openxmlformats.org/officeDocument/2006/relationships/hyperlink" Target="https://earth.google.com/web/search/-30.8984262186529,-55.5346837605438" TargetMode="External"/><Relationship Id="rId861" Type="http://schemas.openxmlformats.org/officeDocument/2006/relationships/hyperlink" Target="https://www.google.com/maps/search/?api=1&amp;query=-30.9032015729671,-55.5419145040312" TargetMode="External"/><Relationship Id="rId1210" Type="http://schemas.openxmlformats.org/officeDocument/2006/relationships/hyperlink" Target="https://earth.google.com/web/search/-30.9022296536721,-55.5402089604185" TargetMode="External"/><Relationship Id="rId1694" Type="http://schemas.openxmlformats.org/officeDocument/2006/relationships/hyperlink" Target="https://earth.google.com/web/search/-30.9010309183245,-55.5393382263867" TargetMode="External"/><Relationship Id="rId2541" Type="http://schemas.openxmlformats.org/officeDocument/2006/relationships/hyperlink" Target="https://www.google.com/maps/search/?api=1&amp;query=-30.8980717932903,-55.5347201371306" TargetMode="External"/><Relationship Id="rId860" Type="http://schemas.openxmlformats.org/officeDocument/2006/relationships/hyperlink" Target="https://earth.google.com/web/search/-30.9033654018921,-55.5416136990112" TargetMode="External"/><Relationship Id="rId1211" Type="http://schemas.openxmlformats.org/officeDocument/2006/relationships/hyperlink" Target="https://www.google.com/maps/search/?api=1&amp;query=-3.0902306740981,-55.5402527277438" TargetMode="External"/><Relationship Id="rId1695" Type="http://schemas.openxmlformats.org/officeDocument/2006/relationships/hyperlink" Target="https://www.google.com/maps/search/?api=1&amp;query=-30.9011024331981,-55.5393901891775" TargetMode="External"/><Relationship Id="rId2542" Type="http://schemas.openxmlformats.org/officeDocument/2006/relationships/hyperlink" Target="https://earth.google.com/web/search/-30.8980717932903,-55.5347201371306" TargetMode="External"/><Relationship Id="rId1212" Type="http://schemas.openxmlformats.org/officeDocument/2006/relationships/hyperlink" Target="https://earth.google.com/web/search/-3.0902306740981,-55.5402527277438" TargetMode="External"/><Relationship Id="rId1696" Type="http://schemas.openxmlformats.org/officeDocument/2006/relationships/hyperlink" Target="https://earth.google.com/web/search/-30.9011024331981,-55.5393901891775" TargetMode="External"/><Relationship Id="rId2543" Type="http://schemas.openxmlformats.org/officeDocument/2006/relationships/hyperlink" Target="https://www.google.com/maps/search/?api=1&amp;query=-30.8979441775746,-55.5346226718623" TargetMode="External"/><Relationship Id="rId1202" Type="http://schemas.openxmlformats.org/officeDocument/2006/relationships/hyperlink" Target="https://earth.google.com/web/search/-30.9022929919433,-55.5395764418546" TargetMode="External"/><Relationship Id="rId1686" Type="http://schemas.openxmlformats.org/officeDocument/2006/relationships/hyperlink" Target="https://earth.google.com/web/search/-30.9005945428607,-55.5390433076613" TargetMode="External"/><Relationship Id="rId2533" Type="http://schemas.openxmlformats.org/officeDocument/2006/relationships/hyperlink" Target="https://www.google.com/maps/search/?api=1&amp;query=-30.8989171176309,-55.5353269063079" TargetMode="External"/><Relationship Id="rId1203" Type="http://schemas.openxmlformats.org/officeDocument/2006/relationships/hyperlink" Target="https://www.google.com/maps/search/?api=1&amp;query=-30.9021681560675,-55.5398009928314" TargetMode="External"/><Relationship Id="rId1687" Type="http://schemas.openxmlformats.org/officeDocument/2006/relationships/hyperlink" Target="https://www.google.com/maps/search/?api=1&amp;query=-30.9006869812603,-55.5391134892403" TargetMode="External"/><Relationship Id="rId2534" Type="http://schemas.openxmlformats.org/officeDocument/2006/relationships/hyperlink" Target="https://earth.google.com/web/search/-30.8989171176309,-55.5353269063079" TargetMode="External"/><Relationship Id="rId1204" Type="http://schemas.openxmlformats.org/officeDocument/2006/relationships/hyperlink" Target="https://earth.google.com/web/search/-30.9021681560675,-55.5398009928314" TargetMode="External"/><Relationship Id="rId1688" Type="http://schemas.openxmlformats.org/officeDocument/2006/relationships/hyperlink" Target="https://earth.google.com/web/search/-30.9006869812603,-55.5391134892403" TargetMode="External"/><Relationship Id="rId2535" Type="http://schemas.openxmlformats.org/officeDocument/2006/relationships/hyperlink" Target="https://www.google.com/maps/search/?api=1&amp;query=-30.8987819190639,-55.5352320015739" TargetMode="External"/><Relationship Id="rId1205" Type="http://schemas.openxmlformats.org/officeDocument/2006/relationships/hyperlink" Target="https://www.google.com/maps/search/?api=1&amp;query=-30.9021319522287,-55.5398840626006" TargetMode="External"/><Relationship Id="rId1689" Type="http://schemas.openxmlformats.org/officeDocument/2006/relationships/hyperlink" Target="https://www.google.com/maps/search/?api=1&amp;query=-30.9007510740951,-5.5539152038327" TargetMode="External"/><Relationship Id="rId2536" Type="http://schemas.openxmlformats.org/officeDocument/2006/relationships/hyperlink" Target="https://earth.google.com/web/search/-30.8987819190639,-55.5352320015739" TargetMode="External"/><Relationship Id="rId1206" Type="http://schemas.openxmlformats.org/officeDocument/2006/relationships/hyperlink" Target="https://earth.google.com/web/search/-30.9021319522287,-55.5398840626006" TargetMode="External"/><Relationship Id="rId2537" Type="http://schemas.openxmlformats.org/officeDocument/2006/relationships/hyperlink" Target="https://www.google.com/maps/search/?api=1&amp;query=-30.8987081633881,-0.5553517730235" TargetMode="External"/><Relationship Id="rId1207" Type="http://schemas.openxmlformats.org/officeDocument/2006/relationships/hyperlink" Target="https://www.google.com/maps/search/?api=1&amp;query=-30.9020505229438,-55.5400343554885" TargetMode="External"/><Relationship Id="rId2538" Type="http://schemas.openxmlformats.org/officeDocument/2006/relationships/hyperlink" Target="https://earth.google.com/web/search/-30.8987081633881,-0.5553517730235" TargetMode="External"/><Relationship Id="rId1208" Type="http://schemas.openxmlformats.org/officeDocument/2006/relationships/hyperlink" Target="https://earth.google.com/web/search/-30.9020505229438,-55.5400343554885" TargetMode="External"/><Relationship Id="rId2539" Type="http://schemas.openxmlformats.org/officeDocument/2006/relationships/hyperlink" Target="https://www.google.com/maps/search/?api=1&amp;query=-30.8984262186529,-55.5346837605438" TargetMode="External"/><Relationship Id="rId1209" Type="http://schemas.openxmlformats.org/officeDocument/2006/relationships/hyperlink" Target="https://www.google.com/maps/search/?api=1&amp;query=-30.9022296536721,-55.5402089604185" TargetMode="External"/><Relationship Id="rId855" Type="http://schemas.openxmlformats.org/officeDocument/2006/relationships/hyperlink" Target="https://www.google.com/maps/search/?api=1&amp;query=-30.9038214869356,-55.5414810763546" TargetMode="External"/><Relationship Id="rId854" Type="http://schemas.openxmlformats.org/officeDocument/2006/relationships/hyperlink" Target="https://earth.google.com/web/search/-3.0904078831548,-55.5416473023974" TargetMode="External"/><Relationship Id="rId853" Type="http://schemas.openxmlformats.org/officeDocument/2006/relationships/hyperlink" Target="https://www.google.com/maps/search/?api=1&amp;query=-3.0904078831548,-55.5416473023974" TargetMode="External"/><Relationship Id="rId852" Type="http://schemas.openxmlformats.org/officeDocument/2006/relationships/hyperlink" Target="https://earth.google.com/web/search/-30.9041888562651,-55.5417127752977" TargetMode="External"/><Relationship Id="rId859" Type="http://schemas.openxmlformats.org/officeDocument/2006/relationships/hyperlink" Target="https://www.google.com/maps/search/?api=1&amp;query=-30.9033654018921,-55.5416136990112" TargetMode="External"/><Relationship Id="rId858" Type="http://schemas.openxmlformats.org/officeDocument/2006/relationships/hyperlink" Target="https://earth.google.com/web/search/-30.9037634868338,-55.5414269704628" TargetMode="External"/><Relationship Id="rId857" Type="http://schemas.openxmlformats.org/officeDocument/2006/relationships/hyperlink" Target="https://www.google.com/maps/search/?api=1&amp;query=-30.9037634868338,-55.5414269704628" TargetMode="External"/><Relationship Id="rId856" Type="http://schemas.openxmlformats.org/officeDocument/2006/relationships/hyperlink" Target="https://earth.google.com/web/search/-30.9038214869356,-55.5414810763546" TargetMode="External"/><Relationship Id="rId1680" Type="http://schemas.openxmlformats.org/officeDocument/2006/relationships/hyperlink" Target="https://earth.google.com/web/search/-30.9007025863489,-55.5384878294332" TargetMode="External"/><Relationship Id="rId1681" Type="http://schemas.openxmlformats.org/officeDocument/2006/relationships/hyperlink" Target="https://www.google.com/maps/search/?api=1&amp;query=-3.0900652950682,-55.5386032432771" TargetMode="External"/><Relationship Id="rId851" Type="http://schemas.openxmlformats.org/officeDocument/2006/relationships/hyperlink" Target="https://www.google.com/maps/search/?api=1&amp;query=-30.9041888562651,-55.5417127752977" TargetMode="External"/><Relationship Id="rId1682" Type="http://schemas.openxmlformats.org/officeDocument/2006/relationships/hyperlink" Target="https://earth.google.com/web/search/-3.0900652950682,-55.5386032432771" TargetMode="External"/><Relationship Id="rId850" Type="http://schemas.openxmlformats.org/officeDocument/2006/relationships/hyperlink" Target="https://earth.google.com/web/search/-30.9042442539515,-55.5417476257556" TargetMode="External"/><Relationship Id="rId1683" Type="http://schemas.openxmlformats.org/officeDocument/2006/relationships/hyperlink" Target="https://www.google.com/maps/search/?api=1&amp;query=-30.9005280634462,-55.5388339057183" TargetMode="External"/><Relationship Id="rId2530" Type="http://schemas.openxmlformats.org/officeDocument/2006/relationships/hyperlink" Target="https://earth.google.com/web/search/-30.8990876677845,-55.5352810521249" TargetMode="External"/><Relationship Id="rId1200" Type="http://schemas.openxmlformats.org/officeDocument/2006/relationships/hyperlink" Target="https://earth.google.com/web/search/-30.9023314910852,-55.5394944460225" TargetMode="External"/><Relationship Id="rId1684" Type="http://schemas.openxmlformats.org/officeDocument/2006/relationships/hyperlink" Target="https://earth.google.com/web/search/-30.9005280634462,-55.5388339057183" TargetMode="External"/><Relationship Id="rId2531" Type="http://schemas.openxmlformats.org/officeDocument/2006/relationships/hyperlink" Target="https://www.google.com/maps/search/?api=1&amp;query=-3.0898990655785,-55.5353753890523" TargetMode="External"/><Relationship Id="rId1201" Type="http://schemas.openxmlformats.org/officeDocument/2006/relationships/hyperlink" Target="https://www.google.com/maps/search/?api=1&amp;query=-30.9022929919433,-55.5395764418546" TargetMode="External"/><Relationship Id="rId1685" Type="http://schemas.openxmlformats.org/officeDocument/2006/relationships/hyperlink" Target="https://www.google.com/maps/search/?api=1&amp;query=-30.9005945428607,-55.5390433076613" TargetMode="External"/><Relationship Id="rId2532" Type="http://schemas.openxmlformats.org/officeDocument/2006/relationships/hyperlink" Target="https://earth.google.com/web/search/-3.0898990655785,-55.5353753890523" TargetMode="External"/><Relationship Id="rId1235" Type="http://schemas.openxmlformats.org/officeDocument/2006/relationships/hyperlink" Target="https://www.google.com/maps/search/?api=1&amp;query=-30.9017053047596,-55.5406747621145" TargetMode="External"/><Relationship Id="rId2566" Type="http://schemas.openxmlformats.org/officeDocument/2006/relationships/hyperlink" Target="https://earth.google.com/web/search/-30.8983917986173,-5.5534543384848" TargetMode="External"/><Relationship Id="rId1236" Type="http://schemas.openxmlformats.org/officeDocument/2006/relationships/hyperlink" Target="https://earth.google.com/web/search/-30.9017053047596,-55.5406747621145" TargetMode="External"/><Relationship Id="rId2567" Type="http://schemas.openxmlformats.org/officeDocument/2006/relationships/hyperlink" Target="https://www.google.com/maps/search/?api=1&amp;query=-30.8983545765672,-55.5346163530518" TargetMode="External"/><Relationship Id="rId1237" Type="http://schemas.openxmlformats.org/officeDocument/2006/relationships/hyperlink" Target="https://www.google.com/maps/search/?api=1&amp;query=-3.0901666269077,-55.5407417114323" TargetMode="External"/><Relationship Id="rId2568" Type="http://schemas.openxmlformats.org/officeDocument/2006/relationships/hyperlink" Target="https://earth.google.com/web/search/-30.8983545765672,-55.5346163530518" TargetMode="External"/><Relationship Id="rId1238" Type="http://schemas.openxmlformats.org/officeDocument/2006/relationships/hyperlink" Target="https://earth.google.com/web/search/-3.0901666269077,-55.5407417114323" TargetMode="External"/><Relationship Id="rId2569" Type="http://schemas.openxmlformats.org/officeDocument/2006/relationships/hyperlink" Target="https://www.google.com/maps/search/?api=1&amp;query=-30.8976032502176,-55.5356559330046" TargetMode="External"/><Relationship Id="rId1239" Type="http://schemas.openxmlformats.org/officeDocument/2006/relationships/hyperlink" Target="https://www.google.com/maps/search/?api=1&amp;query=-30.9017528383348,-55.5411512611621" TargetMode="External"/><Relationship Id="rId409" Type="http://schemas.openxmlformats.org/officeDocument/2006/relationships/hyperlink" Target="https://www.google.com/maps/search/?api=1&amp;query=-30.9062510894431,-55.5402706522377" TargetMode="External"/><Relationship Id="rId404" Type="http://schemas.openxmlformats.org/officeDocument/2006/relationships/hyperlink" Target="https://earth.google.com/web/search/-30.9064873396353,-55.5398317984674" TargetMode="External"/><Relationship Id="rId888" Type="http://schemas.openxmlformats.org/officeDocument/2006/relationships/hyperlink" Target="https://earth.google.com/web/search/-30.9029778047813,-55.5423618335823" TargetMode="External"/><Relationship Id="rId403" Type="http://schemas.openxmlformats.org/officeDocument/2006/relationships/hyperlink" Target="https://www.google.com/maps/search/?api=1&amp;query=-30.9064873396353,-55.5398317984674" TargetMode="External"/><Relationship Id="rId887" Type="http://schemas.openxmlformats.org/officeDocument/2006/relationships/hyperlink" Target="https://www.google.com/maps/search/?api=1&amp;query=-30.9029778047813,-55.5423618335823" TargetMode="External"/><Relationship Id="rId402" Type="http://schemas.openxmlformats.org/officeDocument/2006/relationships/hyperlink" Target="https://earth.google.com/web/search/-30.9067627967378,-55.5398179506156" TargetMode="External"/><Relationship Id="rId886" Type="http://schemas.openxmlformats.org/officeDocument/2006/relationships/hyperlink" Target="https://earth.google.com/web/search/-30.9030163010041,-55.5422931459431" TargetMode="External"/><Relationship Id="rId401" Type="http://schemas.openxmlformats.org/officeDocument/2006/relationships/hyperlink" Target="https://www.google.com/maps/search/?api=1&amp;query=-30.9067627967378,-55.5398179506156" TargetMode="External"/><Relationship Id="rId885" Type="http://schemas.openxmlformats.org/officeDocument/2006/relationships/hyperlink" Target="https://www.google.com/maps/search/?api=1&amp;query=-30.9030163010041,-55.5422931459431" TargetMode="External"/><Relationship Id="rId408" Type="http://schemas.openxmlformats.org/officeDocument/2006/relationships/hyperlink" Target="https://earth.google.com/web/search/-30.9063210321238,-55.5401355203231" TargetMode="External"/><Relationship Id="rId407" Type="http://schemas.openxmlformats.org/officeDocument/2006/relationships/hyperlink" Target="https://www.google.com/maps/search/?api=1&amp;query=-30.9063210321238,-55.5401355203231" TargetMode="External"/><Relationship Id="rId406" Type="http://schemas.openxmlformats.org/officeDocument/2006/relationships/hyperlink" Target="https://earth.google.com/web/search/-3.0906374373242,-55.5400419615494" TargetMode="External"/><Relationship Id="rId405" Type="http://schemas.openxmlformats.org/officeDocument/2006/relationships/hyperlink" Target="https://www.google.com/maps/search/?api=1&amp;query=-3.0906374373242,-55.5400419615494" TargetMode="External"/><Relationship Id="rId889" Type="http://schemas.openxmlformats.org/officeDocument/2006/relationships/hyperlink" Target="https://www.google.com/maps/search/?api=1&amp;query=-30.9028159883525,-55.5426767753358" TargetMode="External"/><Relationship Id="rId880" Type="http://schemas.openxmlformats.org/officeDocument/2006/relationships/hyperlink" Target="https://earth.google.com/web/search/-30.9034063792362,-55.5433748923063" TargetMode="External"/><Relationship Id="rId2560" Type="http://schemas.openxmlformats.org/officeDocument/2006/relationships/hyperlink" Target="https://earth.google.com/web/search/-30.8978421999712,-55.5341345631295" TargetMode="External"/><Relationship Id="rId1230" Type="http://schemas.openxmlformats.org/officeDocument/2006/relationships/hyperlink" Target="https://earth.google.com/web/search/-30.9020734856255,-0.0555402140062" TargetMode="External"/><Relationship Id="rId2561" Type="http://schemas.openxmlformats.org/officeDocument/2006/relationships/hyperlink" Target="https://www.google.com/maps/search/?api=1&amp;query=-30.8983565060304,-5.5534112265423" TargetMode="External"/><Relationship Id="rId400" Type="http://schemas.openxmlformats.org/officeDocument/2006/relationships/hyperlink" Target="https://earth.google.com/web/search/-30.9068307839872,-55.5398599696736" TargetMode="External"/><Relationship Id="rId884" Type="http://schemas.openxmlformats.org/officeDocument/2006/relationships/hyperlink" Target="https://earth.google.com/web/search/-30.9037218083958,-5.5542798257938" TargetMode="External"/><Relationship Id="rId1231" Type="http://schemas.openxmlformats.org/officeDocument/2006/relationships/hyperlink" Target="https://www.google.com/maps/search/?api=1&amp;query=-30.9020182627137,-55.5401712892078" TargetMode="External"/><Relationship Id="rId2562" Type="http://schemas.openxmlformats.org/officeDocument/2006/relationships/hyperlink" Target="https://earth.google.com/web/search/-30.8983565060304,-5.5534112265423" TargetMode="External"/><Relationship Id="rId883" Type="http://schemas.openxmlformats.org/officeDocument/2006/relationships/hyperlink" Target="https://www.google.com/maps/search/?api=1&amp;query=-30.9037218083958,-5.5542798257938" TargetMode="External"/><Relationship Id="rId1232" Type="http://schemas.openxmlformats.org/officeDocument/2006/relationships/hyperlink" Target="https://earth.google.com/web/search/-30.9020182627137,-55.5401712892078" TargetMode="External"/><Relationship Id="rId2563" Type="http://schemas.openxmlformats.org/officeDocument/2006/relationships/hyperlink" Target="https://www.google.com/maps/search/?api=1&amp;query=-30.8984224753414,-55.5341178627253" TargetMode="External"/><Relationship Id="rId882" Type="http://schemas.openxmlformats.org/officeDocument/2006/relationships/hyperlink" Target="https://earth.google.com/web/search/-30.9035173110155,-55.5431985528175" TargetMode="External"/><Relationship Id="rId1233" Type="http://schemas.openxmlformats.org/officeDocument/2006/relationships/hyperlink" Target="https://www.google.com/maps/search/?api=1&amp;query=-30.9019226679829,-55.5402659060448" TargetMode="External"/><Relationship Id="rId2564" Type="http://schemas.openxmlformats.org/officeDocument/2006/relationships/hyperlink" Target="https://earth.google.com/web/search/-30.8984224753414,-55.5341178627253" TargetMode="External"/><Relationship Id="rId881" Type="http://schemas.openxmlformats.org/officeDocument/2006/relationships/hyperlink" Target="https://www.google.com/maps/search/?api=1&amp;query=-30.9035173110155,-55.5431985528175" TargetMode="External"/><Relationship Id="rId1234" Type="http://schemas.openxmlformats.org/officeDocument/2006/relationships/hyperlink" Target="https://earth.google.com/web/search/-30.9019226679829,-55.5402659060448" TargetMode="External"/><Relationship Id="rId2565" Type="http://schemas.openxmlformats.org/officeDocument/2006/relationships/hyperlink" Target="https://www.google.com/maps/search/?api=1&amp;query=-30.8983917986173,-5.5534543384848" TargetMode="External"/><Relationship Id="rId1224" Type="http://schemas.openxmlformats.org/officeDocument/2006/relationships/hyperlink" Target="https://earth.google.com/web/search/-30.9024822870426,-0.0555404960557" TargetMode="External"/><Relationship Id="rId2555" Type="http://schemas.openxmlformats.org/officeDocument/2006/relationships/hyperlink" Target="https://www.google.com/maps/search/?api=1&amp;query=-30.8975587718317,-55.5341534305832" TargetMode="External"/><Relationship Id="rId1225" Type="http://schemas.openxmlformats.org/officeDocument/2006/relationships/hyperlink" Target="https://www.google.com/maps/search/?api=1&amp;query=-3.0902414956376,-55.5404623205987" TargetMode="External"/><Relationship Id="rId2556" Type="http://schemas.openxmlformats.org/officeDocument/2006/relationships/hyperlink" Target="https://earth.google.com/web/search/-30.8975587718317,-55.5341534305832" TargetMode="External"/><Relationship Id="rId1226" Type="http://schemas.openxmlformats.org/officeDocument/2006/relationships/hyperlink" Target="https://earth.google.com/web/search/-3.0902414956376,-55.5404623205987" TargetMode="External"/><Relationship Id="rId2557" Type="http://schemas.openxmlformats.org/officeDocument/2006/relationships/hyperlink" Target="https://www.google.com/maps/search/?api=1&amp;query=-30.8977557840184,-55.5341439800061" TargetMode="External"/><Relationship Id="rId1227" Type="http://schemas.openxmlformats.org/officeDocument/2006/relationships/hyperlink" Target="https://www.google.com/maps/search/?api=1&amp;query=-30.9021444118091,-55.5402679664092" TargetMode="External"/><Relationship Id="rId2558" Type="http://schemas.openxmlformats.org/officeDocument/2006/relationships/hyperlink" Target="https://earth.google.com/web/search/-30.8977557840184,-55.5341439800061" TargetMode="External"/><Relationship Id="rId1228" Type="http://schemas.openxmlformats.org/officeDocument/2006/relationships/hyperlink" Target="https://earth.google.com/web/search/-30.9021444118091,-55.5402679664092" TargetMode="External"/><Relationship Id="rId2559" Type="http://schemas.openxmlformats.org/officeDocument/2006/relationships/hyperlink" Target="https://www.google.com/maps/search/?api=1&amp;query=-30.8978421999712,-55.5341345631295" TargetMode="External"/><Relationship Id="rId1229" Type="http://schemas.openxmlformats.org/officeDocument/2006/relationships/hyperlink" Target="https://www.google.com/maps/search/?api=1&amp;query=-30.9020734856255,-0.0555402140062" TargetMode="External"/><Relationship Id="rId877" Type="http://schemas.openxmlformats.org/officeDocument/2006/relationships/hyperlink" Target="https://www.google.com/maps/search/?api=1&amp;query=-30.9033521050337,-55.5434835535927" TargetMode="External"/><Relationship Id="rId876" Type="http://schemas.openxmlformats.org/officeDocument/2006/relationships/hyperlink" Target="https://earth.google.com/web/search/-30.9037205747196,-55.5425106875653" TargetMode="External"/><Relationship Id="rId875" Type="http://schemas.openxmlformats.org/officeDocument/2006/relationships/hyperlink" Target="https://www.google.com/maps/search/?api=1&amp;query=-30.9037205747196,-55.5425106875653" TargetMode="External"/><Relationship Id="rId874" Type="http://schemas.openxmlformats.org/officeDocument/2006/relationships/hyperlink" Target="https://earth.google.com/web/search/-30.9036528915907,-55.5424753536404" TargetMode="External"/><Relationship Id="rId879" Type="http://schemas.openxmlformats.org/officeDocument/2006/relationships/hyperlink" Target="https://www.google.com/maps/search/?api=1&amp;query=-30.9034063792362,-55.5433748923063" TargetMode="External"/><Relationship Id="rId878" Type="http://schemas.openxmlformats.org/officeDocument/2006/relationships/hyperlink" Target="https://earth.google.com/web/search/-30.9033521050337,-55.5434835535927" TargetMode="External"/><Relationship Id="rId2550" Type="http://schemas.openxmlformats.org/officeDocument/2006/relationships/hyperlink" Target="https://earth.google.com/web/search/-30.8975790002801,-5.5534371099059" TargetMode="External"/><Relationship Id="rId873" Type="http://schemas.openxmlformats.org/officeDocument/2006/relationships/hyperlink" Target="https://www.google.com/maps/search/?api=1&amp;query=-30.9036528915907,-55.5424753536404" TargetMode="External"/><Relationship Id="rId1220" Type="http://schemas.openxmlformats.org/officeDocument/2006/relationships/hyperlink" Target="https://earth.google.com/web/search/-30.9025513197417,-55.5409560017832" TargetMode="External"/><Relationship Id="rId2551" Type="http://schemas.openxmlformats.org/officeDocument/2006/relationships/hyperlink" Target="https://www.google.com/maps/search/?api=1&amp;query=-30.8975139191876,-55.5343075800125" TargetMode="External"/><Relationship Id="rId872" Type="http://schemas.openxmlformats.org/officeDocument/2006/relationships/hyperlink" Target="https://earth.google.com/web/search/-3.0903514630312,-55.5423564587366" TargetMode="External"/><Relationship Id="rId1221" Type="http://schemas.openxmlformats.org/officeDocument/2006/relationships/hyperlink" Target="https://www.google.com/maps/search/?api=1&amp;query=-30.9026484387965,-55.5407642309465" TargetMode="External"/><Relationship Id="rId2552" Type="http://schemas.openxmlformats.org/officeDocument/2006/relationships/hyperlink" Target="https://earth.google.com/web/search/-30.8975139191876,-55.5343075800125" TargetMode="External"/><Relationship Id="rId871" Type="http://schemas.openxmlformats.org/officeDocument/2006/relationships/hyperlink" Target="https://www.google.com/maps/search/?api=1&amp;query=-3.0903514630312,-55.5423564587366" TargetMode="External"/><Relationship Id="rId1222" Type="http://schemas.openxmlformats.org/officeDocument/2006/relationships/hyperlink" Target="https://earth.google.com/web/search/-30.9026484387965,-55.5407642309465" TargetMode="External"/><Relationship Id="rId2553" Type="http://schemas.openxmlformats.org/officeDocument/2006/relationships/hyperlink" Target="https://www.google.com/maps/search/?api=1&amp;query=-30.8975066967548,-55.5341988989073" TargetMode="External"/><Relationship Id="rId870" Type="http://schemas.openxmlformats.org/officeDocument/2006/relationships/hyperlink" Target="https://earth.google.com/web/search/-30.9034503615007,-55.5423300417974" TargetMode="External"/><Relationship Id="rId1223" Type="http://schemas.openxmlformats.org/officeDocument/2006/relationships/hyperlink" Target="https://www.google.com/maps/search/?api=1&amp;query=-30.9024822870426,-0.0555404960557" TargetMode="External"/><Relationship Id="rId2554" Type="http://schemas.openxmlformats.org/officeDocument/2006/relationships/hyperlink" Target="https://earth.google.com/web/search/-30.8975066967548,-55.5341988989073" TargetMode="External"/><Relationship Id="rId1653" Type="http://schemas.openxmlformats.org/officeDocument/2006/relationships/hyperlink" Target="https://www.google.com/maps/search/?api=1&amp;query=-0.3090123349069,-55.5382495359816" TargetMode="External"/><Relationship Id="rId2500" Type="http://schemas.openxmlformats.org/officeDocument/2006/relationships/hyperlink" Target="https://earth.google.com/web/search/-3.0897962579011,-55.5355506626906" TargetMode="External"/><Relationship Id="rId1654" Type="http://schemas.openxmlformats.org/officeDocument/2006/relationships/hyperlink" Target="https://earth.google.com/web/search/-0.3090123349069,-55.5382495359816" TargetMode="External"/><Relationship Id="rId2501" Type="http://schemas.openxmlformats.org/officeDocument/2006/relationships/hyperlink" Target="https://www.google.com/maps/search/?api=1&amp;query=-30.8984471531176,-5.5536238993896" TargetMode="External"/><Relationship Id="rId1655" Type="http://schemas.openxmlformats.org/officeDocument/2006/relationships/hyperlink" Target="https://www.google.com/maps/search/?api=1&amp;query=-30.9015508619723,-55.5384781866218" TargetMode="External"/><Relationship Id="rId2502" Type="http://schemas.openxmlformats.org/officeDocument/2006/relationships/hyperlink" Target="https://earth.google.com/web/search/-30.8984471531176,-5.5536238993896" TargetMode="External"/><Relationship Id="rId1656" Type="http://schemas.openxmlformats.org/officeDocument/2006/relationships/hyperlink" Target="https://earth.google.com/web/search/-30.9015508619723,-55.5384781866218" TargetMode="External"/><Relationship Id="rId2503" Type="http://schemas.openxmlformats.org/officeDocument/2006/relationships/hyperlink" Target="https://www.google.com/maps/search/?api=1&amp;query=-30.8985433860614,-55.5362969065373" TargetMode="External"/><Relationship Id="rId1657" Type="http://schemas.openxmlformats.org/officeDocument/2006/relationships/hyperlink" Target="https://www.google.com/maps/search/?api=1&amp;query=-30.9015978466333,-55.5385056096479" TargetMode="External"/><Relationship Id="rId2504" Type="http://schemas.openxmlformats.org/officeDocument/2006/relationships/hyperlink" Target="https://earth.google.com/web/search/-30.8985433860614,-55.5362969065373" TargetMode="External"/><Relationship Id="rId1658" Type="http://schemas.openxmlformats.org/officeDocument/2006/relationships/hyperlink" Target="https://earth.google.com/web/search/-30.9015978466333,-55.5385056096479" TargetMode="External"/><Relationship Id="rId2505" Type="http://schemas.openxmlformats.org/officeDocument/2006/relationships/hyperlink" Target="https://www.google.com/maps/search/?api=1&amp;query=-30.8986046267538,-55.5362017012846" TargetMode="External"/><Relationship Id="rId1659" Type="http://schemas.openxmlformats.org/officeDocument/2006/relationships/hyperlink" Target="https://www.google.com/maps/search/?api=1&amp;query=-30.9013060652023,-55.5392124515717" TargetMode="External"/><Relationship Id="rId2506" Type="http://schemas.openxmlformats.org/officeDocument/2006/relationships/hyperlink" Target="https://earth.google.com/web/search/-30.8986046267538,-55.5362017012846" TargetMode="External"/><Relationship Id="rId2507" Type="http://schemas.openxmlformats.org/officeDocument/2006/relationships/hyperlink" Target="https://www.google.com/maps/search/?api=1&amp;query=-30.8986431542149,-55.5361057335285" TargetMode="External"/><Relationship Id="rId2508" Type="http://schemas.openxmlformats.org/officeDocument/2006/relationships/hyperlink" Target="https://earth.google.com/web/search/-30.8986431542149,-55.5361057335285" TargetMode="External"/><Relationship Id="rId829" Type="http://schemas.openxmlformats.org/officeDocument/2006/relationships/hyperlink" Target="https://www.google.com/maps/search/?api=1&amp;query=-30.9038290399571,-5.5541337883376" TargetMode="External"/><Relationship Id="rId2509" Type="http://schemas.openxmlformats.org/officeDocument/2006/relationships/hyperlink" Target="https://www.google.com/maps/search/?api=1&amp;query=-30.8986968357314,-5.5536006622107" TargetMode="External"/><Relationship Id="rId828" Type="http://schemas.openxmlformats.org/officeDocument/2006/relationships/hyperlink" Target="https://earth.google.com/web/search/-30.9037248774904,-5.5541271181173" TargetMode="External"/><Relationship Id="rId827" Type="http://schemas.openxmlformats.org/officeDocument/2006/relationships/hyperlink" Target="https://www.google.com/maps/search/?api=1&amp;query=-30.9037248774904,-5.5541271181173" TargetMode="External"/><Relationship Id="rId822" Type="http://schemas.openxmlformats.org/officeDocument/2006/relationships/hyperlink" Target="https://earth.google.com/web/search/-30.9040864526718,-55.5403998651235" TargetMode="External"/><Relationship Id="rId821" Type="http://schemas.openxmlformats.org/officeDocument/2006/relationships/hyperlink" Target="https://www.google.com/maps/search/?api=1&amp;query=-30.9040864526718,-55.5403998651235" TargetMode="External"/><Relationship Id="rId820" Type="http://schemas.openxmlformats.org/officeDocument/2006/relationships/hyperlink" Target="https://earth.google.com/web/search/-30.9043402400069,-55.5405891018383" TargetMode="External"/><Relationship Id="rId826" Type="http://schemas.openxmlformats.org/officeDocument/2006/relationships/hyperlink" Target="https://earth.google.com/web/search/-30.9038553351549,-5.5540706262972" TargetMode="External"/><Relationship Id="rId825" Type="http://schemas.openxmlformats.org/officeDocument/2006/relationships/hyperlink" Target="https://www.google.com/maps/search/?api=1&amp;query=-30.9038553351549,-5.5540706262972" TargetMode="External"/><Relationship Id="rId824" Type="http://schemas.openxmlformats.org/officeDocument/2006/relationships/hyperlink" Target="https://earth.google.com/web/search/-30.9039606279111,-55.5405192602538" TargetMode="External"/><Relationship Id="rId823" Type="http://schemas.openxmlformats.org/officeDocument/2006/relationships/hyperlink" Target="https://www.google.com/maps/search/?api=1&amp;query=-30.9039606279111,-55.5405192602538" TargetMode="External"/><Relationship Id="rId1650" Type="http://schemas.openxmlformats.org/officeDocument/2006/relationships/hyperlink" Target="https://earth.google.com/web/search/-30.9010803894025,-55.5381436764969" TargetMode="External"/><Relationship Id="rId1651" Type="http://schemas.openxmlformats.org/officeDocument/2006/relationships/hyperlink" Target="https://www.google.com/maps/search/?api=1&amp;query=-30.9011666582945,-55.5382042712273" TargetMode="External"/><Relationship Id="rId1652" Type="http://schemas.openxmlformats.org/officeDocument/2006/relationships/hyperlink" Target="https://earth.google.com/web/search/-30.9011666582945,-55.5382042712273" TargetMode="External"/><Relationship Id="rId1642" Type="http://schemas.openxmlformats.org/officeDocument/2006/relationships/hyperlink" Target="https://earth.google.com/web/search/-0.3090104884942,-55.5378483826037" TargetMode="External"/><Relationship Id="rId1643" Type="http://schemas.openxmlformats.org/officeDocument/2006/relationships/hyperlink" Target="https://www.google.com/maps/search/?api=1&amp;query=-30.9009993290485,-55.5379139085722" TargetMode="External"/><Relationship Id="rId1644" Type="http://schemas.openxmlformats.org/officeDocument/2006/relationships/hyperlink" Target="https://earth.google.com/web/search/-30.9009993290485,-55.5379139085722" TargetMode="External"/><Relationship Id="rId1645" Type="http://schemas.openxmlformats.org/officeDocument/2006/relationships/hyperlink" Target="https://www.google.com/maps/search/?api=1&amp;query=-30.9009664405982,-5.5537987787949" TargetMode="External"/><Relationship Id="rId1646" Type="http://schemas.openxmlformats.org/officeDocument/2006/relationships/hyperlink" Target="https://earth.google.com/web/search/-30.9009664405982,-5.5537987787949" TargetMode="External"/><Relationship Id="rId1647" Type="http://schemas.openxmlformats.org/officeDocument/2006/relationships/hyperlink" Target="https://www.google.com/maps/search/?api=1&amp;query=-30.9010130491897,-55.5380965329706" TargetMode="External"/><Relationship Id="rId1648" Type="http://schemas.openxmlformats.org/officeDocument/2006/relationships/hyperlink" Target="https://earth.google.com/web/search/-30.9010130491897,-55.5380965329706" TargetMode="External"/><Relationship Id="rId1649" Type="http://schemas.openxmlformats.org/officeDocument/2006/relationships/hyperlink" Target="https://www.google.com/maps/search/?api=1&amp;query=-30.9010803894025,-55.5381436764969" TargetMode="External"/><Relationship Id="rId819" Type="http://schemas.openxmlformats.org/officeDocument/2006/relationships/hyperlink" Target="https://www.google.com/maps/search/?api=1&amp;query=-30.9043402400069,-55.5405891018383" TargetMode="External"/><Relationship Id="rId818" Type="http://schemas.openxmlformats.org/officeDocument/2006/relationships/hyperlink" Target="https://earth.google.com/web/search/-30.9045937266384,-55.5407655377893" TargetMode="External"/><Relationship Id="rId817" Type="http://schemas.openxmlformats.org/officeDocument/2006/relationships/hyperlink" Target="https://www.google.com/maps/search/?api=1&amp;query=-30.9045937266384,-55.5407655377893" TargetMode="External"/><Relationship Id="rId816" Type="http://schemas.openxmlformats.org/officeDocument/2006/relationships/hyperlink" Target="https://earth.google.com/web/search/-30.9045895592694,-55.5411616354195" TargetMode="External"/><Relationship Id="rId811" Type="http://schemas.openxmlformats.org/officeDocument/2006/relationships/hyperlink" Target="https://www.google.com/maps/search/?api=1&amp;query=-30.9044375074736,-55.5414754626226" TargetMode="External"/><Relationship Id="rId810" Type="http://schemas.openxmlformats.org/officeDocument/2006/relationships/hyperlink" Target="https://earth.google.com/web/search/-3.0904416492246,-55.5415121772057" TargetMode="External"/><Relationship Id="rId815" Type="http://schemas.openxmlformats.org/officeDocument/2006/relationships/hyperlink" Target="https://www.google.com/maps/search/?api=1&amp;query=-30.9045895592694,-55.5411616354195" TargetMode="External"/><Relationship Id="rId814" Type="http://schemas.openxmlformats.org/officeDocument/2006/relationships/hyperlink" Target="https://earth.google.com/web/search/-30.9044557764356,-55.5414230066052" TargetMode="External"/><Relationship Id="rId813" Type="http://schemas.openxmlformats.org/officeDocument/2006/relationships/hyperlink" Target="https://www.google.com/maps/search/?api=1&amp;query=-30.9044557764356,-55.5414230066052" TargetMode="External"/><Relationship Id="rId812" Type="http://schemas.openxmlformats.org/officeDocument/2006/relationships/hyperlink" Target="https://earth.google.com/web/search/-30.9044375074736,-55.5414754626226" TargetMode="External"/><Relationship Id="rId1640" Type="http://schemas.openxmlformats.org/officeDocument/2006/relationships/hyperlink" Target="https://earth.google.com/web/search/-30.9012719403002,-55.5374329374221" TargetMode="External"/><Relationship Id="rId1641" Type="http://schemas.openxmlformats.org/officeDocument/2006/relationships/hyperlink" Target="https://www.google.com/maps/search/?api=1&amp;query=-0.3090104884942,-55.5378483826037" TargetMode="External"/><Relationship Id="rId1675" Type="http://schemas.openxmlformats.org/officeDocument/2006/relationships/hyperlink" Target="https://www.google.com/maps/search/?api=1&amp;query=-3.0900823542087,-55.5382562306067" TargetMode="External"/><Relationship Id="rId2522" Type="http://schemas.openxmlformats.org/officeDocument/2006/relationships/hyperlink" Target="https://earth.google.com/web/search/-30.8992218666684,-55.5344356158961" TargetMode="External"/><Relationship Id="rId1676" Type="http://schemas.openxmlformats.org/officeDocument/2006/relationships/hyperlink" Target="https://earth.google.com/web/search/-3.0900823542087,-55.5382562306067" TargetMode="External"/><Relationship Id="rId2523" Type="http://schemas.openxmlformats.org/officeDocument/2006/relationships/hyperlink" Target="https://www.google.com/maps/search/?api=1&amp;query=-30.8992972706257,-55.5348582939105" TargetMode="External"/><Relationship Id="rId1677" Type="http://schemas.openxmlformats.org/officeDocument/2006/relationships/hyperlink" Target="https://www.google.com/maps/search/?api=1&amp;query=-30.9007527939941,-55.5383932477125" TargetMode="External"/><Relationship Id="rId2524" Type="http://schemas.openxmlformats.org/officeDocument/2006/relationships/hyperlink" Target="https://earth.google.com/web/search/-30.8992972706257,-55.5348582939105" TargetMode="External"/><Relationship Id="rId1678" Type="http://schemas.openxmlformats.org/officeDocument/2006/relationships/hyperlink" Target="https://earth.google.com/web/search/-30.9007527939941,-55.5383932477125" TargetMode="External"/><Relationship Id="rId2525" Type="http://schemas.openxmlformats.org/officeDocument/2006/relationships/hyperlink" Target="https://www.google.com/maps/search/?api=1&amp;query=-30.8992429207418,-55.5349703365172" TargetMode="External"/><Relationship Id="rId1679" Type="http://schemas.openxmlformats.org/officeDocument/2006/relationships/hyperlink" Target="https://www.google.com/maps/search/?api=1&amp;query=-30.9007025863489,-55.5384878294332" TargetMode="External"/><Relationship Id="rId2526" Type="http://schemas.openxmlformats.org/officeDocument/2006/relationships/hyperlink" Target="https://earth.google.com/web/search/-30.8992429207418,-55.5349703365172" TargetMode="External"/><Relationship Id="rId2527" Type="http://schemas.openxmlformats.org/officeDocument/2006/relationships/hyperlink" Target="https://www.google.com/maps/search/?api=1&amp;query=-30.8991176606271,-55.5352094102902" TargetMode="External"/><Relationship Id="rId2528" Type="http://schemas.openxmlformats.org/officeDocument/2006/relationships/hyperlink" Target="https://earth.google.com/web/search/-30.8991176606271,-55.5352094102902" TargetMode="External"/><Relationship Id="rId2529" Type="http://schemas.openxmlformats.org/officeDocument/2006/relationships/hyperlink" Target="https://www.google.com/maps/search/?api=1&amp;query=-30.8990876677845,-55.5352810521249" TargetMode="External"/><Relationship Id="rId849" Type="http://schemas.openxmlformats.org/officeDocument/2006/relationships/hyperlink" Target="https://www.google.com/maps/search/?api=1&amp;query=-30.9042442539515,-55.5417476257556" TargetMode="External"/><Relationship Id="rId844" Type="http://schemas.openxmlformats.org/officeDocument/2006/relationships/hyperlink" Target="https://earth.google.com/web/search/-30.9041351641465,-55.5420231320605" TargetMode="External"/><Relationship Id="rId843" Type="http://schemas.openxmlformats.org/officeDocument/2006/relationships/hyperlink" Target="https://www.google.com/maps/search/?api=1&amp;query=-30.9041351641465,-55.5420231320605" TargetMode="External"/><Relationship Id="rId842" Type="http://schemas.openxmlformats.org/officeDocument/2006/relationships/hyperlink" Target="https://earth.google.com/web/search/-30.9040835651218,-55.5421120713012" TargetMode="External"/><Relationship Id="rId841" Type="http://schemas.openxmlformats.org/officeDocument/2006/relationships/hyperlink" Target="https://www.google.com/maps/search/?api=1&amp;query=-30.9040835651218,-55.5421120713012" TargetMode="External"/><Relationship Id="rId848" Type="http://schemas.openxmlformats.org/officeDocument/2006/relationships/hyperlink" Target="https://earth.google.com/web/search/-30.9042557918236,-55.5418313205167" TargetMode="External"/><Relationship Id="rId847" Type="http://schemas.openxmlformats.org/officeDocument/2006/relationships/hyperlink" Target="https://www.google.com/maps/search/?api=1&amp;query=-30.9042557918236,-55.5418313205167" TargetMode="External"/><Relationship Id="rId846" Type="http://schemas.openxmlformats.org/officeDocument/2006/relationships/hyperlink" Target="https://earth.google.com/web/search/-3.0904203989649,-55.5419010501337" TargetMode="External"/><Relationship Id="rId845" Type="http://schemas.openxmlformats.org/officeDocument/2006/relationships/hyperlink" Target="https://www.google.com/maps/search/?api=1&amp;query=-3.0904203989649,-55.5419010501337" TargetMode="External"/><Relationship Id="rId1670" Type="http://schemas.openxmlformats.org/officeDocument/2006/relationships/hyperlink" Target="https://earth.google.com/web/search/-30.9012780204064,-55.5383856667004" TargetMode="External"/><Relationship Id="rId840" Type="http://schemas.openxmlformats.org/officeDocument/2006/relationships/hyperlink" Target="https://earth.google.com/web/search/-3.0903997770787,-55.5422482827677" TargetMode="External"/><Relationship Id="rId1671" Type="http://schemas.openxmlformats.org/officeDocument/2006/relationships/hyperlink" Target="https://www.google.com/maps/search/?api=1&amp;query=-30.9010577710448,-55.5382399683222" TargetMode="External"/><Relationship Id="rId1672" Type="http://schemas.openxmlformats.org/officeDocument/2006/relationships/hyperlink" Target="https://earth.google.com/web/search/-30.9010577710448,-55.5382399683222" TargetMode="External"/><Relationship Id="rId1673" Type="http://schemas.openxmlformats.org/officeDocument/2006/relationships/hyperlink" Target="https://www.google.com/maps/search/?api=1&amp;query=-30.9010088252327,-55.5381937862968" TargetMode="External"/><Relationship Id="rId2520" Type="http://schemas.openxmlformats.org/officeDocument/2006/relationships/hyperlink" Target="https://earth.google.com/web/search/-30.8991251556663,-55.5343500525238" TargetMode="External"/><Relationship Id="rId1674" Type="http://schemas.openxmlformats.org/officeDocument/2006/relationships/hyperlink" Target="https://earth.google.com/web/search/-30.9010088252327,-55.5381937862968" TargetMode="External"/><Relationship Id="rId2521" Type="http://schemas.openxmlformats.org/officeDocument/2006/relationships/hyperlink" Target="https://www.google.com/maps/search/?api=1&amp;query=-30.8992218666684,-55.5344356158961" TargetMode="External"/><Relationship Id="rId1664" Type="http://schemas.openxmlformats.org/officeDocument/2006/relationships/hyperlink" Target="https://earth.google.com/web/search/-30.9014291633602,-55.5389750789521" TargetMode="External"/><Relationship Id="rId2511" Type="http://schemas.openxmlformats.org/officeDocument/2006/relationships/hyperlink" Target="https://www.google.com/maps/search/?api=1&amp;query=-30.8988599883304,-55.5356806125588" TargetMode="External"/><Relationship Id="rId1665" Type="http://schemas.openxmlformats.org/officeDocument/2006/relationships/hyperlink" Target="https://www.google.com/maps/search/?api=1&amp;query=-30.9015101556958,-55.5388420254968" TargetMode="External"/><Relationship Id="rId2512" Type="http://schemas.openxmlformats.org/officeDocument/2006/relationships/hyperlink" Target="https://earth.google.com/web/search/-30.8988599883304,-55.5356806125588" TargetMode="External"/><Relationship Id="rId1666" Type="http://schemas.openxmlformats.org/officeDocument/2006/relationships/hyperlink" Target="https://earth.google.com/web/search/-30.9015101556958,-55.5388420254968" TargetMode="External"/><Relationship Id="rId2513" Type="http://schemas.openxmlformats.org/officeDocument/2006/relationships/hyperlink" Target="https://www.google.com/maps/search/?api=1&amp;query=-30.8988771793001,-55.5341865359679" TargetMode="External"/><Relationship Id="rId1667" Type="http://schemas.openxmlformats.org/officeDocument/2006/relationships/hyperlink" Target="https://www.google.com/maps/search/?api=1&amp;query=-30.9013813802759,-55.5384718576937" TargetMode="External"/><Relationship Id="rId2514" Type="http://schemas.openxmlformats.org/officeDocument/2006/relationships/hyperlink" Target="https://earth.google.com/web/search/-30.8988771793001,-55.5341865359679" TargetMode="External"/><Relationship Id="rId1668" Type="http://schemas.openxmlformats.org/officeDocument/2006/relationships/hyperlink" Target="https://earth.google.com/web/search/-30.9013813802759,-55.5384718576937" TargetMode="External"/><Relationship Id="rId2515" Type="http://schemas.openxmlformats.org/officeDocument/2006/relationships/hyperlink" Target="https://www.google.com/maps/search/?api=1&amp;query=-30.8989422008512,-55.5342301144277" TargetMode="External"/><Relationship Id="rId1669" Type="http://schemas.openxmlformats.org/officeDocument/2006/relationships/hyperlink" Target="https://www.google.com/maps/search/?api=1&amp;query=-30.9012780204064,-55.5383856667004" TargetMode="External"/><Relationship Id="rId2516" Type="http://schemas.openxmlformats.org/officeDocument/2006/relationships/hyperlink" Target="https://earth.google.com/web/search/-30.8989422008512,-55.5342301144277" TargetMode="External"/><Relationship Id="rId2517" Type="http://schemas.openxmlformats.org/officeDocument/2006/relationships/hyperlink" Target="https://www.google.com/maps/search/?api=1&amp;query=-30.8990121797176,-55.5342816265292" TargetMode="External"/><Relationship Id="rId2518" Type="http://schemas.openxmlformats.org/officeDocument/2006/relationships/hyperlink" Target="https://earth.google.com/web/search/-30.8990121797176,-55.5342816265292" TargetMode="External"/><Relationship Id="rId2519" Type="http://schemas.openxmlformats.org/officeDocument/2006/relationships/hyperlink" Target="https://www.google.com/maps/search/?api=1&amp;query=-30.8991251556663,-55.5343500525238" TargetMode="External"/><Relationship Id="rId839" Type="http://schemas.openxmlformats.org/officeDocument/2006/relationships/hyperlink" Target="https://www.google.com/maps/search/?api=1&amp;query=-3.0903997770787,-55.5422482827677" TargetMode="External"/><Relationship Id="rId838" Type="http://schemas.openxmlformats.org/officeDocument/2006/relationships/hyperlink" Target="https://earth.google.com/web/search/-30.9039481156916,-55.5423430920321" TargetMode="External"/><Relationship Id="rId833" Type="http://schemas.openxmlformats.org/officeDocument/2006/relationships/hyperlink" Target="https://www.google.com/maps/search/?api=1&amp;query=-30.9041754282199,-55.5415942573733" TargetMode="External"/><Relationship Id="rId832" Type="http://schemas.openxmlformats.org/officeDocument/2006/relationships/hyperlink" Target="https://earth.google.com/web/search/-30.9041054929728,-5.5541538085413" TargetMode="External"/><Relationship Id="rId831" Type="http://schemas.openxmlformats.org/officeDocument/2006/relationships/hyperlink" Target="https://www.google.com/maps/search/?api=1&amp;query=-30.9041054929728,-5.5541538085413" TargetMode="External"/><Relationship Id="rId830" Type="http://schemas.openxmlformats.org/officeDocument/2006/relationships/hyperlink" Target="https://earth.google.com/web/search/-30.9038290399571,-5.5541337883376" TargetMode="External"/><Relationship Id="rId837" Type="http://schemas.openxmlformats.org/officeDocument/2006/relationships/hyperlink" Target="https://www.google.com/maps/search/?api=1&amp;query=-30.9039481156916,-55.5423430920321" TargetMode="External"/><Relationship Id="rId836" Type="http://schemas.openxmlformats.org/officeDocument/2006/relationships/hyperlink" Target="https://earth.google.com/web/search/-30.9042664648748,-55.5416518128623" TargetMode="External"/><Relationship Id="rId835" Type="http://schemas.openxmlformats.org/officeDocument/2006/relationships/hyperlink" Target="https://www.google.com/maps/search/?api=1&amp;query=-30.9042664648748,-55.5416518128623" TargetMode="External"/><Relationship Id="rId834" Type="http://schemas.openxmlformats.org/officeDocument/2006/relationships/hyperlink" Target="https://earth.google.com/web/search/-30.9041754282199,-55.5415942573733" TargetMode="External"/><Relationship Id="rId1660" Type="http://schemas.openxmlformats.org/officeDocument/2006/relationships/hyperlink" Target="https://earth.google.com/web/search/-30.9013060652023,-55.5392124515717" TargetMode="External"/><Relationship Id="rId1661" Type="http://schemas.openxmlformats.org/officeDocument/2006/relationships/hyperlink" Target="https://www.google.com/maps/search/?api=1&amp;query=-3.0901351607812,-55.5391656980794" TargetMode="External"/><Relationship Id="rId1662" Type="http://schemas.openxmlformats.org/officeDocument/2006/relationships/hyperlink" Target="https://earth.google.com/web/search/-3.0901351607812,-55.5391656980794" TargetMode="External"/><Relationship Id="rId1663" Type="http://schemas.openxmlformats.org/officeDocument/2006/relationships/hyperlink" Target="https://www.google.com/maps/search/?api=1&amp;query=-30.9014291633602,-55.5389750789521" TargetMode="External"/><Relationship Id="rId2510" Type="http://schemas.openxmlformats.org/officeDocument/2006/relationships/hyperlink" Target="https://earth.google.com/web/search/-30.8986968357314,-5.5536006622107" TargetMode="External"/><Relationship Id="rId2148" Type="http://schemas.openxmlformats.org/officeDocument/2006/relationships/hyperlink" Target="https://earth.google.com/web/search/-30.8976241747511,-55.5407232694226" TargetMode="External"/><Relationship Id="rId2149" Type="http://schemas.openxmlformats.org/officeDocument/2006/relationships/hyperlink" Target="https://www.google.com/maps/search/?api=1&amp;query=-30.8976715334368,-55.5407630372519" TargetMode="External"/><Relationship Id="rId469" Type="http://schemas.openxmlformats.org/officeDocument/2006/relationships/hyperlink" Target="https://www.google.com/maps/search/?api=1&amp;query=-30.9061926308327,-55.5421709947648" TargetMode="External"/><Relationship Id="rId468" Type="http://schemas.openxmlformats.org/officeDocument/2006/relationships/hyperlink" Target="https://earth.google.com/web/search/-30.9060410688649,-55.5425053573636" TargetMode="External"/><Relationship Id="rId467" Type="http://schemas.openxmlformats.org/officeDocument/2006/relationships/hyperlink" Target="https://www.google.com/maps/search/?api=1&amp;query=-30.9060410688649,-55.5425053573636" TargetMode="External"/><Relationship Id="rId1290" Type="http://schemas.openxmlformats.org/officeDocument/2006/relationships/hyperlink" Target="https://earth.google.com/web/search/-30.9016298049702,-55.5426398573767" TargetMode="External"/><Relationship Id="rId1291" Type="http://schemas.openxmlformats.org/officeDocument/2006/relationships/hyperlink" Target="https://www.google.com/maps/search/?api=1&amp;query=-30.9016913601602,-55.5425772699879" TargetMode="External"/><Relationship Id="rId1292" Type="http://schemas.openxmlformats.org/officeDocument/2006/relationships/hyperlink" Target="https://earth.google.com/web/search/-30.9016913601602,-55.5425772699879" TargetMode="External"/><Relationship Id="rId462" Type="http://schemas.openxmlformats.org/officeDocument/2006/relationships/hyperlink" Target="https://earth.google.com/web/search/-30.9058081862748,-55.5414937229422" TargetMode="External"/><Relationship Id="rId1293" Type="http://schemas.openxmlformats.org/officeDocument/2006/relationships/hyperlink" Target="https://www.google.com/maps/search/?api=1&amp;query=-30.9015639832184,-55.5424102543612" TargetMode="External"/><Relationship Id="rId2140" Type="http://schemas.openxmlformats.org/officeDocument/2006/relationships/hyperlink" Target="https://earth.google.com/web/search/-30.8978408447885,-55.5398331492407" TargetMode="External"/><Relationship Id="rId461" Type="http://schemas.openxmlformats.org/officeDocument/2006/relationships/hyperlink" Target="https://www.google.com/maps/search/?api=1&amp;query=-30.9058081862748,-55.5414937229422" TargetMode="External"/><Relationship Id="rId1294" Type="http://schemas.openxmlformats.org/officeDocument/2006/relationships/hyperlink" Target="https://earth.google.com/web/search/-30.9015639832184,-55.5424102543612" TargetMode="External"/><Relationship Id="rId2141" Type="http://schemas.openxmlformats.org/officeDocument/2006/relationships/hyperlink" Target="https://www.google.com/maps/search/?api=1&amp;query=-30.8975821281769,-55.5403580931201" TargetMode="External"/><Relationship Id="rId460" Type="http://schemas.openxmlformats.org/officeDocument/2006/relationships/hyperlink" Target="https://earth.google.com/web/search/-30.9057596042767,-55.5414612831513" TargetMode="External"/><Relationship Id="rId1295" Type="http://schemas.openxmlformats.org/officeDocument/2006/relationships/hyperlink" Target="https://www.google.com/maps/search/?api=1&amp;query=-30.9014576844646,-55.5423250344137" TargetMode="External"/><Relationship Id="rId2142" Type="http://schemas.openxmlformats.org/officeDocument/2006/relationships/hyperlink" Target="https://earth.google.com/web/search/-30.8975821281769,-55.5403580931201" TargetMode="External"/><Relationship Id="rId1296" Type="http://schemas.openxmlformats.org/officeDocument/2006/relationships/hyperlink" Target="https://earth.google.com/web/search/-30.9014576844646,-55.5423250344137" TargetMode="External"/><Relationship Id="rId2143" Type="http://schemas.openxmlformats.org/officeDocument/2006/relationships/hyperlink" Target="https://www.google.com/maps/search/?api=1&amp;query=-30.8974783729345,-5.5540531246774" TargetMode="External"/><Relationship Id="rId466" Type="http://schemas.openxmlformats.org/officeDocument/2006/relationships/hyperlink" Target="https://earth.google.com/web/search/-30.9059788264766,-55.5426082553031" TargetMode="External"/><Relationship Id="rId1297" Type="http://schemas.openxmlformats.org/officeDocument/2006/relationships/hyperlink" Target="https://www.google.com/maps/search/?api=1&amp;query=-30.9013174819635,-55.5422467488746" TargetMode="External"/><Relationship Id="rId2144" Type="http://schemas.openxmlformats.org/officeDocument/2006/relationships/hyperlink" Target="https://earth.google.com/web/search/-30.8974783729345,-5.5540531246774" TargetMode="External"/><Relationship Id="rId465" Type="http://schemas.openxmlformats.org/officeDocument/2006/relationships/hyperlink" Target="https://www.google.com/maps/search/?api=1&amp;query=-30.9059788264766,-55.5426082553031" TargetMode="External"/><Relationship Id="rId1298" Type="http://schemas.openxmlformats.org/officeDocument/2006/relationships/hyperlink" Target="https://earth.google.com/web/search/-30.9013174819635,-55.5422467488746" TargetMode="External"/><Relationship Id="rId2145" Type="http://schemas.openxmlformats.org/officeDocument/2006/relationships/hyperlink" Target="https://www.google.com/maps/search/?api=1&amp;query=-30.8975478828478,-55.5406858415484" TargetMode="External"/><Relationship Id="rId464" Type="http://schemas.openxmlformats.org/officeDocument/2006/relationships/hyperlink" Target="https://earth.google.com/web/search/-30.9059367393323,-55.5426889164893" TargetMode="External"/><Relationship Id="rId1299" Type="http://schemas.openxmlformats.org/officeDocument/2006/relationships/hyperlink" Target="https://www.google.com/maps/search/?api=1&amp;query=-30.9012158428027,-55.5421501808645" TargetMode="External"/><Relationship Id="rId2146" Type="http://schemas.openxmlformats.org/officeDocument/2006/relationships/hyperlink" Target="https://earth.google.com/web/search/-30.8975478828478,-55.5406858415484" TargetMode="External"/><Relationship Id="rId463" Type="http://schemas.openxmlformats.org/officeDocument/2006/relationships/hyperlink" Target="https://www.google.com/maps/search/?api=1&amp;query=-30.9059367393323,-55.5426889164893" TargetMode="External"/><Relationship Id="rId2147" Type="http://schemas.openxmlformats.org/officeDocument/2006/relationships/hyperlink" Target="https://www.google.com/maps/search/?api=1&amp;query=-30.8976241747511,-55.5407232694226" TargetMode="External"/><Relationship Id="rId2137" Type="http://schemas.openxmlformats.org/officeDocument/2006/relationships/hyperlink" Target="https://www.google.com/maps/search/?api=1&amp;query=-30.8984421539642,-55.5401585538413" TargetMode="External"/><Relationship Id="rId2138" Type="http://schemas.openxmlformats.org/officeDocument/2006/relationships/hyperlink" Target="https://earth.google.com/web/search/-30.8984421539642,-55.5401585538413" TargetMode="External"/><Relationship Id="rId2139" Type="http://schemas.openxmlformats.org/officeDocument/2006/relationships/hyperlink" Target="https://www.google.com/maps/search/?api=1&amp;query=-30.8978408447885,-55.5398331492407" TargetMode="External"/><Relationship Id="rId459" Type="http://schemas.openxmlformats.org/officeDocument/2006/relationships/hyperlink" Target="https://www.google.com/maps/search/?api=1&amp;query=-30.9057596042767,-55.5414612831513" TargetMode="External"/><Relationship Id="rId458" Type="http://schemas.openxmlformats.org/officeDocument/2006/relationships/hyperlink" Target="https://earth.google.com/web/search/-30.9056994412895,-55.5414169646723" TargetMode="External"/><Relationship Id="rId457" Type="http://schemas.openxmlformats.org/officeDocument/2006/relationships/hyperlink" Target="https://www.google.com/maps/search/?api=1&amp;query=-30.9056994412895,-55.5414169646723" TargetMode="External"/><Relationship Id="rId456" Type="http://schemas.openxmlformats.org/officeDocument/2006/relationships/hyperlink" Target="https://earth.google.com/web/search/-30.9057343893045,-55.5412283621021" TargetMode="External"/><Relationship Id="rId1280" Type="http://schemas.openxmlformats.org/officeDocument/2006/relationships/hyperlink" Target="https://earth.google.com/web/search/-3.0901532581208,-55.5422592199248" TargetMode="External"/><Relationship Id="rId1281" Type="http://schemas.openxmlformats.org/officeDocument/2006/relationships/hyperlink" Target="https://www.google.com/maps/search/?api=1&amp;query=-30.9016556970047,-55.5423594930492" TargetMode="External"/><Relationship Id="rId451" Type="http://schemas.openxmlformats.org/officeDocument/2006/relationships/hyperlink" Target="https://www.google.com/maps/search/?api=1&amp;query=-30.9059146475233,-55.5409223308808" TargetMode="External"/><Relationship Id="rId1282" Type="http://schemas.openxmlformats.org/officeDocument/2006/relationships/hyperlink" Target="https://earth.google.com/web/search/-30.9016556970047,-55.5423594930492" TargetMode="External"/><Relationship Id="rId450" Type="http://schemas.openxmlformats.org/officeDocument/2006/relationships/hyperlink" Target="https://earth.google.com/web/search/-30.9060086360089,-55.5407128187484" TargetMode="External"/><Relationship Id="rId1283" Type="http://schemas.openxmlformats.org/officeDocument/2006/relationships/hyperlink" Target="https://www.google.com/maps/search/?api=1&amp;query=-30.9013857539518,-55.5431477828208" TargetMode="External"/><Relationship Id="rId2130" Type="http://schemas.openxmlformats.org/officeDocument/2006/relationships/hyperlink" Target="https://earth.google.com/web/search/-30.8983241388049,-55.5407711764507" TargetMode="External"/><Relationship Id="rId1284" Type="http://schemas.openxmlformats.org/officeDocument/2006/relationships/hyperlink" Target="https://earth.google.com/web/search/-30.9013857539518,-55.5431477828208" TargetMode="External"/><Relationship Id="rId2131" Type="http://schemas.openxmlformats.org/officeDocument/2006/relationships/hyperlink" Target="https://www.google.com/maps/search/?api=1&amp;query=-30.8985280607716,-55.5403771063762" TargetMode="External"/><Relationship Id="rId1285" Type="http://schemas.openxmlformats.org/officeDocument/2006/relationships/hyperlink" Target="https://www.google.com/maps/search/?api=1&amp;query=-30.9015291156478,-55.5428256190046" TargetMode="External"/><Relationship Id="rId2132" Type="http://schemas.openxmlformats.org/officeDocument/2006/relationships/hyperlink" Target="https://earth.google.com/web/search/-30.8985280607716,-55.5403771063762" TargetMode="External"/><Relationship Id="rId455" Type="http://schemas.openxmlformats.org/officeDocument/2006/relationships/hyperlink" Target="https://www.google.com/maps/search/?api=1&amp;query=-30.9057343893045,-55.5412283621021" TargetMode="External"/><Relationship Id="rId1286" Type="http://schemas.openxmlformats.org/officeDocument/2006/relationships/hyperlink" Target="https://earth.google.com/web/search/-30.9015291156478,-55.5428256190046" TargetMode="External"/><Relationship Id="rId2133" Type="http://schemas.openxmlformats.org/officeDocument/2006/relationships/hyperlink" Target="https://www.google.com/maps/search/?api=1&amp;query=-30.8985527158475,-55.5402229394982" TargetMode="External"/><Relationship Id="rId454" Type="http://schemas.openxmlformats.org/officeDocument/2006/relationships/hyperlink" Target="https://earth.google.com/web/search/-30.9058419393883,-55.5410380605273" TargetMode="External"/><Relationship Id="rId1287" Type="http://schemas.openxmlformats.org/officeDocument/2006/relationships/hyperlink" Target="https://www.google.com/maps/search/?api=1&amp;query=-30.9016024234247,-55.5427200301705" TargetMode="External"/><Relationship Id="rId2134" Type="http://schemas.openxmlformats.org/officeDocument/2006/relationships/hyperlink" Target="https://earth.google.com/web/search/-30.8985527158475,-55.5402229394982" TargetMode="External"/><Relationship Id="rId453" Type="http://schemas.openxmlformats.org/officeDocument/2006/relationships/hyperlink" Target="https://www.google.com/maps/search/?api=1&amp;query=-30.9058419393883,-55.5410380605273" TargetMode="External"/><Relationship Id="rId1288" Type="http://schemas.openxmlformats.org/officeDocument/2006/relationships/hyperlink" Target="https://earth.google.com/web/search/-30.9016024234247,-55.5427200301705" TargetMode="External"/><Relationship Id="rId2135" Type="http://schemas.openxmlformats.org/officeDocument/2006/relationships/hyperlink" Target="https://www.google.com/maps/search/?api=1&amp;query=-30.8984886530854,-55.5401961947276" TargetMode="External"/><Relationship Id="rId452" Type="http://schemas.openxmlformats.org/officeDocument/2006/relationships/hyperlink" Target="https://earth.google.com/web/search/-30.9059146475233,-55.5409223308808" TargetMode="External"/><Relationship Id="rId1289" Type="http://schemas.openxmlformats.org/officeDocument/2006/relationships/hyperlink" Target="https://www.google.com/maps/search/?api=1&amp;query=-30.9016298049702,-55.5426398573767" TargetMode="External"/><Relationship Id="rId2136" Type="http://schemas.openxmlformats.org/officeDocument/2006/relationships/hyperlink" Target="https://earth.google.com/web/search/-30.8984886530854,-55.5401961947276" TargetMode="External"/><Relationship Id="rId491" Type="http://schemas.openxmlformats.org/officeDocument/2006/relationships/hyperlink" Target="https://www.google.com/maps/search/?api=1&amp;query=-30.9053368567014,-55.5419904847643" TargetMode="External"/><Relationship Id="rId490" Type="http://schemas.openxmlformats.org/officeDocument/2006/relationships/hyperlink" Target="https://earth.google.com/web/search/-30.9054080901318,-55.5418511057006" TargetMode="External"/><Relationship Id="rId489" Type="http://schemas.openxmlformats.org/officeDocument/2006/relationships/hyperlink" Target="https://www.google.com/maps/search/?api=1&amp;query=-30.9054080901318,-55.5418511057006" TargetMode="External"/><Relationship Id="rId2160" Type="http://schemas.openxmlformats.org/officeDocument/2006/relationships/hyperlink" Target="https://earth.google.com/web/search/-30.8977579481356,-55.5418479477575" TargetMode="External"/><Relationship Id="rId2161" Type="http://schemas.openxmlformats.org/officeDocument/2006/relationships/hyperlink" Target="https://www.google.com/maps/search/?api=1&amp;query=-30.8977952425105,-5.5541812626742" TargetMode="External"/><Relationship Id="rId484" Type="http://schemas.openxmlformats.org/officeDocument/2006/relationships/hyperlink" Target="https://earth.google.com/web/search/-0.3090571053517,-55.5415801696805" TargetMode="External"/><Relationship Id="rId2162" Type="http://schemas.openxmlformats.org/officeDocument/2006/relationships/hyperlink" Target="https://earth.google.com/web/search/-30.8977952425105,-5.5541812626742" TargetMode="External"/><Relationship Id="rId483" Type="http://schemas.openxmlformats.org/officeDocument/2006/relationships/hyperlink" Target="https://www.google.com/maps/search/?api=1&amp;query=-0.3090571053517,-55.5415801696805" TargetMode="External"/><Relationship Id="rId2163" Type="http://schemas.openxmlformats.org/officeDocument/2006/relationships/hyperlink" Target="https://www.google.com/maps/search/?api=1&amp;query=-30.8978938164879,-55.5415946031383" TargetMode="External"/><Relationship Id="rId482" Type="http://schemas.openxmlformats.org/officeDocument/2006/relationships/hyperlink" Target="https://earth.google.com/web/search/-30.9059201968462,-55.5417264369138" TargetMode="External"/><Relationship Id="rId2164" Type="http://schemas.openxmlformats.org/officeDocument/2006/relationships/hyperlink" Target="https://earth.google.com/web/search/-30.8978938164879,-55.5415946031383" TargetMode="External"/><Relationship Id="rId481" Type="http://schemas.openxmlformats.org/officeDocument/2006/relationships/hyperlink" Target="https://www.google.com/maps/search/?api=1&amp;query=-30.9059201968462,-55.5417264369138" TargetMode="External"/><Relationship Id="rId2165" Type="http://schemas.openxmlformats.org/officeDocument/2006/relationships/hyperlink" Target="https://www.google.com/maps/search/?api=1&amp;query=-30.8979107080996,-55.5415515016737" TargetMode="External"/><Relationship Id="rId488" Type="http://schemas.openxmlformats.org/officeDocument/2006/relationships/hyperlink" Target="https://earth.google.com/web/search/-3.0905601572058,-55.5415058779452" TargetMode="External"/><Relationship Id="rId2166" Type="http://schemas.openxmlformats.org/officeDocument/2006/relationships/hyperlink" Target="https://earth.google.com/web/search/-30.8979107080996,-55.5415515016737" TargetMode="External"/><Relationship Id="rId487" Type="http://schemas.openxmlformats.org/officeDocument/2006/relationships/hyperlink" Target="https://www.google.com/maps/search/?api=1&amp;query=-3.0905601572058,-55.5415058779452" TargetMode="External"/><Relationship Id="rId2167" Type="http://schemas.openxmlformats.org/officeDocument/2006/relationships/hyperlink" Target="https://www.google.com/maps/search/?api=1&amp;query=-30.8979588529936,-55.5414541692595" TargetMode="External"/><Relationship Id="rId486" Type="http://schemas.openxmlformats.org/officeDocument/2006/relationships/hyperlink" Target="https://earth.google.com/web/search/-30.9056732197711,-55.5415336520318" TargetMode="External"/><Relationship Id="rId2168" Type="http://schemas.openxmlformats.org/officeDocument/2006/relationships/hyperlink" Target="https://earth.google.com/web/search/-30.8979588529936,-55.5414541692595" TargetMode="External"/><Relationship Id="rId485" Type="http://schemas.openxmlformats.org/officeDocument/2006/relationships/hyperlink" Target="https://www.google.com/maps/search/?api=1&amp;query=-30.9056732197711,-55.5415336520318" TargetMode="External"/><Relationship Id="rId2169" Type="http://schemas.openxmlformats.org/officeDocument/2006/relationships/hyperlink" Target="https://www.google.com/maps/search/?api=1&amp;query=-30.8979981246765,-55.5413497459045" TargetMode="External"/><Relationship Id="rId2159" Type="http://schemas.openxmlformats.org/officeDocument/2006/relationships/hyperlink" Target="https://www.google.com/maps/search/?api=1&amp;query=-30.8977579481356,-55.5418479477575" TargetMode="External"/><Relationship Id="rId480" Type="http://schemas.openxmlformats.org/officeDocument/2006/relationships/hyperlink" Target="https://earth.google.com/web/search/-30.9060188934631,-55.5417862652407" TargetMode="External"/><Relationship Id="rId479" Type="http://schemas.openxmlformats.org/officeDocument/2006/relationships/hyperlink" Target="https://www.google.com/maps/search/?api=1&amp;query=-30.9060188934631,-55.5417862652407" TargetMode="External"/><Relationship Id="rId478" Type="http://schemas.openxmlformats.org/officeDocument/2006/relationships/hyperlink" Target="https://earth.google.com/web/search/-30.9060759443797,-55.5418307259309" TargetMode="External"/><Relationship Id="rId2150" Type="http://schemas.openxmlformats.org/officeDocument/2006/relationships/hyperlink" Target="https://earth.google.com/web/search/-30.8976715334368,-55.5407630372519" TargetMode="External"/><Relationship Id="rId473" Type="http://schemas.openxmlformats.org/officeDocument/2006/relationships/hyperlink" Target="https://www.google.com/maps/search/?api=1&amp;query=-30.9061897739122,-55.5419064626484" TargetMode="External"/><Relationship Id="rId2151" Type="http://schemas.openxmlformats.org/officeDocument/2006/relationships/hyperlink" Target="https://www.google.com/maps/search/?api=1&amp;query=-30.8978001702351,-5.5540851559951" TargetMode="External"/><Relationship Id="rId472" Type="http://schemas.openxmlformats.org/officeDocument/2006/relationships/hyperlink" Target="https://earth.google.com/web/search/-30.9062865507183,-55.5419663912964" TargetMode="External"/><Relationship Id="rId2152" Type="http://schemas.openxmlformats.org/officeDocument/2006/relationships/hyperlink" Target="https://earth.google.com/web/search/-30.8978001702351,-5.5540851559951" TargetMode="External"/><Relationship Id="rId471" Type="http://schemas.openxmlformats.org/officeDocument/2006/relationships/hyperlink" Target="https://www.google.com/maps/search/?api=1&amp;query=-30.9062865507183,-55.5419663912964" TargetMode="External"/><Relationship Id="rId2153" Type="http://schemas.openxmlformats.org/officeDocument/2006/relationships/hyperlink" Target="https://www.google.com/maps/search/?api=1&amp;query=-30.8980241931231,-55.5410074041033" TargetMode="External"/><Relationship Id="rId470" Type="http://schemas.openxmlformats.org/officeDocument/2006/relationships/hyperlink" Target="https://earth.google.com/web/search/-30.9061926308327,-55.5421709947648" TargetMode="External"/><Relationship Id="rId2154" Type="http://schemas.openxmlformats.org/officeDocument/2006/relationships/hyperlink" Target="https://earth.google.com/web/search/-30.8980241931231,-55.5410074041033" TargetMode="External"/><Relationship Id="rId477" Type="http://schemas.openxmlformats.org/officeDocument/2006/relationships/hyperlink" Target="https://www.google.com/maps/search/?api=1&amp;query=-30.9060759443797,-55.5418307259309" TargetMode="External"/><Relationship Id="rId2155" Type="http://schemas.openxmlformats.org/officeDocument/2006/relationships/hyperlink" Target="https://www.google.com/maps/search/?api=1&amp;query=-30.8977098323667,-55.5419379726466" TargetMode="External"/><Relationship Id="rId476" Type="http://schemas.openxmlformats.org/officeDocument/2006/relationships/hyperlink" Target="https://earth.google.com/web/search/-30.9061333620005,-55.5418706978256" TargetMode="External"/><Relationship Id="rId2156" Type="http://schemas.openxmlformats.org/officeDocument/2006/relationships/hyperlink" Target="https://earth.google.com/web/search/-30.8977098323667,-55.5419379726466" TargetMode="External"/><Relationship Id="rId475" Type="http://schemas.openxmlformats.org/officeDocument/2006/relationships/hyperlink" Target="https://www.google.com/maps/search/?api=1&amp;query=-30.9061333620005,-55.5418706978256" TargetMode="External"/><Relationship Id="rId2157" Type="http://schemas.openxmlformats.org/officeDocument/2006/relationships/hyperlink" Target="https://www.google.com/maps/search/?api=1&amp;query=-30.8977304544947,-55.5418936245621" TargetMode="External"/><Relationship Id="rId474" Type="http://schemas.openxmlformats.org/officeDocument/2006/relationships/hyperlink" Target="https://earth.google.com/web/search/-30.9061897739122,-55.5419064626484" TargetMode="External"/><Relationship Id="rId2158" Type="http://schemas.openxmlformats.org/officeDocument/2006/relationships/hyperlink" Target="https://earth.google.com/web/search/-30.8977304544947,-55.5418936245621" TargetMode="External"/><Relationship Id="rId1257" Type="http://schemas.openxmlformats.org/officeDocument/2006/relationships/hyperlink" Target="https://www.google.com/maps/search/?api=1&amp;query=-30.9020332607359,-55.5418945537269" TargetMode="External"/><Relationship Id="rId2104" Type="http://schemas.openxmlformats.org/officeDocument/2006/relationships/hyperlink" Target="https://earth.google.com/web/search/-30.8988841251627,-55.5392458034092" TargetMode="External"/><Relationship Id="rId2588" Type="http://schemas.openxmlformats.org/officeDocument/2006/relationships/hyperlink" Target="https://earth.google.com/web/search/-30.8979380202661,-55.5347729263218" TargetMode="External"/><Relationship Id="rId1258" Type="http://schemas.openxmlformats.org/officeDocument/2006/relationships/hyperlink" Target="https://earth.google.com/web/search/-30.9020332607359,-55.5418945537269" TargetMode="External"/><Relationship Id="rId2105" Type="http://schemas.openxmlformats.org/officeDocument/2006/relationships/hyperlink" Target="https://www.google.com/maps/search/?api=1&amp;query=-30.8985845789926,-5.5539020296944" TargetMode="External"/><Relationship Id="rId2589" Type="http://schemas.openxmlformats.org/officeDocument/2006/relationships/hyperlink" Target="https://www.google.com/maps/search/?api=1&amp;query=-3.0898030554729,-55.5348256229602" TargetMode="External"/><Relationship Id="rId1259" Type="http://schemas.openxmlformats.org/officeDocument/2006/relationships/hyperlink" Target="https://www.google.com/maps/search/?api=1&amp;query=-30.9019183252779,-5.5541412331933" TargetMode="External"/><Relationship Id="rId2106" Type="http://schemas.openxmlformats.org/officeDocument/2006/relationships/hyperlink" Target="https://earth.google.com/web/search/-30.8985845789926,-5.5539020296944" TargetMode="External"/><Relationship Id="rId2107" Type="http://schemas.openxmlformats.org/officeDocument/2006/relationships/hyperlink" Target="https://www.google.com/maps/search/?api=1&amp;query=-30.8981113301166,-55.5393183202477" TargetMode="External"/><Relationship Id="rId2108" Type="http://schemas.openxmlformats.org/officeDocument/2006/relationships/hyperlink" Target="https://earth.google.com/web/search/-30.8981113301166,-55.5393183202477" TargetMode="External"/><Relationship Id="rId2109" Type="http://schemas.openxmlformats.org/officeDocument/2006/relationships/hyperlink" Target="https://www.google.com/maps/search/?api=1&amp;query=-30.8980053913792,-55.5395160857896" TargetMode="External"/><Relationship Id="rId426" Type="http://schemas.openxmlformats.org/officeDocument/2006/relationships/hyperlink" Target="https://earth.google.com/web/search/-30.9066277911094,-55.5413632830472" TargetMode="External"/><Relationship Id="rId425" Type="http://schemas.openxmlformats.org/officeDocument/2006/relationships/hyperlink" Target="https://www.google.com/maps/search/?api=1&amp;query=-30.9066277911094,-55.5413632830472" TargetMode="External"/><Relationship Id="rId424" Type="http://schemas.openxmlformats.org/officeDocument/2006/relationships/hyperlink" Target="https://earth.google.com/web/search/-30.9066041576293,-55.5414236681312" TargetMode="External"/><Relationship Id="rId423" Type="http://schemas.openxmlformats.org/officeDocument/2006/relationships/hyperlink" Target="https://www.google.com/maps/search/?api=1&amp;query=-30.9066041576293,-55.5414236681312" TargetMode="External"/><Relationship Id="rId429" Type="http://schemas.openxmlformats.org/officeDocument/2006/relationships/hyperlink" Target="https://www.google.com/maps/search/?api=1&amp;query=-30.9067524330098,-55.5411485747382" TargetMode="External"/><Relationship Id="rId428" Type="http://schemas.openxmlformats.org/officeDocument/2006/relationships/hyperlink" Target="https://earth.google.com/web/search/-30.9066954284352,-55.5412219505367" TargetMode="External"/><Relationship Id="rId427" Type="http://schemas.openxmlformats.org/officeDocument/2006/relationships/hyperlink" Target="https://www.google.com/maps/search/?api=1&amp;query=-30.9066954284352,-55.5412219505367" TargetMode="External"/><Relationship Id="rId2580" Type="http://schemas.openxmlformats.org/officeDocument/2006/relationships/hyperlink" Target="https://earth.google.com/web/search/-30.8975826561179,-55.5344560309318" TargetMode="External"/><Relationship Id="rId1250" Type="http://schemas.openxmlformats.org/officeDocument/2006/relationships/hyperlink" Target="https://earth.google.com/web/search/-30.9018332022765,-55.5422353069332" TargetMode="External"/><Relationship Id="rId2581" Type="http://schemas.openxmlformats.org/officeDocument/2006/relationships/hyperlink" Target="https://www.google.com/maps/search/?api=1&amp;query=-30.8977586815096,-55.5346220390392" TargetMode="External"/><Relationship Id="rId1251" Type="http://schemas.openxmlformats.org/officeDocument/2006/relationships/hyperlink" Target="https://www.google.com/maps/search/?api=1&amp;query=-30.9018912581068,-55.5421822567834" TargetMode="External"/><Relationship Id="rId2582" Type="http://schemas.openxmlformats.org/officeDocument/2006/relationships/hyperlink" Target="https://earth.google.com/web/search/-30.8977586815096,-55.5346220390392" TargetMode="External"/><Relationship Id="rId1252" Type="http://schemas.openxmlformats.org/officeDocument/2006/relationships/hyperlink" Target="https://earth.google.com/web/search/-30.9018912581068,-55.5421822567834" TargetMode="External"/><Relationship Id="rId2583" Type="http://schemas.openxmlformats.org/officeDocument/2006/relationships/hyperlink" Target="https://www.google.com/maps/search/?api=1&amp;query=-3.0897835842508,-55.5346789952664" TargetMode="External"/><Relationship Id="rId422" Type="http://schemas.openxmlformats.org/officeDocument/2006/relationships/hyperlink" Target="https://earth.google.com/web/search/-30.9065442669551,-55.5415307333633" TargetMode="External"/><Relationship Id="rId1253" Type="http://schemas.openxmlformats.org/officeDocument/2006/relationships/hyperlink" Target="https://www.google.com/maps/search/?api=1&amp;query=-30.9019216355971,-55.5420965930842" TargetMode="External"/><Relationship Id="rId2100" Type="http://schemas.openxmlformats.org/officeDocument/2006/relationships/hyperlink" Target="https://earth.google.com/web/search/-30.8989699577238,-55.5395476791854" TargetMode="External"/><Relationship Id="rId2584" Type="http://schemas.openxmlformats.org/officeDocument/2006/relationships/hyperlink" Target="https://earth.google.com/web/search/-3.0897835842508,-55.5346789952664" TargetMode="External"/><Relationship Id="rId421" Type="http://schemas.openxmlformats.org/officeDocument/2006/relationships/hyperlink" Target="https://www.google.com/maps/search/?api=1&amp;query=-30.9065442669551,-55.5415307333633" TargetMode="External"/><Relationship Id="rId1254" Type="http://schemas.openxmlformats.org/officeDocument/2006/relationships/hyperlink" Target="https://earth.google.com/web/search/-30.9019216355971,-55.5420965930842" TargetMode="External"/><Relationship Id="rId2101" Type="http://schemas.openxmlformats.org/officeDocument/2006/relationships/hyperlink" Target="https://www.google.com/maps/search/?api=1&amp;query=-30.8990417877654,-55.5394379017683" TargetMode="External"/><Relationship Id="rId2585" Type="http://schemas.openxmlformats.org/officeDocument/2006/relationships/hyperlink" Target="https://www.google.com/maps/search/?api=1&amp;query=-30.8978970432966,-55.5347320625235" TargetMode="External"/><Relationship Id="rId420" Type="http://schemas.openxmlformats.org/officeDocument/2006/relationships/hyperlink" Target="https://earth.google.com/web/search/-30.9064341534845,-55.5417419842569" TargetMode="External"/><Relationship Id="rId1255" Type="http://schemas.openxmlformats.org/officeDocument/2006/relationships/hyperlink" Target="https://www.google.com/maps/search/?api=1&amp;query=-30.9019682572635,-55.5420508141841" TargetMode="External"/><Relationship Id="rId2102" Type="http://schemas.openxmlformats.org/officeDocument/2006/relationships/hyperlink" Target="https://earth.google.com/web/search/-30.8990417877654,-55.5394379017683" TargetMode="External"/><Relationship Id="rId2586" Type="http://schemas.openxmlformats.org/officeDocument/2006/relationships/hyperlink" Target="https://earth.google.com/web/search/-30.8978970432966,-55.5347320625235" TargetMode="External"/><Relationship Id="rId1256" Type="http://schemas.openxmlformats.org/officeDocument/2006/relationships/hyperlink" Target="https://earth.google.com/web/search/-30.9019682572635,-55.5420508141841" TargetMode="External"/><Relationship Id="rId2103" Type="http://schemas.openxmlformats.org/officeDocument/2006/relationships/hyperlink" Target="https://www.google.com/maps/search/?api=1&amp;query=-30.8988841251627,-55.5392458034092" TargetMode="External"/><Relationship Id="rId2587" Type="http://schemas.openxmlformats.org/officeDocument/2006/relationships/hyperlink" Target="https://www.google.com/maps/search/?api=1&amp;query=-30.8979380202661,-55.5347729263218" TargetMode="External"/><Relationship Id="rId1246" Type="http://schemas.openxmlformats.org/officeDocument/2006/relationships/hyperlink" Target="https://earth.google.com/web/search/-30.9021978798699,-55.5414434684857" TargetMode="External"/><Relationship Id="rId2577" Type="http://schemas.openxmlformats.org/officeDocument/2006/relationships/hyperlink" Target="https://www.google.com/maps/search/?api=1&amp;query=-30.8975321940784,-55.5344207788466" TargetMode="External"/><Relationship Id="rId1247" Type="http://schemas.openxmlformats.org/officeDocument/2006/relationships/hyperlink" Target="https://www.google.com/maps/search/?api=1&amp;query=-30.9018080955379,-55.5423410840961" TargetMode="External"/><Relationship Id="rId2578" Type="http://schemas.openxmlformats.org/officeDocument/2006/relationships/hyperlink" Target="https://earth.google.com/web/search/-30.8975321940784,-55.5344207788466" TargetMode="External"/><Relationship Id="rId1248" Type="http://schemas.openxmlformats.org/officeDocument/2006/relationships/hyperlink" Target="https://earth.google.com/web/search/-30.9018080955379,-55.5423410840961" TargetMode="External"/><Relationship Id="rId2579" Type="http://schemas.openxmlformats.org/officeDocument/2006/relationships/hyperlink" Target="https://www.google.com/maps/search/?api=1&amp;query=-30.8975826561179,-55.5344560309318" TargetMode="External"/><Relationship Id="rId1249" Type="http://schemas.openxmlformats.org/officeDocument/2006/relationships/hyperlink" Target="https://www.google.com/maps/search/?api=1&amp;query=-30.9018332022765,-55.5422353069332" TargetMode="External"/><Relationship Id="rId415" Type="http://schemas.openxmlformats.org/officeDocument/2006/relationships/hyperlink" Target="https://www.google.com/maps/search/?api=1&amp;query=-30.9063479021584,-55.5406281698954" TargetMode="External"/><Relationship Id="rId899" Type="http://schemas.openxmlformats.org/officeDocument/2006/relationships/hyperlink" Target="https://www.google.com/maps/search/?api=1&amp;query=-30.9027330778345,-55.5431221291269" TargetMode="External"/><Relationship Id="rId414" Type="http://schemas.openxmlformats.org/officeDocument/2006/relationships/hyperlink" Target="https://earth.google.com/web/search/-30.9062899415339,-55.5405821610872" TargetMode="External"/><Relationship Id="rId898" Type="http://schemas.openxmlformats.org/officeDocument/2006/relationships/hyperlink" Target="https://earth.google.com/web/search/-3.0902685668526,-5.5543087000884" TargetMode="External"/><Relationship Id="rId413" Type="http://schemas.openxmlformats.org/officeDocument/2006/relationships/hyperlink" Target="https://www.google.com/maps/search/?api=1&amp;query=-30.9062899415339,-55.5405821610872" TargetMode="External"/><Relationship Id="rId897" Type="http://schemas.openxmlformats.org/officeDocument/2006/relationships/hyperlink" Target="https://www.google.com/maps/search/?api=1&amp;query=-3.0902685668526,-5.5543087000884" TargetMode="External"/><Relationship Id="rId412" Type="http://schemas.openxmlformats.org/officeDocument/2006/relationships/hyperlink" Target="https://earth.google.com/web/search/-30.9061868316596,-55.5403574261216" TargetMode="External"/><Relationship Id="rId896" Type="http://schemas.openxmlformats.org/officeDocument/2006/relationships/hyperlink" Target="https://earth.google.com/web/search/-30.9026481578459,-55.5430628643197" TargetMode="External"/><Relationship Id="rId419" Type="http://schemas.openxmlformats.org/officeDocument/2006/relationships/hyperlink" Target="https://www.google.com/maps/search/?api=1&amp;query=-30.9064341534845,-55.5417419842569" TargetMode="External"/><Relationship Id="rId418" Type="http://schemas.openxmlformats.org/officeDocument/2006/relationships/hyperlink" Target="https://earth.google.com/web/search/-30.9068081343182,-55.5409725691468" TargetMode="External"/><Relationship Id="rId417" Type="http://schemas.openxmlformats.org/officeDocument/2006/relationships/hyperlink" Target="https://www.google.com/maps/search/?api=1&amp;query=-30.9068081343182,-55.5409725691468" TargetMode="External"/><Relationship Id="rId416" Type="http://schemas.openxmlformats.org/officeDocument/2006/relationships/hyperlink" Target="https://earth.google.com/web/search/-30.9063479021584,-55.5406281698954" TargetMode="External"/><Relationship Id="rId891" Type="http://schemas.openxmlformats.org/officeDocument/2006/relationships/hyperlink" Target="https://www.google.com/maps/search/?api=1&amp;query=-30.9026834467219,-55.5428944539438" TargetMode="External"/><Relationship Id="rId890" Type="http://schemas.openxmlformats.org/officeDocument/2006/relationships/hyperlink" Target="https://earth.google.com/web/search/-30.9028159883525,-55.5426767753358" TargetMode="External"/><Relationship Id="rId2570" Type="http://schemas.openxmlformats.org/officeDocument/2006/relationships/hyperlink" Target="https://earth.google.com/web/search/-30.8976032502176,-55.5356559330046" TargetMode="External"/><Relationship Id="rId1240" Type="http://schemas.openxmlformats.org/officeDocument/2006/relationships/hyperlink" Target="https://earth.google.com/web/search/-30.9017528383348,-55.5411512611621" TargetMode="External"/><Relationship Id="rId2571" Type="http://schemas.openxmlformats.org/officeDocument/2006/relationships/hyperlink" Target="https://www.google.com/maps/search/?api=1&amp;query=-30.8973640633851,-55.5354837131276" TargetMode="External"/><Relationship Id="rId1241" Type="http://schemas.openxmlformats.org/officeDocument/2006/relationships/hyperlink" Target="https://www.google.com/maps/search/?api=1&amp;query=-30.9018008882797,-55.5411898937168" TargetMode="External"/><Relationship Id="rId2572" Type="http://schemas.openxmlformats.org/officeDocument/2006/relationships/hyperlink" Target="https://earth.google.com/web/search/-30.8973640633851,-55.5354837131276" TargetMode="External"/><Relationship Id="rId411" Type="http://schemas.openxmlformats.org/officeDocument/2006/relationships/hyperlink" Target="https://www.google.com/maps/search/?api=1&amp;query=-30.9061868316596,-55.5403574261216" TargetMode="External"/><Relationship Id="rId895" Type="http://schemas.openxmlformats.org/officeDocument/2006/relationships/hyperlink" Target="https://www.google.com/maps/search/?api=1&amp;query=-30.9026481578459,-55.5430628643197" TargetMode="External"/><Relationship Id="rId1242" Type="http://schemas.openxmlformats.org/officeDocument/2006/relationships/hyperlink" Target="https://earth.google.com/web/search/-30.9018008882797,-55.5411898937168" TargetMode="External"/><Relationship Id="rId2573" Type="http://schemas.openxmlformats.org/officeDocument/2006/relationships/hyperlink" Target="https://www.google.com/maps/search/?api=1&amp;query=-30.8972664050307,-55.5347036060514" TargetMode="External"/><Relationship Id="rId410" Type="http://schemas.openxmlformats.org/officeDocument/2006/relationships/hyperlink" Target="https://earth.google.com/web/search/-30.9062510894431,-55.5402706522377" TargetMode="External"/><Relationship Id="rId894" Type="http://schemas.openxmlformats.org/officeDocument/2006/relationships/hyperlink" Target="https://earth.google.com/web/search/-30.9026435776479,-55.5429587551105" TargetMode="External"/><Relationship Id="rId1243" Type="http://schemas.openxmlformats.org/officeDocument/2006/relationships/hyperlink" Target="https://www.google.com/maps/search/?api=1&amp;query=-30.9018711246798,-55.5412254117508" TargetMode="External"/><Relationship Id="rId2574" Type="http://schemas.openxmlformats.org/officeDocument/2006/relationships/hyperlink" Target="https://earth.google.com/web/search/-30.8972664050307,-55.5347036060514" TargetMode="External"/><Relationship Id="rId893" Type="http://schemas.openxmlformats.org/officeDocument/2006/relationships/hyperlink" Target="https://www.google.com/maps/search/?api=1&amp;query=-30.9026435776479,-55.5429587551105" TargetMode="External"/><Relationship Id="rId1244" Type="http://schemas.openxmlformats.org/officeDocument/2006/relationships/hyperlink" Target="https://earth.google.com/web/search/-30.9018711246798,-55.5412254117508" TargetMode="External"/><Relationship Id="rId2575" Type="http://schemas.openxmlformats.org/officeDocument/2006/relationships/hyperlink" Target="https://www.google.com/maps/search/?api=1&amp;query=-30.8974564500204,-55.5343867290987" TargetMode="External"/><Relationship Id="rId892" Type="http://schemas.openxmlformats.org/officeDocument/2006/relationships/hyperlink" Target="https://earth.google.com/web/search/-30.9026834467219,-55.5428944539438" TargetMode="External"/><Relationship Id="rId1245" Type="http://schemas.openxmlformats.org/officeDocument/2006/relationships/hyperlink" Target="https://www.google.com/maps/search/?api=1&amp;query=-30.9021978798699,-55.5414434684857" TargetMode="External"/><Relationship Id="rId2576" Type="http://schemas.openxmlformats.org/officeDocument/2006/relationships/hyperlink" Target="https://earth.google.com/web/search/-30.8974564500204,-55.5343867290987" TargetMode="External"/><Relationship Id="rId1279" Type="http://schemas.openxmlformats.org/officeDocument/2006/relationships/hyperlink" Target="https://www.google.com/maps/search/?api=1&amp;query=-3.0901532581208,-55.5422592199248" TargetMode="External"/><Relationship Id="rId2126" Type="http://schemas.openxmlformats.org/officeDocument/2006/relationships/hyperlink" Target="https://earth.google.com/web/search/-30.8981683018628,-55.5410737858627" TargetMode="External"/><Relationship Id="rId2127" Type="http://schemas.openxmlformats.org/officeDocument/2006/relationships/hyperlink" Target="https://www.google.com/maps/search/?api=1&amp;query=-30.8982200094259,-55.5409583969448" TargetMode="External"/><Relationship Id="rId2128" Type="http://schemas.openxmlformats.org/officeDocument/2006/relationships/hyperlink" Target="https://earth.google.com/web/search/-30.8982200094259,-55.5409583969448" TargetMode="External"/><Relationship Id="rId2129" Type="http://schemas.openxmlformats.org/officeDocument/2006/relationships/hyperlink" Target="https://www.google.com/maps/search/?api=1&amp;query=-30.8983241388049,-55.5407711764507" TargetMode="External"/><Relationship Id="rId448" Type="http://schemas.openxmlformats.org/officeDocument/2006/relationships/hyperlink" Target="https://earth.google.com/web/search/-3.0906050129764,-55.5406336892631" TargetMode="External"/><Relationship Id="rId447" Type="http://schemas.openxmlformats.org/officeDocument/2006/relationships/hyperlink" Target="https://www.google.com/maps/search/?api=1&amp;query=-3.0906050129764,-55.5406336892631" TargetMode="External"/><Relationship Id="rId446" Type="http://schemas.openxmlformats.org/officeDocument/2006/relationships/hyperlink" Target="https://earth.google.com/web/search/-30.9061173409309,-55.5405819509031" TargetMode="External"/><Relationship Id="rId445" Type="http://schemas.openxmlformats.org/officeDocument/2006/relationships/hyperlink" Target="https://www.google.com/maps/search/?api=1&amp;query=-30.9061173409309,-55.5405819509031" TargetMode="External"/><Relationship Id="rId449" Type="http://schemas.openxmlformats.org/officeDocument/2006/relationships/hyperlink" Target="https://www.google.com/maps/search/?api=1&amp;query=-30.9060086360089,-55.5407128187484" TargetMode="External"/><Relationship Id="rId1270" Type="http://schemas.openxmlformats.org/officeDocument/2006/relationships/hyperlink" Target="https://earth.google.com/web/search/-30.9010802093436,-55.5419469140898" TargetMode="External"/><Relationship Id="rId440" Type="http://schemas.openxmlformats.org/officeDocument/2006/relationships/hyperlink" Target="https://earth.google.com/web/search/-30.9064227630845,-55.5408223386003" TargetMode="External"/><Relationship Id="rId1271" Type="http://schemas.openxmlformats.org/officeDocument/2006/relationships/hyperlink" Target="https://www.google.com/maps/search/?api=1&amp;query=-30.9011776190759,-55.5420127640376" TargetMode="External"/><Relationship Id="rId1272" Type="http://schemas.openxmlformats.org/officeDocument/2006/relationships/hyperlink" Target="https://earth.google.com/web/search/-30.9011776190759,-55.5420127640376" TargetMode="External"/><Relationship Id="rId1273" Type="http://schemas.openxmlformats.org/officeDocument/2006/relationships/hyperlink" Target="https://www.google.com/maps/search/?api=1&amp;query=-30.9012955346869,-55.5420863203445" TargetMode="External"/><Relationship Id="rId2120" Type="http://schemas.openxmlformats.org/officeDocument/2006/relationships/hyperlink" Target="https://earth.google.com/web/search/-30.8984337039189,-55.5400461322357" TargetMode="External"/><Relationship Id="rId1274" Type="http://schemas.openxmlformats.org/officeDocument/2006/relationships/hyperlink" Target="https://earth.google.com/web/search/-30.9012955346869,-55.5420863203445" TargetMode="External"/><Relationship Id="rId2121" Type="http://schemas.openxmlformats.org/officeDocument/2006/relationships/hyperlink" Target="https://www.google.com/maps/search/?api=1&amp;query=-30.8984687179404,-55.5400741466021" TargetMode="External"/><Relationship Id="rId444" Type="http://schemas.openxmlformats.org/officeDocument/2006/relationships/hyperlink" Target="https://earth.google.com/web/search/-30.9062731321728,-55.5407171335977" TargetMode="External"/><Relationship Id="rId1275" Type="http://schemas.openxmlformats.org/officeDocument/2006/relationships/hyperlink" Target="https://www.google.com/maps/search/?api=1&amp;query=-30.9013584108793,-55.5421322015792" TargetMode="External"/><Relationship Id="rId2122" Type="http://schemas.openxmlformats.org/officeDocument/2006/relationships/hyperlink" Target="https://earth.google.com/web/search/-30.8984687179404,-55.5400741466021" TargetMode="External"/><Relationship Id="rId443" Type="http://schemas.openxmlformats.org/officeDocument/2006/relationships/hyperlink" Target="https://www.google.com/maps/search/?api=1&amp;query=-30.9062731321728,-55.5407171335977" TargetMode="External"/><Relationship Id="rId1276" Type="http://schemas.openxmlformats.org/officeDocument/2006/relationships/hyperlink" Target="https://earth.google.com/web/search/-30.9013584108793,-55.5421322015792" TargetMode="External"/><Relationship Id="rId2123" Type="http://schemas.openxmlformats.org/officeDocument/2006/relationships/hyperlink" Target="https://www.google.com/maps/search/?api=1&amp;query=-30.8985209682643,-55.5401070534485" TargetMode="External"/><Relationship Id="rId442" Type="http://schemas.openxmlformats.org/officeDocument/2006/relationships/hyperlink" Target="https://earth.google.com/web/search/-30.9063513528304,-55.5407593947535" TargetMode="External"/><Relationship Id="rId1277" Type="http://schemas.openxmlformats.org/officeDocument/2006/relationships/hyperlink" Target="https://www.google.com/maps/search/?api=1&amp;query=-30.9014487963209,-55.5421859576441" TargetMode="External"/><Relationship Id="rId2124" Type="http://schemas.openxmlformats.org/officeDocument/2006/relationships/hyperlink" Target="https://earth.google.com/web/search/-30.8985209682643,-55.5401070534485" TargetMode="External"/><Relationship Id="rId441" Type="http://schemas.openxmlformats.org/officeDocument/2006/relationships/hyperlink" Target="https://www.google.com/maps/search/?api=1&amp;query=-30.9063513528304,-55.5407593947535" TargetMode="External"/><Relationship Id="rId1278" Type="http://schemas.openxmlformats.org/officeDocument/2006/relationships/hyperlink" Target="https://earth.google.com/web/search/-30.9014487963209,-55.5421859576441" TargetMode="External"/><Relationship Id="rId2125" Type="http://schemas.openxmlformats.org/officeDocument/2006/relationships/hyperlink" Target="https://www.google.com/maps/search/?api=1&amp;query=-30.8981683018628,-55.5410737858627" TargetMode="External"/><Relationship Id="rId1268" Type="http://schemas.openxmlformats.org/officeDocument/2006/relationships/hyperlink" Target="https://earth.google.com/web/search/-30.9013054441722,-55.5414234451095" TargetMode="External"/><Relationship Id="rId2115" Type="http://schemas.openxmlformats.org/officeDocument/2006/relationships/hyperlink" Target="https://www.google.com/maps/search/?api=1&amp;query=-30.8981053908302,-55.5398131814535" TargetMode="External"/><Relationship Id="rId2599" Type="http://schemas.openxmlformats.org/officeDocument/2006/relationships/hyperlink" Target="https://www.google.com/maps/search/?api=1&amp;query=-30.8979776531613,-55.5352931614346" TargetMode="External"/><Relationship Id="rId1269" Type="http://schemas.openxmlformats.org/officeDocument/2006/relationships/hyperlink" Target="https://www.google.com/maps/search/?api=1&amp;query=-30.9010802093436,-55.5419469140898" TargetMode="External"/><Relationship Id="rId2116" Type="http://schemas.openxmlformats.org/officeDocument/2006/relationships/hyperlink" Target="https://earth.google.com/web/search/-30.8981053908302,-55.5398131814535" TargetMode="External"/><Relationship Id="rId2117" Type="http://schemas.openxmlformats.org/officeDocument/2006/relationships/hyperlink" Target="https://www.google.com/maps/search/?api=1&amp;query=-3.0898199140465,-55.5398770860477" TargetMode="External"/><Relationship Id="rId2118" Type="http://schemas.openxmlformats.org/officeDocument/2006/relationships/hyperlink" Target="https://earth.google.com/web/search/-3.0898199140465,-55.5398770860477" TargetMode="External"/><Relationship Id="rId2119" Type="http://schemas.openxmlformats.org/officeDocument/2006/relationships/hyperlink" Target="https://www.google.com/maps/search/?api=1&amp;query=-30.8984337039189,-55.5400461322357" TargetMode="External"/><Relationship Id="rId437" Type="http://schemas.openxmlformats.org/officeDocument/2006/relationships/hyperlink" Target="https://www.google.com/maps/search/?api=1&amp;query=-30.9065039354715,-55.5408848467456" TargetMode="External"/><Relationship Id="rId436" Type="http://schemas.openxmlformats.org/officeDocument/2006/relationships/hyperlink" Target="https://earth.google.com/web/search/-30.9065880950757,-55.5409500323479" TargetMode="External"/><Relationship Id="rId435" Type="http://schemas.openxmlformats.org/officeDocument/2006/relationships/hyperlink" Target="https://www.google.com/maps/search/?api=1&amp;query=-30.9065880950757,-55.5409500323479" TargetMode="External"/><Relationship Id="rId434" Type="http://schemas.openxmlformats.org/officeDocument/2006/relationships/hyperlink" Target="https://earth.google.com/web/search/-30.9066703620544,-55.5410002271298" TargetMode="External"/><Relationship Id="rId439" Type="http://schemas.openxmlformats.org/officeDocument/2006/relationships/hyperlink" Target="https://www.google.com/maps/search/?api=1&amp;query=-30.9064227630845,-55.5408223386003" TargetMode="External"/><Relationship Id="rId438" Type="http://schemas.openxmlformats.org/officeDocument/2006/relationships/hyperlink" Target="https://earth.google.com/web/search/-30.9065039354715,-55.5408848467456" TargetMode="External"/><Relationship Id="rId2590" Type="http://schemas.openxmlformats.org/officeDocument/2006/relationships/hyperlink" Target="https://earth.google.com/web/search/-3.0898030554729,-55.5348256229602" TargetMode="External"/><Relationship Id="rId1260" Type="http://schemas.openxmlformats.org/officeDocument/2006/relationships/hyperlink" Target="https://earth.google.com/web/search/-30.9019183252779,-5.5541412331933" TargetMode="External"/><Relationship Id="rId2591" Type="http://schemas.openxmlformats.org/officeDocument/2006/relationships/hyperlink" Target="https://www.google.com/maps/search/?api=1&amp;query=-30.8981201938317,-55.5348999097782" TargetMode="External"/><Relationship Id="rId1261" Type="http://schemas.openxmlformats.org/officeDocument/2006/relationships/hyperlink" Target="https://www.google.com/maps/search/?api=1&amp;query=-30.9017006147533,-55.5412586101812" TargetMode="External"/><Relationship Id="rId2592" Type="http://schemas.openxmlformats.org/officeDocument/2006/relationships/hyperlink" Target="https://earth.google.com/web/search/-30.8981201938317,-55.5348999097782" TargetMode="External"/><Relationship Id="rId1262" Type="http://schemas.openxmlformats.org/officeDocument/2006/relationships/hyperlink" Target="https://earth.google.com/web/search/-30.9017006147533,-55.5412586101812" TargetMode="External"/><Relationship Id="rId2593" Type="http://schemas.openxmlformats.org/officeDocument/2006/relationships/hyperlink" Target="https://www.google.com/maps/search/?api=1&amp;query=-30.8981461341677,-55.5350055604747" TargetMode="External"/><Relationship Id="rId1263" Type="http://schemas.openxmlformats.org/officeDocument/2006/relationships/hyperlink" Target="https://www.google.com/maps/search/?api=1&amp;query=-30.9015528912066,-55.5411465976641" TargetMode="External"/><Relationship Id="rId2110" Type="http://schemas.openxmlformats.org/officeDocument/2006/relationships/hyperlink" Target="https://earth.google.com/web/search/-30.8980053913792,-55.5395160857896" TargetMode="External"/><Relationship Id="rId2594" Type="http://schemas.openxmlformats.org/officeDocument/2006/relationships/hyperlink" Target="https://earth.google.com/web/search/-30.8981461341677,-55.5350055604747" TargetMode="External"/><Relationship Id="rId433" Type="http://schemas.openxmlformats.org/officeDocument/2006/relationships/hyperlink" Target="https://www.google.com/maps/search/?api=1&amp;query=-30.9066703620544,-55.5410002271298" TargetMode="External"/><Relationship Id="rId1264" Type="http://schemas.openxmlformats.org/officeDocument/2006/relationships/hyperlink" Target="https://earth.google.com/web/search/-30.9015528912066,-55.5411465976641" TargetMode="External"/><Relationship Id="rId2111" Type="http://schemas.openxmlformats.org/officeDocument/2006/relationships/hyperlink" Target="https://www.google.com/maps/search/?api=1&amp;query=-30.8979932243046,-55.5397515248566" TargetMode="External"/><Relationship Id="rId2595" Type="http://schemas.openxmlformats.org/officeDocument/2006/relationships/hyperlink" Target="https://www.google.com/maps/search/?api=1&amp;query=-30.8980657889298,-5.5535117173157" TargetMode="External"/><Relationship Id="rId432" Type="http://schemas.openxmlformats.org/officeDocument/2006/relationships/hyperlink" Target="https://earth.google.com/web/search/-30.9067261993937,-55.5410303231378" TargetMode="External"/><Relationship Id="rId1265" Type="http://schemas.openxmlformats.org/officeDocument/2006/relationships/hyperlink" Target="https://www.google.com/maps/search/?api=1&amp;query=-30.9013911511194,-55.5412508516116" TargetMode="External"/><Relationship Id="rId2112" Type="http://schemas.openxmlformats.org/officeDocument/2006/relationships/hyperlink" Target="https://earth.google.com/web/search/-30.8979932243046,-55.5397515248566" TargetMode="External"/><Relationship Id="rId2596" Type="http://schemas.openxmlformats.org/officeDocument/2006/relationships/hyperlink" Target="https://earth.google.com/web/search/-30.8980657889298,-5.5535117173157" TargetMode="External"/><Relationship Id="rId431" Type="http://schemas.openxmlformats.org/officeDocument/2006/relationships/hyperlink" Target="https://www.google.com/maps/search/?api=1&amp;query=-30.9067261993937,-55.5410303231378" TargetMode="External"/><Relationship Id="rId1266" Type="http://schemas.openxmlformats.org/officeDocument/2006/relationships/hyperlink" Target="https://earth.google.com/web/search/-30.9013911511194,-55.5412508516116" TargetMode="External"/><Relationship Id="rId2113" Type="http://schemas.openxmlformats.org/officeDocument/2006/relationships/hyperlink" Target="https://www.google.com/maps/search/?api=1&amp;query=-30.8980324971186,-55.5397757129651" TargetMode="External"/><Relationship Id="rId2597" Type="http://schemas.openxmlformats.org/officeDocument/2006/relationships/hyperlink" Target="https://www.google.com/maps/search/?api=1&amp;query=-30.8980336359404,-55.5351996348498" TargetMode="External"/><Relationship Id="rId430" Type="http://schemas.openxmlformats.org/officeDocument/2006/relationships/hyperlink" Target="https://earth.google.com/web/search/-30.9067524330098,-55.5411485747382" TargetMode="External"/><Relationship Id="rId1267" Type="http://schemas.openxmlformats.org/officeDocument/2006/relationships/hyperlink" Target="https://www.google.com/maps/search/?api=1&amp;query=-30.9013054441722,-55.5414234451095" TargetMode="External"/><Relationship Id="rId2114" Type="http://schemas.openxmlformats.org/officeDocument/2006/relationships/hyperlink" Target="https://earth.google.com/web/search/-30.8980324971186,-55.5397757129651" TargetMode="External"/><Relationship Id="rId2598" Type="http://schemas.openxmlformats.org/officeDocument/2006/relationships/hyperlink" Target="https://earth.google.com/web/search/-30.8980336359404,-55.5351996348498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3" width="20.38"/>
    <col customWidth="1" min="4" max="4" width="24.25"/>
    <col customWidth="1" min="5" max="7" width="20.38"/>
  </cols>
  <sheetData>
    <row r="1" ht="26.25" customHeight="1">
      <c r="A1" s="1" t="s">
        <v>0</v>
      </c>
      <c r="B1" s="2"/>
      <c r="C1" s="3"/>
      <c r="D1" s="4" t="s">
        <v>1</v>
      </c>
      <c r="E1" s="4" t="s">
        <v>2</v>
      </c>
      <c r="F1" s="4" t="s">
        <v>3</v>
      </c>
      <c r="G1" s="4" t="s">
        <v>4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26.25" customHeight="1">
      <c r="A2" s="6">
        <f>SUBTOTAL(103, A4:A4257)</f>
        <v>4185</v>
      </c>
      <c r="B2" s="2"/>
      <c r="C2" s="3"/>
      <c r="D2" s="7">
        <f>IFERROR(__xludf.DUMMYFUNCTION("COUNTIF(FILTER(C4:C4257,BYROW(B4:B4257,LAMBDA(row,SUBTOTAL(103,row)))),1)"),1350.0)</f>
        <v>1350</v>
      </c>
      <c r="E2" s="7">
        <f>IFERROR(__xludf.DUMMYFUNCTION("COUNTIF(FILTER(C4:C4257,BYROW(B4:B4257,LAMBDA(row,SUBTOTAL(103,row)))),2)"),773.0)</f>
        <v>773</v>
      </c>
      <c r="F2" s="7">
        <f>IFERROR(__xludf.DUMMYFUNCTION("COUNTIF(FILTER(C4:C4257,BYROW(B4:B4257,LAMBDA(row,SUBTOTAL(103,row)))),3)"),1131.0)</f>
        <v>1131</v>
      </c>
      <c r="G2" s="7">
        <f>IFERROR(__xludf.DUMMYFUNCTION("COUNTIF(FILTER(C4:C4257,BYROW(B4:B4257,LAMBDA(row,SUBTOTAL(103,row)))),4)"),931.0)</f>
        <v>931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26.25" customHeight="1">
      <c r="A3" s="8" t="s">
        <v>5</v>
      </c>
      <c r="B3" s="9" t="s">
        <v>6</v>
      </c>
      <c r="C3" s="10" t="s">
        <v>7</v>
      </c>
      <c r="D3" s="10" t="s">
        <v>8</v>
      </c>
      <c r="E3" s="9" t="s">
        <v>9</v>
      </c>
      <c r="F3" s="9" t="s">
        <v>10</v>
      </c>
      <c r="G3" s="11" t="s">
        <v>11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>
      <c r="A4" s="13" t="s">
        <v>12</v>
      </c>
      <c r="B4" s="13" t="s">
        <v>13</v>
      </c>
      <c r="C4" s="14">
        <v>1.0</v>
      </c>
      <c r="D4" s="15">
        <v>380.0</v>
      </c>
      <c r="E4" s="15">
        <v>1.0</v>
      </c>
      <c r="F4" s="16" t="str">
        <f t="array" ref="F4">"https://www.google.com/maps/search/?api=1&amp;query=" &amp; A4 &amp; "," &amp; B4</f>
        <v>https://www.google.com/maps/search/?api=1&amp;query=-30.9085623369631,-55.5418202149917</v>
      </c>
      <c r="G4" s="16" t="str">
        <f t="array" ref="G4">"https://earth.google.com/web/search/" &amp; A4 &amp; "," &amp; B4</f>
        <v>https://earth.google.com/web/search/-30.9085623369631,-55.5418202149917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ht="26.25" customHeight="1">
      <c r="A5" s="17" t="s">
        <v>14</v>
      </c>
      <c r="B5" s="18" t="s">
        <v>15</v>
      </c>
      <c r="C5" s="14">
        <v>1.0</v>
      </c>
      <c r="D5" s="15">
        <v>380.0</v>
      </c>
      <c r="E5" s="15">
        <v>2.0</v>
      </c>
      <c r="F5" s="16" t="str">
        <f t="array" ref="F5">"https://www.google.com/maps/search/?api=1&amp;query=" &amp; A5 &amp; "," &amp; B5</f>
        <v>https://www.google.com/maps/search/?api=1&amp;query=-30.9086786225937,-55.5415908393606</v>
      </c>
      <c r="G5" s="16" t="str">
        <f t="array" ref="G5">"https://earth.google.com/web/search/" &amp; A5 &amp; "," &amp; B5</f>
        <v>https://earth.google.com/web/search/-30.9086786225937,-55.5415908393606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ht="26.25" customHeight="1">
      <c r="A6" s="19" t="s">
        <v>16</v>
      </c>
      <c r="B6" s="18" t="s">
        <v>17</v>
      </c>
      <c r="C6" s="14">
        <v>1.0</v>
      </c>
      <c r="D6" s="15">
        <v>380.0</v>
      </c>
      <c r="E6" s="15">
        <v>3.0</v>
      </c>
      <c r="F6" s="16" t="str">
        <f t="array" ref="F6">"https://www.google.com/maps/search/?api=1&amp;query=" &amp; A6 &amp; "," &amp; B6</f>
        <v>https://www.google.com/maps/search/?api=1&amp;query=-30.9087625761143,-55.5414192426538</v>
      </c>
      <c r="G6" s="16" t="str">
        <f t="array" ref="G6">"https://earth.google.com/web/search/" &amp; A6 &amp; "," &amp; B6</f>
        <v>https://earth.google.com/web/search/-30.9087625761143,-55.5414192426538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ht="26.25" customHeight="1">
      <c r="A7" s="17" t="s">
        <v>18</v>
      </c>
      <c r="B7" s="18" t="s">
        <v>19</v>
      </c>
      <c r="C7" s="14">
        <v>1.0</v>
      </c>
      <c r="D7" s="15">
        <v>380.0</v>
      </c>
      <c r="E7" s="15">
        <v>4.0</v>
      </c>
      <c r="F7" s="16" t="str">
        <f t="array" ref="F7">"https://www.google.com/maps/search/?api=1&amp;query=" &amp; A7 &amp; "," &amp; B7</f>
        <v>https://www.google.com/maps/search/?api=1&amp;query=-3.0908807464794,-55.5413455882343</v>
      </c>
      <c r="G7" s="16" t="str">
        <f t="array" ref="G7">"https://earth.google.com/web/search/" &amp; A7 &amp; "," &amp; B7</f>
        <v>https://earth.google.com/web/search/-3.0908807464794,-55.5413455882343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ht="26.25" customHeight="1">
      <c r="A8" s="17" t="s">
        <v>20</v>
      </c>
      <c r="B8" s="18" t="s">
        <v>21</v>
      </c>
      <c r="C8" s="14">
        <v>1.0</v>
      </c>
      <c r="D8" s="15">
        <v>380.0</v>
      </c>
      <c r="E8" s="15">
        <v>5.0</v>
      </c>
      <c r="F8" s="16" t="str">
        <f t="array" ref="F8">"https://www.google.com/maps/search/?api=1&amp;query=" &amp; A8 &amp; "," &amp; B8</f>
        <v>https://www.google.com/maps/search/?api=1&amp;query=-30.9084599238673,-55.5410184784325</v>
      </c>
      <c r="G8" s="16" t="str">
        <f t="array" ref="G8">"https://earth.google.com/web/search/" &amp; A8 &amp; "," &amp; B8</f>
        <v>https://earth.google.com/web/search/-30.9084599238673,-55.5410184784325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ht="26.25" customHeight="1">
      <c r="A9" s="17" t="s">
        <v>22</v>
      </c>
      <c r="B9" s="18" t="s">
        <v>23</v>
      </c>
      <c r="C9" s="14">
        <v>1.0</v>
      </c>
      <c r="D9" s="15">
        <v>380.0</v>
      </c>
      <c r="E9" s="15">
        <v>6.0</v>
      </c>
      <c r="F9" s="16" t="str">
        <f t="array" ref="F9">"https://www.google.com/maps/search/?api=1&amp;query=" &amp; A9 &amp; "," &amp; B9</f>
        <v>https://www.google.com/maps/search/?api=1&amp;query=-30.9079826306537,-55.5410682577867</v>
      </c>
      <c r="G9" s="16" t="str">
        <f t="array" ref="G9">"https://earth.google.com/web/search/" &amp; A9 &amp; "," &amp; B9</f>
        <v>https://earth.google.com/web/search/-30.9079826306537,-55.5410682577867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ht="26.25" customHeight="1">
      <c r="A10" s="17" t="s">
        <v>24</v>
      </c>
      <c r="B10" s="18" t="s">
        <v>25</v>
      </c>
      <c r="C10" s="14">
        <v>1.0</v>
      </c>
      <c r="D10" s="15">
        <v>380.0</v>
      </c>
      <c r="E10" s="15">
        <v>7.0</v>
      </c>
      <c r="F10" s="16" t="str">
        <f t="array" ref="F10">"https://www.google.com/maps/search/?api=1&amp;query=" &amp; A10 &amp; "," &amp; B10</f>
        <v>https://www.google.com/maps/search/?api=1&amp;query=-30.9078322812076,-55.5416879006129</v>
      </c>
      <c r="G10" s="16" t="str">
        <f t="array" ref="G10">"https://earth.google.com/web/search/" &amp; A10 &amp; "," &amp; B10</f>
        <v>https://earth.google.com/web/search/-30.9078322812076,-55.5416879006129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ht="26.25" customHeight="1">
      <c r="A11" s="17" t="s">
        <v>26</v>
      </c>
      <c r="B11" s="18" t="s">
        <v>27</v>
      </c>
      <c r="C11" s="14">
        <v>1.0</v>
      </c>
      <c r="D11" s="15">
        <v>380.0</v>
      </c>
      <c r="E11" s="15">
        <v>8.0</v>
      </c>
      <c r="F11" s="16" t="str">
        <f t="array" ref="F11">"https://www.google.com/maps/search/?api=1&amp;query=" &amp; A11 &amp; "," &amp; B11</f>
        <v>https://www.google.com/maps/search/?api=1&amp;query=-3.0907949434123,-55.5417827169845</v>
      </c>
      <c r="G11" s="16" t="str">
        <f t="array" ref="G11">"https://earth.google.com/web/search/" &amp; A11 &amp; "," &amp; B11</f>
        <v>https://earth.google.com/web/search/-3.0907949434123,-55.5417827169845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ht="26.25" customHeight="1">
      <c r="A12" s="17" t="s">
        <v>28</v>
      </c>
      <c r="B12" s="18" t="s">
        <v>29</v>
      </c>
      <c r="C12" s="14">
        <v>1.0</v>
      </c>
      <c r="D12" s="15">
        <v>380.0</v>
      </c>
      <c r="E12" s="15">
        <v>9.0</v>
      </c>
      <c r="F12" s="16" t="str">
        <f t="array" ref="F12">"https://www.google.com/maps/search/?api=1&amp;query=" &amp; A12 &amp; "," &amp; B12</f>
        <v>https://www.google.com/maps/search/?api=1&amp;query=-30.9080100681708,-55.5418156220984</v>
      </c>
      <c r="G12" s="16" t="str">
        <f t="array" ref="G12">"https://earth.google.com/web/search/" &amp; A12 &amp; "," &amp; B12</f>
        <v>https://earth.google.com/web/search/-30.9080100681708,-55.5418156220984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ht="26.25" customHeight="1">
      <c r="A13" s="17" t="s">
        <v>30</v>
      </c>
      <c r="B13" s="18" t="s">
        <v>31</v>
      </c>
      <c r="C13" s="14">
        <v>1.0</v>
      </c>
      <c r="D13" s="15">
        <v>380.0</v>
      </c>
      <c r="E13" s="15">
        <v>10.0</v>
      </c>
      <c r="F13" s="16" t="str">
        <f t="array" ref="F13">"https://www.google.com/maps/search/?api=1&amp;query=" &amp; A13 &amp; "," &amp; B13</f>
        <v>https://www.google.com/maps/search/?api=1&amp;query=-30.9081135870265,-55.5419103805931</v>
      </c>
      <c r="G13" s="16" t="str">
        <f t="array" ref="G13">"https://earth.google.com/web/search/" &amp; A13 &amp; "," &amp; B13</f>
        <v>https://earth.google.com/web/search/-30.9081135870265,-55.5419103805931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ht="26.25" customHeight="1">
      <c r="A14" s="17" t="s">
        <v>32</v>
      </c>
      <c r="B14" s="18" t="s">
        <v>33</v>
      </c>
      <c r="C14" s="14">
        <v>1.0</v>
      </c>
      <c r="D14" s="15">
        <v>381.0</v>
      </c>
      <c r="E14" s="15">
        <v>1.0</v>
      </c>
      <c r="F14" s="16" t="str">
        <f t="array" ref="F14">"https://www.google.com/maps/search/?api=1&amp;query=" &amp; A14 &amp; "," &amp; B14</f>
        <v>https://www.google.com/maps/search/?api=1&amp;query=-30.9082121113853,-55.5424420073895</v>
      </c>
      <c r="G14" s="16" t="str">
        <f t="array" ref="G14">"https://earth.google.com/web/search/" &amp; A14 &amp; "," &amp; B14</f>
        <v>https://earth.google.com/web/search/-30.9082121113853,-55.5424420073895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ht="26.25" customHeight="1">
      <c r="A15" s="17" t="s">
        <v>34</v>
      </c>
      <c r="B15" s="18" t="s">
        <v>35</v>
      </c>
      <c r="C15" s="14">
        <v>1.0</v>
      </c>
      <c r="D15" s="15">
        <v>381.0</v>
      </c>
      <c r="E15" s="15">
        <v>2.0</v>
      </c>
      <c r="F15" s="16" t="str">
        <f t="array" ref="F15">"https://www.google.com/maps/search/?api=1&amp;query=" &amp; A15 &amp; "," &amp; B15</f>
        <v>https://www.google.com/maps/search/?api=1&amp;query=-30.9083080232214,-55.5422930184486</v>
      </c>
      <c r="G15" s="16" t="str">
        <f t="array" ref="G15">"https://earth.google.com/web/search/" &amp; A15 &amp; "," &amp; B15</f>
        <v>https://earth.google.com/web/search/-30.9083080232214,-55.5422930184486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ht="26.25" customHeight="1">
      <c r="A16" s="17" t="s">
        <v>36</v>
      </c>
      <c r="B16" s="18" t="s">
        <v>37</v>
      </c>
      <c r="C16" s="14">
        <v>1.0</v>
      </c>
      <c r="D16" s="15">
        <v>381.0</v>
      </c>
      <c r="E16" s="15">
        <v>3.0</v>
      </c>
      <c r="F16" s="16" t="str">
        <f t="array" ref="F16">"https://www.google.com/maps/search/?api=1&amp;query=" &amp; A16 &amp; "," &amp; B16</f>
        <v>https://www.google.com/maps/search/?api=1&amp;query=-30.9081344080317,-55.5420404251968</v>
      </c>
      <c r="G16" s="16" t="str">
        <f t="array" ref="G16">"https://earth.google.com/web/search/" &amp; A16 &amp; "," &amp; B16</f>
        <v>https://earth.google.com/web/search/-30.9081344080317,-55.5420404251968</v>
      </c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ht="26.25" customHeight="1">
      <c r="A17" s="17" t="s">
        <v>38</v>
      </c>
      <c r="B17" s="18" t="s">
        <v>39</v>
      </c>
      <c r="C17" s="14">
        <v>1.0</v>
      </c>
      <c r="D17" s="15">
        <v>381.0</v>
      </c>
      <c r="E17" s="15">
        <v>4.0</v>
      </c>
      <c r="F17" s="16" t="str">
        <f t="array" ref="F17">"https://www.google.com/maps/search/?api=1&amp;query=" &amp; A17 &amp; "," &amp; B17</f>
        <v>https://www.google.com/maps/search/?api=1&amp;query=-3.0907749592464,-55.5417715928406</v>
      </c>
      <c r="G17" s="16" t="str">
        <f t="array" ref="G17">"https://earth.google.com/web/search/" &amp; A17 &amp; "," &amp; B17</f>
        <v>https://earth.google.com/web/search/-3.0907749592464,-55.5417715928406</v>
      </c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ht="26.25" customHeight="1">
      <c r="A18" s="17" t="s">
        <v>40</v>
      </c>
      <c r="B18" s="18" t="s">
        <v>41</v>
      </c>
      <c r="C18" s="14">
        <v>1.0</v>
      </c>
      <c r="D18" s="15">
        <v>381.0</v>
      </c>
      <c r="E18" s="15">
        <v>5.0</v>
      </c>
      <c r="F18" s="16" t="str">
        <f t="array" ref="F18">"https://www.google.com/maps/search/?api=1&amp;query=" &amp; A18 &amp; "," &amp; B18</f>
        <v>https://www.google.com/maps/search/?api=1&amp;query=-3.0907480214178,-55.5420297790972</v>
      </c>
      <c r="G18" s="16" t="str">
        <f t="array" ref="G18">"https://earth.google.com/web/search/" &amp; A18 &amp; "," &amp; B18</f>
        <v>https://earth.google.com/web/search/-3.0907480214178,-55.5420297790972</v>
      </c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ht="26.25" customHeight="1">
      <c r="A19" s="17" t="s">
        <v>42</v>
      </c>
      <c r="B19" s="18" t="s">
        <v>43</v>
      </c>
      <c r="C19" s="14">
        <v>1.0</v>
      </c>
      <c r="D19" s="15">
        <v>381.0</v>
      </c>
      <c r="E19" s="15">
        <v>6.0</v>
      </c>
      <c r="F19" s="16" t="str">
        <f t="array" ref="F19">"https://www.google.com/maps/search/?api=1&amp;query=" &amp; A19 &amp; "," &amp; B19</f>
        <v>https://www.google.com/maps/search/?api=1&amp;query=-30.9074482802175,-55.5420887869302</v>
      </c>
      <c r="G19" s="16" t="str">
        <f t="array" ref="G19">"https://earth.google.com/web/search/" &amp; A19 &amp; "," &amp; B19</f>
        <v>https://earth.google.com/web/search/-30.9074482802175,-55.5420887869302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ht="26.25" customHeight="1">
      <c r="A20" s="17" t="s">
        <v>44</v>
      </c>
      <c r="B20" s="18" t="s">
        <v>45</v>
      </c>
      <c r="C20" s="14">
        <v>1.0</v>
      </c>
      <c r="D20" s="15">
        <v>381.0</v>
      </c>
      <c r="E20" s="15">
        <v>7.0</v>
      </c>
      <c r="F20" s="16" t="str">
        <f t="array" ref="F20">"https://www.google.com/maps/search/?api=1&amp;query=" &amp; A20 &amp; "," &amp; B20</f>
        <v>https://www.google.com/maps/search/?api=1&amp;query=-30.9073537140691,-55.5422311231855</v>
      </c>
      <c r="G20" s="16" t="str">
        <f t="array" ref="G20">"https://earth.google.com/web/search/" &amp; A20 &amp; "," &amp; B20</f>
        <v>https://earth.google.com/web/search/-30.9073537140691,-55.5422311231855</v>
      </c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ht="26.25" customHeight="1">
      <c r="A21" s="17" t="s">
        <v>46</v>
      </c>
      <c r="B21" s="18" t="s">
        <v>47</v>
      </c>
      <c r="C21" s="14">
        <v>1.0</v>
      </c>
      <c r="D21" s="15">
        <v>381.0</v>
      </c>
      <c r="E21" s="15">
        <v>8.0</v>
      </c>
      <c r="F21" s="16" t="str">
        <f t="array" ref="F21">"https://www.google.com/maps/search/?api=1&amp;query=" &amp; A21 &amp; "," &amp; B21</f>
        <v>https://www.google.com/maps/search/?api=1&amp;query=-30.9073077100211,-55.5423590117613</v>
      </c>
      <c r="G21" s="16" t="str">
        <f t="array" ref="G21">"https://earth.google.com/web/search/" &amp; A21 &amp; "," &amp; B21</f>
        <v>https://earth.google.com/web/search/-30.9073077100211,-55.5423590117613</v>
      </c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ht="26.25" customHeight="1">
      <c r="A22" s="17" t="s">
        <v>48</v>
      </c>
      <c r="B22" s="18" t="s">
        <v>49</v>
      </c>
      <c r="C22" s="14">
        <v>1.0</v>
      </c>
      <c r="D22" s="15">
        <v>381.0</v>
      </c>
      <c r="E22" s="15">
        <v>9.0</v>
      </c>
      <c r="F22" s="16" t="str">
        <f t="array" ref="F22">"https://www.google.com/maps/search/?api=1&amp;query=" &amp; A22 &amp; "," &amp; B22</f>
        <v>https://www.google.com/maps/search/?api=1&amp;query=-30.9072961761128,-55.5425670856449</v>
      </c>
      <c r="G22" s="16" t="str">
        <f t="array" ref="G22">"https://earth.google.com/web/search/" &amp; A22 &amp; "," &amp; B22</f>
        <v>https://earth.google.com/web/search/-30.9072961761128,-55.5425670856449</v>
      </c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ht="26.25" customHeight="1">
      <c r="A23" s="17" t="s">
        <v>50</v>
      </c>
      <c r="B23" s="18" t="s">
        <v>51</v>
      </c>
      <c r="C23" s="14">
        <v>1.0</v>
      </c>
      <c r="D23" s="15">
        <v>381.0</v>
      </c>
      <c r="E23" s="15">
        <v>10.0</v>
      </c>
      <c r="F23" s="16" t="str">
        <f t="array" ref="F23">"https://www.google.com/maps/search/?api=1&amp;query=" &amp; A23 &amp; "," &amp; B23</f>
        <v>https://www.google.com/maps/search/?api=1&amp;query=-30.9074627076052,-55.5426823250918</v>
      </c>
      <c r="G23" s="16" t="str">
        <f t="array" ref="G23">"https://earth.google.com/web/search/" &amp; A23 &amp; "," &amp; B23</f>
        <v>https://earth.google.com/web/search/-30.9074627076052,-55.5426823250918</v>
      </c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ht="26.25" customHeight="1">
      <c r="A24" s="17" t="s">
        <v>52</v>
      </c>
      <c r="B24" s="18" t="s">
        <v>53</v>
      </c>
      <c r="C24" s="14">
        <v>1.0</v>
      </c>
      <c r="D24" s="15">
        <v>381.0</v>
      </c>
      <c r="E24" s="15">
        <v>11.0</v>
      </c>
      <c r="F24" s="16" t="str">
        <f t="array" ref="F24">"https://www.google.com/maps/search/?api=1&amp;query=" &amp; A24 &amp; "," &amp; B24</f>
        <v>https://www.google.com/maps/search/?api=1&amp;query=-30.9075273857691,-55.5427303207558</v>
      </c>
      <c r="G24" s="16" t="str">
        <f t="array" ref="G24">"https://earth.google.com/web/search/" &amp; A24 &amp; "," &amp; B24</f>
        <v>https://earth.google.com/web/search/-30.9075273857691,-55.5427303207558</v>
      </c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ht="26.25" customHeight="1">
      <c r="A25" s="17" t="s">
        <v>54</v>
      </c>
      <c r="B25" s="18" t="s">
        <v>55</v>
      </c>
      <c r="C25" s="14">
        <v>1.0</v>
      </c>
      <c r="D25" s="15">
        <v>381.0</v>
      </c>
      <c r="E25" s="15">
        <v>12.0</v>
      </c>
      <c r="F25" s="16" t="str">
        <f t="array" ref="F25">"https://www.google.com/maps/search/?api=1&amp;query=" &amp; A25 &amp; "," &amp; B25</f>
        <v>https://www.google.com/maps/search/?api=1&amp;query=-30.9075822782725,-55.5427740294405</v>
      </c>
      <c r="G25" s="16" t="str">
        <f t="array" ref="G25">"https://earth.google.com/web/search/" &amp; A25 &amp; "," &amp; B25</f>
        <v>https://earth.google.com/web/search/-30.9075822782725,-55.5427740294405</v>
      </c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ht="26.25" customHeight="1">
      <c r="A26" s="17" t="s">
        <v>56</v>
      </c>
      <c r="B26" s="18" t="s">
        <v>57</v>
      </c>
      <c r="C26" s="14">
        <v>1.0</v>
      </c>
      <c r="D26" s="15">
        <v>382.0</v>
      </c>
      <c r="E26" s="15">
        <v>1.0</v>
      </c>
      <c r="F26" s="16" t="str">
        <f t="array" ref="F26">"https://www.google.com/maps/search/?api=1&amp;query=" &amp; A26 &amp; "," &amp; B26</f>
        <v>https://www.google.com/maps/search/?api=1&amp;query=-30.9075354914976,-55.5437551141324</v>
      </c>
      <c r="G26" s="16" t="str">
        <f t="array" ref="G26">"https://earth.google.com/web/search/" &amp; A26 &amp; "," &amp; B26</f>
        <v>https://earth.google.com/web/search/-30.9075354914976,-55.5437551141324</v>
      </c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ht="26.25" customHeight="1">
      <c r="A27" s="17" t="s">
        <v>58</v>
      </c>
      <c r="B27" s="18" t="s">
        <v>59</v>
      </c>
      <c r="C27" s="14">
        <v>1.0</v>
      </c>
      <c r="D27" s="15">
        <v>382.0</v>
      </c>
      <c r="E27" s="15">
        <v>2.0</v>
      </c>
      <c r="F27" s="16" t="str">
        <f t="array" ref="F27">"https://www.google.com/maps/search/?api=1&amp;query=" &amp; A27 &amp; "," &amp; B27</f>
        <v>https://www.google.com/maps/search/?api=1&amp;query=-30.9076562242556,-55.5435237631524</v>
      </c>
      <c r="G27" s="16" t="str">
        <f t="array" ref="G27">"https://earth.google.com/web/search/" &amp; A27 &amp; "," &amp; B27</f>
        <v>https://earth.google.com/web/search/-30.9076562242556,-55.5435237631524</v>
      </c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ht="26.25" customHeight="1">
      <c r="A28" s="17" t="s">
        <v>60</v>
      </c>
      <c r="B28" s="18" t="s">
        <v>61</v>
      </c>
      <c r="C28" s="14">
        <v>1.0</v>
      </c>
      <c r="D28" s="15">
        <v>382.0</v>
      </c>
      <c r="E28" s="15">
        <v>3.0</v>
      </c>
      <c r="F28" s="16" t="str">
        <f t="array" ref="F28">"https://www.google.com/maps/search/?api=1&amp;query=" &amp; A28 &amp; "," &amp; B28</f>
        <v>https://www.google.com/maps/search/?api=1&amp;query=-30.9078120862629,-55.5432170505174</v>
      </c>
      <c r="G28" s="16" t="str">
        <f t="array" ref="G28">"https://earth.google.com/web/search/" &amp; A28 &amp; "," &amp; B28</f>
        <v>https://earth.google.com/web/search/-30.9078120862629,-55.5432170505174</v>
      </c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ht="26.25" customHeight="1">
      <c r="A29" s="17" t="s">
        <v>62</v>
      </c>
      <c r="B29" s="18" t="s">
        <v>63</v>
      </c>
      <c r="C29" s="14">
        <v>1.0</v>
      </c>
      <c r="D29" s="15">
        <v>382.0</v>
      </c>
      <c r="E29" s="15">
        <v>4.0</v>
      </c>
      <c r="F29" s="16" t="str">
        <f t="array" ref="F29">"https://www.google.com/maps/search/?api=1&amp;query=" &amp; A29 &amp; "," &amp; B29</f>
        <v>https://www.google.com/maps/search/?api=1&amp;query=-30.9077172691285,-5.5543002679369</v>
      </c>
      <c r="G29" s="16" t="str">
        <f t="array" ref="G29">"https://earth.google.com/web/search/" &amp; A29 &amp; "," &amp; B29</f>
        <v>https://earth.google.com/web/search/-30.9077172691285,-5.5543002679369</v>
      </c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ht="26.25" customHeight="1">
      <c r="A30" s="17" t="s">
        <v>64</v>
      </c>
      <c r="B30" s="18" t="s">
        <v>65</v>
      </c>
      <c r="C30" s="14">
        <v>1.0</v>
      </c>
      <c r="D30" s="15">
        <v>382.0</v>
      </c>
      <c r="E30" s="15">
        <v>5.0</v>
      </c>
      <c r="F30" s="16" t="str">
        <f t="array" ref="F30">"https://www.google.com/maps/search/?api=1&amp;query=" &amp; A30 &amp; "," &amp; B30</f>
        <v>https://www.google.com/maps/search/?api=1&amp;query=-30.9076517954781,-55.5429494585556</v>
      </c>
      <c r="G30" s="16" t="str">
        <f t="array" ref="G30">"https://earth.google.com/web/search/" &amp; A30 &amp; "," &amp; B30</f>
        <v>https://earth.google.com/web/search/-30.9076517954781,-55.5429494585556</v>
      </c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ht="26.25" customHeight="1">
      <c r="A31" s="17" t="s">
        <v>66</v>
      </c>
      <c r="B31" s="18" t="s">
        <v>67</v>
      </c>
      <c r="C31" s="14">
        <v>1.0</v>
      </c>
      <c r="D31" s="15">
        <v>382.0</v>
      </c>
      <c r="E31" s="15">
        <v>6.0</v>
      </c>
      <c r="F31" s="16" t="str">
        <f t="array" ref="F31">"https://www.google.com/maps/search/?api=1&amp;query=" &amp; A31 &amp; "," &amp; B31</f>
        <v>https://www.google.com/maps/search/?api=1&amp;query=-3.0907544758822,-55.5428859069824</v>
      </c>
      <c r="G31" s="16" t="str">
        <f t="array" ref="G31">"https://earth.google.com/web/search/" &amp; A31 &amp; "," &amp; B31</f>
        <v>https://earth.google.com/web/search/-3.0907544758822,-55.5428859069824</v>
      </c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ht="26.25" customHeight="1">
      <c r="A32" s="17" t="s">
        <v>68</v>
      </c>
      <c r="B32" s="18" t="s">
        <v>69</v>
      </c>
      <c r="C32" s="14">
        <v>1.0</v>
      </c>
      <c r="D32" s="15">
        <v>382.0</v>
      </c>
      <c r="E32" s="15">
        <v>7.0</v>
      </c>
      <c r="F32" s="16" t="str">
        <f t="array" ref="F32">"https://www.google.com/maps/search/?api=1&amp;query=" &amp; A32 &amp; "," &amp; B32</f>
        <v>https://www.google.com/maps/search/?api=1&amp;query=-30.9073148888486,-55.5427119831792</v>
      </c>
      <c r="G32" s="16" t="str">
        <f t="array" ref="G32">"https://earth.google.com/web/search/" &amp; A32 &amp; "," &amp; B32</f>
        <v>https://earth.google.com/web/search/-30.9073148888486,-55.5427119831792</v>
      </c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ht="26.25" customHeight="1">
      <c r="A33" s="17" t="s">
        <v>70</v>
      </c>
      <c r="B33" s="18" t="s">
        <v>71</v>
      </c>
      <c r="C33" s="14">
        <v>1.0</v>
      </c>
      <c r="D33" s="15">
        <v>382.0</v>
      </c>
      <c r="E33" s="15">
        <v>8.0</v>
      </c>
      <c r="F33" s="16" t="str">
        <f t="array" ref="F33">"https://www.google.com/maps/search/?api=1&amp;query=" &amp; A33 &amp; "," &amp; B33</f>
        <v>https://www.google.com/maps/search/?api=1&amp;query=-30.9071059743995,-55.5427194527044</v>
      </c>
      <c r="G33" s="16" t="str">
        <f t="array" ref="G33">"https://earth.google.com/web/search/" &amp; A33 &amp; "," &amp; B33</f>
        <v>https://earth.google.com/web/search/-30.9071059743995,-55.5427194527044</v>
      </c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ht="26.25" customHeight="1">
      <c r="A34" s="17" t="s">
        <v>72</v>
      </c>
      <c r="B34" s="18" t="s">
        <v>73</v>
      </c>
      <c r="C34" s="14">
        <v>1.0</v>
      </c>
      <c r="D34" s="15">
        <v>382.0</v>
      </c>
      <c r="E34" s="15">
        <v>9.0</v>
      </c>
      <c r="F34" s="16" t="str">
        <f t="array" ref="F34">"https://www.google.com/maps/search/?api=1&amp;query=" &amp; A34 &amp; "," &amp; B34</f>
        <v>https://www.google.com/maps/search/?api=1&amp;query=-30.9068740946408,-55.5431574555906</v>
      </c>
      <c r="G34" s="16" t="str">
        <f t="array" ref="G34">"https://earth.google.com/web/search/" &amp; A34 &amp; "," &amp; B34</f>
        <v>https://earth.google.com/web/search/-30.9068740946408,-55.5431574555906</v>
      </c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ht="26.25" customHeight="1">
      <c r="A35" s="17" t="s">
        <v>74</v>
      </c>
      <c r="B35" s="18" t="s">
        <v>75</v>
      </c>
      <c r="C35" s="14">
        <v>1.0</v>
      </c>
      <c r="D35" s="15">
        <v>382.0</v>
      </c>
      <c r="E35" s="15">
        <v>10.0</v>
      </c>
      <c r="F35" s="16" t="str">
        <f t="array" ref="F35">"https://www.google.com/maps/search/?api=1&amp;query=" &amp; A35 &amp; "," &amp; B35</f>
        <v>https://www.google.com/maps/search/?api=1&amp;query=-30.9068413277749,-55.5432232033536</v>
      </c>
      <c r="G35" s="16" t="str">
        <f t="array" ref="G35">"https://earth.google.com/web/search/" &amp; A35 &amp; "," &amp; B35</f>
        <v>https://earth.google.com/web/search/-30.9068413277749,-55.5432232033536</v>
      </c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ht="26.25" customHeight="1">
      <c r="A36" s="17" t="s">
        <v>76</v>
      </c>
      <c r="B36" s="18" t="s">
        <v>77</v>
      </c>
      <c r="C36" s="14">
        <v>1.0</v>
      </c>
      <c r="D36" s="15">
        <v>382.0</v>
      </c>
      <c r="E36" s="15">
        <v>11.0</v>
      </c>
      <c r="F36" s="16" t="str">
        <f t="array" ref="F36">"https://www.google.com/maps/search/?api=1&amp;query=" &amp; A36 &amp; "," &amp; B36</f>
        <v>https://www.google.com/maps/search/?api=1&amp;query=-30.9067932269615,-55.5433067577572</v>
      </c>
      <c r="G36" s="16" t="str">
        <f t="array" ref="G36">"https://earth.google.com/web/search/" &amp; A36 &amp; "," &amp; B36</f>
        <v>https://earth.google.com/web/search/-30.9067932269615,-55.5433067577572</v>
      </c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ht="26.25" customHeight="1">
      <c r="A37" s="17" t="s">
        <v>78</v>
      </c>
      <c r="B37" s="18" t="s">
        <v>79</v>
      </c>
      <c r="C37" s="14">
        <v>1.0</v>
      </c>
      <c r="D37" s="15">
        <v>382.0</v>
      </c>
      <c r="E37" s="15">
        <v>12.0</v>
      </c>
      <c r="F37" s="16" t="str">
        <f t="array" ref="F37">"https://www.google.com/maps/search/?api=1&amp;query=" &amp; A37 &amp; "," &amp; B37</f>
        <v>https://www.google.com/maps/search/?api=1&amp;query=-30.9067659259172,-55.5434602654541</v>
      </c>
      <c r="G37" s="16" t="str">
        <f t="array" ref="G37">"https://earth.google.com/web/search/" &amp; A37 &amp; "," &amp; B37</f>
        <v>https://earth.google.com/web/search/-30.9067659259172,-55.5434602654541</v>
      </c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ht="26.25" customHeight="1">
      <c r="A38" s="17" t="s">
        <v>80</v>
      </c>
      <c r="B38" s="18" t="s">
        <v>81</v>
      </c>
      <c r="C38" s="14">
        <v>1.0</v>
      </c>
      <c r="D38" s="15">
        <v>382.0</v>
      </c>
      <c r="E38" s="15">
        <v>13.0</v>
      </c>
      <c r="F38" s="16" t="str">
        <f t="array" ref="F38">"https://www.google.com/maps/search/?api=1&amp;query=" &amp; A38 &amp; "," &amp; B38</f>
        <v>https://www.google.com/maps/search/?api=1&amp;query=-30.9068299118868,-55.5434995658306</v>
      </c>
      <c r="G38" s="16" t="str">
        <f t="array" ref="G38">"https://earth.google.com/web/search/" &amp; A38 &amp; "," &amp; B38</f>
        <v>https://earth.google.com/web/search/-30.9068299118868,-55.5434995658306</v>
      </c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ht="26.25" customHeight="1">
      <c r="A39" s="17" t="s">
        <v>82</v>
      </c>
      <c r="B39" s="18" t="s">
        <v>83</v>
      </c>
      <c r="C39" s="14">
        <v>1.0</v>
      </c>
      <c r="D39" s="15">
        <v>382.0</v>
      </c>
      <c r="E39" s="15">
        <v>14.0</v>
      </c>
      <c r="F39" s="16" t="str">
        <f t="array" ref="F39">"https://www.google.com/maps/search/?api=1&amp;query=" &amp; A39 &amp; "," &amp; B39</f>
        <v>https://www.google.com/maps/search/?api=1&amp;query=-30.9070328985863,-55.5436463693993</v>
      </c>
      <c r="G39" s="16" t="str">
        <f t="array" ref="G39">"https://earth.google.com/web/search/" &amp; A39 &amp; "," &amp; B39</f>
        <v>https://earth.google.com/web/search/-30.9070328985863,-55.5436463693993</v>
      </c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ht="26.25" customHeight="1">
      <c r="A40" s="17" t="s">
        <v>84</v>
      </c>
      <c r="B40" s="18" t="s">
        <v>85</v>
      </c>
      <c r="C40" s="14">
        <v>1.0</v>
      </c>
      <c r="D40" s="15">
        <v>382.0</v>
      </c>
      <c r="E40" s="15">
        <v>15.0</v>
      </c>
      <c r="F40" s="16" t="str">
        <f t="array" ref="F40">"https://www.google.com/maps/search/?api=1&amp;query=" &amp; A40 &amp; "," &amp; B40</f>
        <v>https://www.google.com/maps/search/?api=1&amp;query=-30.9071088354935,-55.5436987262569</v>
      </c>
      <c r="G40" s="16" t="str">
        <f t="array" ref="G40">"https://earth.google.com/web/search/" &amp; A40 &amp; "," &amp; B40</f>
        <v>https://earth.google.com/web/search/-30.9071088354935,-55.5436987262569</v>
      </c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ht="26.25" customHeight="1">
      <c r="A41" s="17" t="s">
        <v>86</v>
      </c>
      <c r="B41" s="18" t="s">
        <v>87</v>
      </c>
      <c r="C41" s="14">
        <v>1.0</v>
      </c>
      <c r="D41" s="15">
        <v>382.0</v>
      </c>
      <c r="E41" s="15">
        <v>16.0</v>
      </c>
      <c r="F41" s="16" t="str">
        <f t="array" ref="F41">"https://www.google.com/maps/search/?api=1&amp;query=" &amp; A41 &amp; "," &amp; B41</f>
        <v>https://www.google.com/maps/search/?api=1&amp;query=-30.9071502584214,-55.5437317207205</v>
      </c>
      <c r="G41" s="16" t="str">
        <f t="array" ref="G41">"https://earth.google.com/web/search/" &amp; A41 &amp; "," &amp; B41</f>
        <v>https://earth.google.com/web/search/-30.9071502584214,-55.5437317207205</v>
      </c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ht="26.25" customHeight="1">
      <c r="A42" s="17" t="s">
        <v>88</v>
      </c>
      <c r="B42" s="18" t="s">
        <v>89</v>
      </c>
      <c r="C42" s="14">
        <v>1.0</v>
      </c>
      <c r="D42" s="15">
        <v>382.0</v>
      </c>
      <c r="E42" s="15">
        <v>17.0</v>
      </c>
      <c r="F42" s="16" t="str">
        <f t="array" ref="F42">"https://www.google.com/maps/search/?api=1&amp;query=" &amp; A42 &amp; "," &amp; B42</f>
        <v>https://www.google.com/maps/search/?api=1&amp;query=-30.9072288023408,-55.5437843609142</v>
      </c>
      <c r="G42" s="16" t="str">
        <f t="array" ref="G42">"https://earth.google.com/web/search/" &amp; A42 &amp; "," &amp; B42</f>
        <v>https://earth.google.com/web/search/-30.9072288023408,-55.5437843609142</v>
      </c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ht="26.25" customHeight="1">
      <c r="A43" s="17" t="s">
        <v>90</v>
      </c>
      <c r="B43" s="18" t="s">
        <v>91</v>
      </c>
      <c r="C43" s="14">
        <v>1.0</v>
      </c>
      <c r="D43" s="15">
        <v>382.0</v>
      </c>
      <c r="E43" s="15">
        <v>18.0</v>
      </c>
      <c r="F43" s="16" t="str">
        <f t="array" ref="F43">"https://www.google.com/maps/search/?api=1&amp;query=" &amp; A43 &amp; "," &amp; B43</f>
        <v>https://www.google.com/maps/search/?api=1&amp;query=-30.9073004928676,-55.5438249711472</v>
      </c>
      <c r="G43" s="16" t="str">
        <f t="array" ref="G43">"https://earth.google.com/web/search/" &amp; A43 &amp; "," &amp; B43</f>
        <v>https://earth.google.com/web/search/-30.9073004928676,-55.5438249711472</v>
      </c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ht="26.25" customHeight="1">
      <c r="A44" s="17" t="s">
        <v>92</v>
      </c>
      <c r="B44" s="18" t="s">
        <v>93</v>
      </c>
      <c r="C44" s="14">
        <v>1.0</v>
      </c>
      <c r="D44" s="15">
        <v>383.0</v>
      </c>
      <c r="E44" s="15">
        <v>1.0</v>
      </c>
      <c r="F44" s="16" t="str">
        <f t="array" ref="F44">"https://www.google.com/maps/search/?api=1&amp;query=" &amp; A44 &amp; "," &amp; B44</f>
        <v>https://www.google.com/maps/search/?api=1&amp;query=-30.9071056056609,-55.5445685897008</v>
      </c>
      <c r="G44" s="16" t="str">
        <f t="array" ref="G44">"https://earth.google.com/web/search/" &amp; A44 &amp; "," &amp; B44</f>
        <v>https://earth.google.com/web/search/-30.9071056056609,-55.5445685897008</v>
      </c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ht="26.25" customHeight="1">
      <c r="A45" s="17" t="s">
        <v>94</v>
      </c>
      <c r="B45" s="18" t="s">
        <v>95</v>
      </c>
      <c r="C45" s="14">
        <v>1.0</v>
      </c>
      <c r="D45" s="15">
        <v>383.0</v>
      </c>
      <c r="E45" s="15">
        <v>2.0</v>
      </c>
      <c r="F45" s="16" t="str">
        <f t="array" ref="F45">"https://www.google.com/maps/search/?api=1&amp;query=" &amp; A45 &amp; "," &amp; B45</f>
        <v>https://www.google.com/maps/search/?api=1&amp;query=-30.9071297727334,-55.5445367111796</v>
      </c>
      <c r="G45" s="16" t="str">
        <f t="array" ref="G45">"https://earth.google.com/web/search/" &amp; A45 &amp; "," &amp; B45</f>
        <v>https://earth.google.com/web/search/-30.9071297727334,-55.5445367111796</v>
      </c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ht="26.25" customHeight="1">
      <c r="A46" s="17" t="s">
        <v>96</v>
      </c>
      <c r="B46" s="18" t="s">
        <v>97</v>
      </c>
      <c r="C46" s="14">
        <v>1.0</v>
      </c>
      <c r="D46" s="15">
        <v>383.0</v>
      </c>
      <c r="E46" s="15">
        <v>3.0</v>
      </c>
      <c r="F46" s="16" t="str">
        <f t="array" ref="F46">"https://www.google.com/maps/search/?api=1&amp;query=" &amp; A46 &amp; "," &amp; B46</f>
        <v>https://www.google.com/maps/search/?api=1&amp;query=-30.9071733943285,-55.5444300996043</v>
      </c>
      <c r="G46" s="16" t="str">
        <f t="array" ref="G46">"https://earth.google.com/web/search/" &amp; A46 &amp; "," &amp; B46</f>
        <v>https://earth.google.com/web/search/-30.9071733943285,-55.5444300996043</v>
      </c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ht="26.25" customHeight="1">
      <c r="A47" s="17" t="s">
        <v>98</v>
      </c>
      <c r="B47" s="18" t="s">
        <v>99</v>
      </c>
      <c r="C47" s="14">
        <v>1.0</v>
      </c>
      <c r="D47" s="15">
        <v>383.0</v>
      </c>
      <c r="E47" s="15">
        <v>4.0</v>
      </c>
      <c r="F47" s="16" t="str">
        <f t="array" ref="F47">"https://www.google.com/maps/search/?api=1&amp;query=" &amp; A47 &amp; "," &amp; B47</f>
        <v>https://www.google.com/maps/search/?api=1&amp;query=-30.9072143978296,-55.5443573171663</v>
      </c>
      <c r="G47" s="16" t="str">
        <f t="array" ref="G47">"https://earth.google.com/web/search/" &amp; A47 &amp; "," &amp; B47</f>
        <v>https://earth.google.com/web/search/-30.9072143978296,-55.5443573171663</v>
      </c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ht="26.25" customHeight="1">
      <c r="A48" s="17" t="s">
        <v>100</v>
      </c>
      <c r="B48" s="18" t="s">
        <v>101</v>
      </c>
      <c r="C48" s="14">
        <v>1.0</v>
      </c>
      <c r="D48" s="15">
        <v>383.0</v>
      </c>
      <c r="E48" s="15">
        <v>5.0</v>
      </c>
      <c r="F48" s="16" t="str">
        <f t="array" ref="F48">"https://www.google.com/maps/search/?api=1&amp;query=" &amp; A48 &amp; "," &amp; B48</f>
        <v>https://www.google.com/maps/search/?api=1&amp;query=-30.9070738360768,-55.5437918760122</v>
      </c>
      <c r="G48" s="16" t="str">
        <f t="array" ref="G48">"https://earth.google.com/web/search/" &amp; A48 &amp; "," &amp; B48</f>
        <v>https://earth.google.com/web/search/-30.9070738360768,-55.5437918760122</v>
      </c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ht="26.25" customHeight="1">
      <c r="A49" s="17" t="s">
        <v>102</v>
      </c>
      <c r="B49" s="18" t="s">
        <v>103</v>
      </c>
      <c r="C49" s="14">
        <v>1.0</v>
      </c>
      <c r="D49" s="15">
        <v>383.0</v>
      </c>
      <c r="E49" s="15">
        <v>6.0</v>
      </c>
      <c r="F49" s="16" t="str">
        <f t="array" ref="F49">"https://www.google.com/maps/search/?api=1&amp;query=" &amp; A49 &amp; "," &amp; B49</f>
        <v>https://www.google.com/maps/search/?api=1&amp;query=-30.9070262533773,-55.5437583170688</v>
      </c>
      <c r="G49" s="16" t="str">
        <f t="array" ref="G49">"https://earth.google.com/web/search/" &amp; A49 &amp; "," &amp; B49</f>
        <v>https://earth.google.com/web/search/-30.9070262533773,-55.5437583170688</v>
      </c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ht="26.25" customHeight="1">
      <c r="A50" s="17" t="s">
        <v>104</v>
      </c>
      <c r="B50" s="18" t="s">
        <v>105</v>
      </c>
      <c r="C50" s="14">
        <v>1.0</v>
      </c>
      <c r="D50" s="15">
        <v>383.0</v>
      </c>
      <c r="E50" s="15">
        <v>7.0</v>
      </c>
      <c r="F50" s="16" t="str">
        <f t="array" ref="F50">"https://www.google.com/maps/search/?api=1&amp;query=" &amp; A50 &amp; "," &amp; B50</f>
        <v>https://www.google.com/maps/search/?api=1&amp;query=-30.9069785384216,-55.5437182302132</v>
      </c>
      <c r="G50" s="16" t="str">
        <f t="array" ref="G50">"https://earth.google.com/web/search/" &amp; A50 &amp; "," &amp; B50</f>
        <v>https://earth.google.com/web/search/-30.9069785384216,-55.5437182302132</v>
      </c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ht="26.25" customHeight="1">
      <c r="A51" s="17" t="s">
        <v>106</v>
      </c>
      <c r="B51" s="18" t="s">
        <v>107</v>
      </c>
      <c r="C51" s="14">
        <v>1.0</v>
      </c>
      <c r="D51" s="15">
        <v>383.0</v>
      </c>
      <c r="E51" s="15">
        <v>8.0</v>
      </c>
      <c r="F51" s="16" t="str">
        <f t="array" ref="F51">"https://www.google.com/maps/search/?api=1&amp;query=" &amp; A51 &amp; "," &amp; B51</f>
        <v>https://www.google.com/maps/search/?api=1&amp;query=-30.9068490182866,-55.5436226264196</v>
      </c>
      <c r="G51" s="16" t="str">
        <f t="array" ref="G51">"https://earth.google.com/web/search/" &amp; A51 &amp; "," &amp; B51</f>
        <v>https://earth.google.com/web/search/-30.9068490182866,-55.5436226264196</v>
      </c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ht="26.25" customHeight="1">
      <c r="A52" s="17" t="s">
        <v>108</v>
      </c>
      <c r="B52" s="18" t="s">
        <v>109</v>
      </c>
      <c r="C52" s="14">
        <v>1.0</v>
      </c>
      <c r="D52" s="15">
        <v>383.0</v>
      </c>
      <c r="E52" s="15">
        <v>9.0</v>
      </c>
      <c r="F52" s="16" t="str">
        <f t="array" ref="F52">"https://www.google.com/maps/search/?api=1&amp;query=" &amp; A52 &amp; "," &amp; B52</f>
        <v>https://www.google.com/maps/search/?api=1&amp;query=-30.9067491384722,-55.5435661765314</v>
      </c>
      <c r="G52" s="16" t="str">
        <f t="array" ref="G52">"https://earth.google.com/web/search/" &amp; A52 &amp; "," &amp; B52</f>
        <v>https://earth.google.com/web/search/-30.9067491384722,-55.5435661765314</v>
      </c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ht="26.25" customHeight="1">
      <c r="A53" s="17" t="s">
        <v>110</v>
      </c>
      <c r="B53" s="18" t="s">
        <v>111</v>
      </c>
      <c r="C53" s="14">
        <v>1.0</v>
      </c>
      <c r="D53" s="15">
        <v>383.0</v>
      </c>
      <c r="E53" s="15">
        <v>10.0</v>
      </c>
      <c r="F53" s="16" t="str">
        <f t="array" ref="F53">"https://www.google.com/maps/search/?api=1&amp;query=" &amp; A53 &amp; "," &amp; B53</f>
        <v>https://www.google.com/maps/search/?api=1&amp;query=-30.9065389182527,-5.5543764634981</v>
      </c>
      <c r="G53" s="16" t="str">
        <f t="array" ref="G53">"https://earth.google.com/web/search/" &amp; A53 &amp; "," &amp; B53</f>
        <v>https://earth.google.com/web/search/-30.9065389182527,-5.5543764634981</v>
      </c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ht="26.25" customHeight="1">
      <c r="A54" s="17" t="s">
        <v>112</v>
      </c>
      <c r="B54" s="18" t="s">
        <v>113</v>
      </c>
      <c r="C54" s="14">
        <v>1.0</v>
      </c>
      <c r="D54" s="15">
        <v>383.0</v>
      </c>
      <c r="E54" s="15">
        <v>11.0</v>
      </c>
      <c r="F54" s="16" t="str">
        <f t="array" ref="F54">"https://www.google.com/maps/search/?api=1&amp;query=" &amp; A54 &amp; "," &amp; B54</f>
        <v>https://www.google.com/maps/search/?api=1&amp;query=-30.9064708260981,-55.5439270306378</v>
      </c>
      <c r="G54" s="16" t="str">
        <f t="array" ref="G54">"https://earth.google.com/web/search/" &amp; A54 &amp; "," &amp; B54</f>
        <v>https://earth.google.com/web/search/-30.9064708260981,-55.5439270306378</v>
      </c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ht="26.25" customHeight="1">
      <c r="A55" s="17" t="s">
        <v>114</v>
      </c>
      <c r="B55" s="18" t="s">
        <v>115</v>
      </c>
      <c r="C55" s="14">
        <v>1.0</v>
      </c>
      <c r="D55" s="15">
        <v>383.0</v>
      </c>
      <c r="E55" s="15">
        <v>12.0</v>
      </c>
      <c r="F55" s="16" t="str">
        <f t="array" ref="F55">"https://www.google.com/maps/search/?api=1&amp;query=" &amp; A55 &amp; "," &amp; B55</f>
        <v>https://www.google.com/maps/search/?api=1&amp;query=-30.9063766871876,-55.5440925567203</v>
      </c>
      <c r="G55" s="16" t="str">
        <f t="array" ref="G55">"https://earth.google.com/web/search/" &amp; A55 &amp; "," &amp; B55</f>
        <v>https://earth.google.com/web/search/-30.9063766871876,-55.5440925567203</v>
      </c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ht="26.25" customHeight="1">
      <c r="A56" s="17" t="s">
        <v>116</v>
      </c>
      <c r="B56" s="18" t="s">
        <v>117</v>
      </c>
      <c r="C56" s="14">
        <v>1.0</v>
      </c>
      <c r="D56" s="15">
        <v>383.0</v>
      </c>
      <c r="E56" s="15">
        <v>13.0</v>
      </c>
      <c r="F56" s="16" t="str">
        <f t="array" ref="F56">"https://www.google.com/maps/search/?api=1&amp;query=" &amp; A56 &amp; "," &amp; B56</f>
        <v>https://www.google.com/maps/search/?api=1&amp;query=-30.9063286471819,-55.5441819980959</v>
      </c>
      <c r="G56" s="16" t="str">
        <f t="array" ref="G56">"https://earth.google.com/web/search/" &amp; A56 &amp; "," &amp; B56</f>
        <v>https://earth.google.com/web/search/-30.9063286471819,-55.5441819980959</v>
      </c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ht="26.25" customHeight="1">
      <c r="A57" s="17" t="s">
        <v>118</v>
      </c>
      <c r="B57" s="18" t="s">
        <v>119</v>
      </c>
      <c r="C57" s="14">
        <v>1.0</v>
      </c>
      <c r="D57" s="15">
        <v>383.0</v>
      </c>
      <c r="E57" s="15">
        <v>14.0</v>
      </c>
      <c r="F57" s="16" t="str">
        <f t="array" ref="F57">"https://www.google.com/maps/search/?api=1&amp;query=" &amp; A57 &amp; "," &amp; B57</f>
        <v>https://www.google.com/maps/search/?api=1&amp;query=-3.0906305108685,-55.5443622899591</v>
      </c>
      <c r="G57" s="16" t="str">
        <f t="array" ref="G57">"https://earth.google.com/web/search/" &amp; A57 &amp; "," &amp; B57</f>
        <v>https://earth.google.com/web/search/-3.0906305108685,-55.5443622899591</v>
      </c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ht="26.25" customHeight="1">
      <c r="A58" s="17" t="s">
        <v>120</v>
      </c>
      <c r="B58" s="18" t="s">
        <v>121</v>
      </c>
      <c r="C58" s="14">
        <v>1.0</v>
      </c>
      <c r="D58" s="15">
        <v>373.0</v>
      </c>
      <c r="E58" s="15">
        <v>15.0</v>
      </c>
      <c r="F58" s="16" t="str">
        <f t="array" ref="F58">"https://www.google.com/maps/search/?api=1&amp;query=" &amp; A58 &amp; "," &amp; B58</f>
        <v>https://www.google.com/maps/search/?api=1&amp;query=-30.9063607014925,-55.5443985830834</v>
      </c>
      <c r="G58" s="16" t="str">
        <f t="array" ref="G58">"https://earth.google.com/web/search/" &amp; A58 &amp; "," &amp; B58</f>
        <v>https://earth.google.com/web/search/-30.9063607014925,-55.5443985830834</v>
      </c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ht="26.25" customHeight="1">
      <c r="A59" s="17" t="s">
        <v>122</v>
      </c>
      <c r="B59" s="18" t="s">
        <v>123</v>
      </c>
      <c r="C59" s="14">
        <v>1.0</v>
      </c>
      <c r="D59" s="15">
        <v>383.0</v>
      </c>
      <c r="E59" s="15">
        <v>16.0</v>
      </c>
      <c r="F59" s="16" t="str">
        <f t="array" ref="F59">"https://www.google.com/maps/search/?api=1&amp;query=" &amp; A59 &amp; "," &amp; B59</f>
        <v>https://www.google.com/maps/search/?api=1&amp;query=-30.9064684296088,-55.5444848959363</v>
      </c>
      <c r="G59" s="16" t="str">
        <f t="array" ref="G59">"https://earth.google.com/web/search/" &amp; A59 &amp; "," &amp; B59</f>
        <v>https://earth.google.com/web/search/-30.9064684296088,-55.5444848959363</v>
      </c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ht="26.25" customHeight="1">
      <c r="A60" s="17" t="s">
        <v>124</v>
      </c>
      <c r="B60" s="18" t="s">
        <v>125</v>
      </c>
      <c r="C60" s="14">
        <v>1.0</v>
      </c>
      <c r="D60" s="15">
        <v>383.0</v>
      </c>
      <c r="E60" s="15">
        <v>17.0</v>
      </c>
      <c r="F60" s="16" t="str">
        <f t="array" ref="F60">"https://www.google.com/maps/search/?api=1&amp;query=" &amp; A60 &amp; "," &amp; B60</f>
        <v>https://www.google.com/maps/search/?api=1&amp;query=-3.0906548129111,-5.5544538307502</v>
      </c>
      <c r="G60" s="16" t="str">
        <f t="array" ref="G60">"https://earth.google.com/web/search/" &amp; A60 &amp; "," &amp; B60</f>
        <v>https://earth.google.com/web/search/-3.0906548129111,-5.5544538307502</v>
      </c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ht="26.25" customHeight="1">
      <c r="A61" s="17" t="s">
        <v>126</v>
      </c>
      <c r="B61" s="18" t="s">
        <v>127</v>
      </c>
      <c r="C61" s="14">
        <v>1.0</v>
      </c>
      <c r="D61" s="15">
        <v>383.0</v>
      </c>
      <c r="E61" s="15">
        <v>18.0</v>
      </c>
      <c r="F61" s="16" t="str">
        <f t="array" ref="F61">"https://www.google.com/maps/search/?api=1&amp;query=" &amp; A61 &amp; "," &amp; B61</f>
        <v>https://www.google.com/maps/search/?api=1&amp;query=-30.9066962702298,-5.5544640998411</v>
      </c>
      <c r="G61" s="16" t="str">
        <f t="array" ref="G61">"https://earth.google.com/web/search/" &amp; A61 &amp; "," &amp; B61</f>
        <v>https://earth.google.com/web/search/-30.9066962702298,-5.5544640998411</v>
      </c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ht="26.25" customHeight="1">
      <c r="A62" s="17" t="s">
        <v>128</v>
      </c>
      <c r="B62" s="18" t="s">
        <v>129</v>
      </c>
      <c r="C62" s="14">
        <v>1.0</v>
      </c>
      <c r="D62" s="15">
        <v>383.0</v>
      </c>
      <c r="E62" s="15">
        <v>19.0</v>
      </c>
      <c r="F62" s="16" t="str">
        <f t="array" ref="F62">"https://www.google.com/maps/search/?api=1&amp;query=" &amp; A62 &amp; "," &amp; B62</f>
        <v>https://www.google.com/maps/search/?api=1&amp;query=-30.9067750827534,-55.5447095557594</v>
      </c>
      <c r="G62" s="16" t="str">
        <f t="array" ref="G62">"https://earth.google.com/web/search/" &amp; A62 &amp; "," &amp; B62</f>
        <v>https://earth.google.com/web/search/-30.9067750827534,-55.5447095557594</v>
      </c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ht="26.25" customHeight="1">
      <c r="A63" s="17" t="s">
        <v>130</v>
      </c>
      <c r="B63" s="18" t="s">
        <v>131</v>
      </c>
      <c r="C63" s="14">
        <v>1.0</v>
      </c>
      <c r="D63" s="15">
        <v>384.0</v>
      </c>
      <c r="E63" s="15">
        <v>1.0</v>
      </c>
      <c r="F63" s="16" t="str">
        <f t="array" ref="F63">"https://www.google.com/maps/search/?api=1&amp;query=" &amp; A63 &amp; "," &amp; B63</f>
        <v>https://www.google.com/maps/search/?api=1&amp;query=-30.9065143760065,-55.5456879469385</v>
      </c>
      <c r="G63" s="16" t="str">
        <f t="array" ref="G63">"https://earth.google.com/web/search/" &amp; A63 &amp; "," &amp; B63</f>
        <v>https://earth.google.com/web/search/-30.9065143760065,-55.5456879469385</v>
      </c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ht="26.25" customHeight="1">
      <c r="A64" s="17" t="s">
        <v>132</v>
      </c>
      <c r="B64" s="18" t="s">
        <v>133</v>
      </c>
      <c r="C64" s="14">
        <v>1.0</v>
      </c>
      <c r="D64" s="15">
        <v>384.0</v>
      </c>
      <c r="E64" s="15">
        <v>2.0</v>
      </c>
      <c r="F64" s="16" t="str">
        <f t="array" ref="F64">"https://www.google.com/maps/search/?api=1&amp;query=" &amp; A64 &amp; "," &amp; B64</f>
        <v>https://www.google.com/maps/search/?api=1&amp;query=-30.9067071339585,-55.5453101737368</v>
      </c>
      <c r="G64" s="16" t="str">
        <f t="array" ref="G64">"https://earth.google.com/web/search/" &amp; A64 &amp; "," &amp; B64</f>
        <v>https://earth.google.com/web/search/-30.9067071339585,-55.5453101737368</v>
      </c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ht="26.25" customHeight="1">
      <c r="A65" s="17" t="s">
        <v>134</v>
      </c>
      <c r="B65" s="18" t="s">
        <v>135</v>
      </c>
      <c r="C65" s="14">
        <v>1.0</v>
      </c>
      <c r="D65" s="15">
        <v>384.0</v>
      </c>
      <c r="E65" s="15">
        <v>3.0</v>
      </c>
      <c r="F65" s="16" t="str">
        <f t="array" ref="F65">"https://www.google.com/maps/search/?api=1&amp;query=" &amp; A65 &amp; "," &amp; B65</f>
        <v>https://www.google.com/maps/search/?api=1&amp;query=-30.9068304019994,-55.5451009550144</v>
      </c>
      <c r="G65" s="16" t="str">
        <f t="array" ref="G65">"https://earth.google.com/web/search/" &amp; A65 &amp; "," &amp; B65</f>
        <v>https://earth.google.com/web/search/-30.9068304019994,-55.5451009550144</v>
      </c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ht="26.25" customHeight="1">
      <c r="A66" s="17" t="s">
        <v>136</v>
      </c>
      <c r="B66" s="18" t="s">
        <v>137</v>
      </c>
      <c r="C66" s="14">
        <v>1.0</v>
      </c>
      <c r="D66" s="15">
        <v>384.0</v>
      </c>
      <c r="E66" s="15">
        <v>4.0</v>
      </c>
      <c r="F66" s="16" t="str">
        <f t="array" ref="F66">"https://www.google.com/maps/search/?api=1&amp;query=" &amp; A66 &amp; "," &amp; B66</f>
        <v>https://www.google.com/maps/search/?api=1&amp;query=-30.9068652321899,-5.5545043402873</v>
      </c>
      <c r="G66" s="16" t="str">
        <f t="array" ref="G66">"https://earth.google.com/web/search/" &amp; A66 &amp; "," &amp; B66</f>
        <v>https://earth.google.com/web/search/-30.9068652321899,-5.5545043402873</v>
      </c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ht="26.25" customHeight="1">
      <c r="A67" s="17" t="s">
        <v>138</v>
      </c>
      <c r="B67" s="18" t="s">
        <v>139</v>
      </c>
      <c r="C67" s="14">
        <v>1.0</v>
      </c>
      <c r="D67" s="15">
        <v>384.0</v>
      </c>
      <c r="E67" s="15">
        <v>5.0</v>
      </c>
      <c r="F67" s="16" t="str">
        <f t="array" ref="F67">"https://www.google.com/maps/search/?api=1&amp;query=" &amp; A67 &amp; "," &amp; B67</f>
        <v>https://www.google.com/maps/search/?api=1&amp;query=-30.9067899708162,-55.5448793834167</v>
      </c>
      <c r="G67" s="16" t="str">
        <f t="array" ref="G67">"https://earth.google.com/web/search/" &amp; A67 &amp; "," &amp; B67</f>
        <v>https://earth.google.com/web/search/-30.9067899708162,-55.5448793834167</v>
      </c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ht="26.25" customHeight="1">
      <c r="A68" s="17" t="s">
        <v>140</v>
      </c>
      <c r="B68" s="18" t="s">
        <v>141</v>
      </c>
      <c r="C68" s="14">
        <v>1.0</v>
      </c>
      <c r="D68" s="15">
        <v>384.0</v>
      </c>
      <c r="E68" s="15">
        <v>6.0</v>
      </c>
      <c r="F68" s="16" t="str">
        <f t="array" ref="F68">"https://www.google.com/maps/search/?api=1&amp;query=" &amp; A68 &amp; "," &amp; B68</f>
        <v>https://www.google.com/maps/search/?api=1&amp;query=-30.9067355577984,-55.5448361613182</v>
      </c>
      <c r="G68" s="16" t="str">
        <f t="array" ref="G68">"https://earth.google.com/web/search/" &amp; A68 &amp; "," &amp; B68</f>
        <v>https://earth.google.com/web/search/-30.9067355577984,-55.5448361613182</v>
      </c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ht="26.25" customHeight="1">
      <c r="A69" s="17" t="s">
        <v>142</v>
      </c>
      <c r="B69" s="18" t="s">
        <v>143</v>
      </c>
      <c r="C69" s="14">
        <v>1.0</v>
      </c>
      <c r="D69" s="15">
        <v>384.0</v>
      </c>
      <c r="E69" s="15">
        <v>7.0</v>
      </c>
      <c r="F69" s="16" t="str">
        <f t="array" ref="F69">"https://www.google.com/maps/search/?api=1&amp;query=" &amp; A69 &amp; "," &amp; B69</f>
        <v>https://www.google.com/maps/search/?api=1&amp;query=-30.9064273984714,-55.5446259307892</v>
      </c>
      <c r="G69" s="16" t="str">
        <f t="array" ref="G69">"https://earth.google.com/web/search/" &amp; A69 &amp; "," &amp; B69</f>
        <v>https://earth.google.com/web/search/-30.9064273984714,-55.5446259307892</v>
      </c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ht="26.25" customHeight="1">
      <c r="A70" s="17" t="s">
        <v>144</v>
      </c>
      <c r="B70" s="18" t="s">
        <v>145</v>
      </c>
      <c r="C70" s="14">
        <v>1.0</v>
      </c>
      <c r="D70" s="15">
        <v>384.0</v>
      </c>
      <c r="E70" s="15">
        <v>8.0</v>
      </c>
      <c r="F70" s="16" t="str">
        <f t="array" ref="F70">"https://www.google.com/maps/search/?api=1&amp;query=" &amp; A70 &amp; "," &amp; B70</f>
        <v>https://www.google.com/maps/search/?api=1&amp;query=-30.9063713001184,-55.5445787690684</v>
      </c>
      <c r="G70" s="16" t="str">
        <f t="array" ref="G70">"https://earth.google.com/web/search/" &amp; A70 &amp; "," &amp; B70</f>
        <v>https://earth.google.com/web/search/-30.9063713001184,-55.5445787690684</v>
      </c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ht="26.25" customHeight="1">
      <c r="A71" s="17" t="s">
        <v>146</v>
      </c>
      <c r="B71" s="18" t="s">
        <v>147</v>
      </c>
      <c r="C71" s="14">
        <v>1.0</v>
      </c>
      <c r="D71" s="15">
        <v>384.0</v>
      </c>
      <c r="E71" s="15">
        <v>9.0</v>
      </c>
      <c r="F71" s="16" t="str">
        <f t="array" ref="F71">"https://www.google.com/maps/search/?api=1&amp;query=" &amp; A71 &amp; "," &amp; B71</f>
        <v>https://www.google.com/maps/search/?api=1&amp;query=-30.9063040304978,-5.5544531208111</v>
      </c>
      <c r="G71" s="16" t="str">
        <f t="array" ref="G71">"https://earth.google.com/web/search/" &amp; A71 &amp; "," &amp; B71</f>
        <v>https://earth.google.com/web/search/-30.9063040304978,-5.5544531208111</v>
      </c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ht="26.25" customHeight="1">
      <c r="A72" s="17" t="s">
        <v>148</v>
      </c>
      <c r="B72" s="18" t="s">
        <v>149</v>
      </c>
      <c r="C72" s="14">
        <v>1.0</v>
      </c>
      <c r="D72" s="15">
        <v>384.0</v>
      </c>
      <c r="E72" s="15">
        <v>10.0</v>
      </c>
      <c r="F72" s="16" t="str">
        <f t="array" ref="F72">"https://www.google.com/maps/search/?api=1&amp;query=" &amp; A72 &amp; "," &amp; B72</f>
        <v>https://www.google.com/maps/search/?api=1&amp;query=-30.9062328673733,-5.5544484298214</v>
      </c>
      <c r="G72" s="16" t="str">
        <f t="array" ref="G72">"https://earth.google.com/web/search/" &amp; A72 &amp; "," &amp; B72</f>
        <v>https://earth.google.com/web/search/-30.9062328673733,-5.5544484298214</v>
      </c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ht="26.25" customHeight="1">
      <c r="A73" s="17" t="s">
        <v>150</v>
      </c>
      <c r="B73" s="18" t="s">
        <v>151</v>
      </c>
      <c r="C73" s="14">
        <v>1.0</v>
      </c>
      <c r="D73" s="15">
        <v>384.0</v>
      </c>
      <c r="E73" s="15">
        <v>11.0</v>
      </c>
      <c r="F73" s="16" t="str">
        <f t="array" ref="F73">"https://www.google.com/maps/search/?api=1&amp;query=" &amp; A73 &amp; "," &amp; B73</f>
        <v>https://www.google.com/maps/search/?api=1&amp;query=-30.9061643849681,-55.5444905776153</v>
      </c>
      <c r="G73" s="16" t="str">
        <f t="array" ref="G73">"https://earth.google.com/web/search/" &amp; A73 &amp; "," &amp; B73</f>
        <v>https://earth.google.com/web/search/-30.9061643849681,-55.5444905776153</v>
      </c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ht="26.25" customHeight="1">
      <c r="A74" s="17" t="s">
        <v>152</v>
      </c>
      <c r="B74" s="18" t="s">
        <v>153</v>
      </c>
      <c r="C74" s="14">
        <v>1.0</v>
      </c>
      <c r="D74" s="15">
        <v>384.0</v>
      </c>
      <c r="E74" s="15">
        <v>12.0</v>
      </c>
      <c r="F74" s="16" t="str">
        <f t="array" ref="F74">"https://www.google.com/maps/search/?api=1&amp;query=" &amp; A74 &amp; "," &amp; B74</f>
        <v>https://www.google.com/maps/search/?api=1&amp;query=-30.9061399539583,-55.5444996871527</v>
      </c>
      <c r="G74" s="16" t="str">
        <f t="array" ref="G74">"https://earth.google.com/web/search/" &amp; A74 &amp; "," &amp; B74</f>
        <v>https://earth.google.com/web/search/-30.9061399539583,-55.5444996871527</v>
      </c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ht="26.25" customHeight="1">
      <c r="A75" s="17" t="s">
        <v>154</v>
      </c>
      <c r="B75" s="18" t="s">
        <v>155</v>
      </c>
      <c r="C75" s="14">
        <v>1.0</v>
      </c>
      <c r="D75" s="15">
        <v>384.0</v>
      </c>
      <c r="E75" s="15">
        <v>13.0</v>
      </c>
      <c r="F75" s="16" t="str">
        <f t="array" ref="F75">"https://www.google.com/maps/search/?api=1&amp;query=" &amp; A75 &amp; "," &amp; B75</f>
        <v>https://www.google.com/maps/search/?api=1&amp;query=-30.9061182941135,-55.5445663472231</v>
      </c>
      <c r="G75" s="16" t="str">
        <f t="array" ref="G75">"https://earth.google.com/web/search/" &amp; A75 &amp; "," &amp; B75</f>
        <v>https://earth.google.com/web/search/-30.9061182941135,-55.5445663472231</v>
      </c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ht="26.25" customHeight="1">
      <c r="A76" s="17" t="s">
        <v>156</v>
      </c>
      <c r="B76" s="18" t="s">
        <v>157</v>
      </c>
      <c r="C76" s="14">
        <v>1.0</v>
      </c>
      <c r="D76" s="15">
        <v>384.0</v>
      </c>
      <c r="E76" s="15">
        <v>14.0</v>
      </c>
      <c r="F76" s="16" t="str">
        <f t="array" ref="F76">"https://www.google.com/maps/search/?api=1&amp;query=" &amp; A76 &amp; "," &amp; B76</f>
        <v>https://www.google.com/maps/search/?api=1&amp;query=-30.9060834419565,-5.5544619211356</v>
      </c>
      <c r="G76" s="16" t="str">
        <f t="array" ref="G76">"https://earth.google.com/web/search/" &amp; A76 &amp; "," &amp; B76</f>
        <v>https://earth.google.com/web/search/-30.9060834419565,-5.5544619211356</v>
      </c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ht="26.25" customHeight="1">
      <c r="A77" s="17" t="s">
        <v>158</v>
      </c>
      <c r="B77" s="18" t="s">
        <v>159</v>
      </c>
      <c r="C77" s="14">
        <v>1.0</v>
      </c>
      <c r="D77" s="15">
        <v>384.0</v>
      </c>
      <c r="E77" s="15">
        <v>15.0</v>
      </c>
      <c r="F77" s="16" t="str">
        <f t="array" ref="F77">"https://www.google.com/maps/search/?api=1&amp;query=" &amp; A77 &amp; "," &amp; B77</f>
        <v>https://www.google.com/maps/search/?api=1&amp;query=-30.9060576304923,-55.5446626974414</v>
      </c>
      <c r="G77" s="16" t="str">
        <f t="array" ref="G77">"https://earth.google.com/web/search/" &amp; A77 &amp; "," &amp; B77</f>
        <v>https://earth.google.com/web/search/-30.9060576304923,-55.5446626974414</v>
      </c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ht="26.25" customHeight="1">
      <c r="A78" s="17" t="s">
        <v>160</v>
      </c>
      <c r="B78" s="18" t="s">
        <v>161</v>
      </c>
      <c r="C78" s="14">
        <v>1.0</v>
      </c>
      <c r="D78" s="15">
        <v>384.0</v>
      </c>
      <c r="E78" s="15">
        <v>15.0</v>
      </c>
      <c r="F78" s="16" t="str">
        <f t="array" ref="F78">"https://www.google.com/maps/search/?api=1&amp;query=" &amp; A78 &amp; "," &amp; B78</f>
        <v>https://www.google.com/maps/search/?api=1&amp;query=-30.9058359210348,-55.5450853124537</v>
      </c>
      <c r="G78" s="16" t="str">
        <f t="array" ref="G78">"https://earth.google.com/web/search/" &amp; A78 &amp; "," &amp; B78</f>
        <v>https://earth.google.com/web/search/-30.9058359210348,-55.5450853124537</v>
      </c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ht="26.25" customHeight="1">
      <c r="A79" s="17" t="s">
        <v>162</v>
      </c>
      <c r="B79" s="18" t="s">
        <v>163</v>
      </c>
      <c r="C79" s="14">
        <v>1.0</v>
      </c>
      <c r="D79" s="15">
        <v>384.0</v>
      </c>
      <c r="E79" s="15">
        <v>16.0</v>
      </c>
      <c r="F79" s="16" t="str">
        <f t="array" ref="F79">"https://www.google.com/maps/search/?api=1&amp;query=" &amp; A79 &amp; "," &amp; B79</f>
        <v>https://www.google.com/maps/search/?api=1&amp;query=-30.9057784144434,-55.5451903806213</v>
      </c>
      <c r="G79" s="16" t="str">
        <f t="array" ref="G79">"https://earth.google.com/web/search/" &amp; A79 &amp; "," &amp; B79</f>
        <v>https://earth.google.com/web/search/-30.9057784144434,-55.5451903806213</v>
      </c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ht="26.25" customHeight="1">
      <c r="A80" s="17" t="s">
        <v>164</v>
      </c>
      <c r="B80" s="18" t="s">
        <v>165</v>
      </c>
      <c r="C80" s="14">
        <v>1.0</v>
      </c>
      <c r="D80" s="15">
        <v>384.0</v>
      </c>
      <c r="E80" s="15">
        <v>17.0</v>
      </c>
      <c r="F80" s="16" t="str">
        <f t="array" ref="F80">"https://www.google.com/maps/search/?api=1&amp;query=" &amp; A80 &amp; "," &amp; B80</f>
        <v>https://www.google.com/maps/search/?api=1&amp;query=-3.0905778305195,-55.5452808490344</v>
      </c>
      <c r="G80" s="16" t="str">
        <f t="array" ref="G80">"https://earth.google.com/web/search/" &amp; A80 &amp; "," &amp; B80</f>
        <v>https://earth.google.com/web/search/-3.0905778305195,-55.5452808490344</v>
      </c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ht="26.25" customHeight="1">
      <c r="A81" s="17" t="s">
        <v>166</v>
      </c>
      <c r="B81" s="18" t="s">
        <v>167</v>
      </c>
      <c r="C81" s="14">
        <v>1.0</v>
      </c>
      <c r="D81" s="15">
        <v>384.0</v>
      </c>
      <c r="E81" s="15">
        <v>18.0</v>
      </c>
      <c r="F81" s="16" t="str">
        <f t="array" ref="F81">"https://www.google.com/maps/search/?api=1&amp;query=" &amp; A81 &amp; "," &amp; B81</f>
        <v>https://www.google.com/maps/search/?api=1&amp;query=-3.0905851879685,-55.5453377524178</v>
      </c>
      <c r="G81" s="16" t="str">
        <f t="array" ref="G81">"https://earth.google.com/web/search/" &amp; A81 &amp; "," &amp; B81</f>
        <v>https://earth.google.com/web/search/-3.0905851879685,-55.5453377524178</v>
      </c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ht="26.25" customHeight="1">
      <c r="A82" s="17" t="s">
        <v>168</v>
      </c>
      <c r="B82" s="18" t="s">
        <v>169</v>
      </c>
      <c r="C82" s="14">
        <v>1.0</v>
      </c>
      <c r="D82" s="15">
        <v>384.0</v>
      </c>
      <c r="E82" s="15">
        <v>19.0</v>
      </c>
      <c r="F82" s="16" t="str">
        <f t="array" ref="F82">"https://www.google.com/maps/search/?api=1&amp;query=" &amp; A82 &amp; "," &amp; B82</f>
        <v>https://www.google.com/maps/search/?api=1&amp;query=-30.9059148324354,-5.5545378410436</v>
      </c>
      <c r="G82" s="16" t="str">
        <f t="array" ref="G82">"https://earth.google.com/web/search/" &amp; A82 &amp; "," &amp; B82</f>
        <v>https://earth.google.com/web/search/-30.9059148324354,-5.5545378410436</v>
      </c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ht="26.25" customHeight="1">
      <c r="A83" s="17" t="s">
        <v>170</v>
      </c>
      <c r="B83" s="18" t="s">
        <v>171</v>
      </c>
      <c r="C83" s="14">
        <v>1.0</v>
      </c>
      <c r="D83" s="15">
        <v>384.0</v>
      </c>
      <c r="E83" s="15">
        <v>20.0</v>
      </c>
      <c r="F83" s="16" t="str">
        <f t="array" ref="F83">"https://www.google.com/maps/search/?api=1&amp;query=" &amp; A83 &amp; "," &amp; B83</f>
        <v>https://www.google.com/maps/search/?api=1&amp;query=-30.9060556086761,-55.5454749565226</v>
      </c>
      <c r="G83" s="16" t="str">
        <f t="array" ref="G83">"https://earth.google.com/web/search/" &amp; A83 &amp; "," &amp; B83</f>
        <v>https://earth.google.com/web/search/-30.9060556086761,-55.5454749565226</v>
      </c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ht="26.25" customHeight="1">
      <c r="A84" s="17" t="s">
        <v>172</v>
      </c>
      <c r="B84" s="18" t="s">
        <v>173</v>
      </c>
      <c r="C84" s="14">
        <v>1.0</v>
      </c>
      <c r="D84" s="15">
        <v>384.0</v>
      </c>
      <c r="E84" s="15">
        <v>21.0</v>
      </c>
      <c r="F84" s="16" t="str">
        <f t="array" ref="F84">"https://www.google.com/maps/search/?api=1&amp;query=" &amp; A84 &amp; "," &amp; B84</f>
        <v>https://www.google.com/maps/search/?api=1&amp;query=-30.9061152722388,-55.5455346446913</v>
      </c>
      <c r="G84" s="16" t="str">
        <f t="array" ref="G84">"https://earth.google.com/web/search/" &amp; A84 &amp; "," &amp; B84</f>
        <v>https://earth.google.com/web/search/-30.9061152722388,-55.5455346446913</v>
      </c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ht="26.25" customHeight="1">
      <c r="A85" s="17" t="s">
        <v>174</v>
      </c>
      <c r="B85" s="18" t="s">
        <v>175</v>
      </c>
      <c r="C85" s="14">
        <v>1.0</v>
      </c>
      <c r="D85" s="15">
        <v>384.0</v>
      </c>
      <c r="E85" s="15">
        <v>22.0</v>
      </c>
      <c r="F85" s="16" t="str">
        <f t="array" ref="F85">"https://www.google.com/maps/search/?api=1&amp;query=" &amp; A85 &amp; "," &amp; B85</f>
        <v>https://www.google.com/maps/search/?api=1&amp;query=-30.9062393566237,-55.5455905929223</v>
      </c>
      <c r="G85" s="16" t="str">
        <f t="array" ref="G85">"https://earth.google.com/web/search/" &amp; A85 &amp; "," &amp; B85</f>
        <v>https://earth.google.com/web/search/-30.9062393566237,-55.5455905929223</v>
      </c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ht="26.25" customHeight="1">
      <c r="A86" s="17" t="s">
        <v>176</v>
      </c>
      <c r="B86" s="18" t="s">
        <v>177</v>
      </c>
      <c r="C86" s="14">
        <v>1.0</v>
      </c>
      <c r="D86" s="15">
        <v>384.0</v>
      </c>
      <c r="E86" s="15">
        <v>23.0</v>
      </c>
      <c r="F86" s="16" t="str">
        <f t="array" ref="F86">"https://www.google.com/maps/search/?api=1&amp;query=" &amp; A86 &amp; "," &amp; B86</f>
        <v>https://www.google.com/maps/search/?api=1&amp;query=-30.9063151655113,-55.5456584383578</v>
      </c>
      <c r="G86" s="16" t="str">
        <f t="array" ref="G86">"https://earth.google.com/web/search/" &amp; A86 &amp; "," &amp; B86</f>
        <v>https://earth.google.com/web/search/-30.9063151655113,-55.5456584383578</v>
      </c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ht="26.25" customHeight="1">
      <c r="A87" s="17" t="s">
        <v>178</v>
      </c>
      <c r="B87" s="18" t="s">
        <v>179</v>
      </c>
      <c r="C87" s="14">
        <v>1.0</v>
      </c>
      <c r="D87" s="15">
        <v>385.0</v>
      </c>
      <c r="E87" s="15">
        <v>1.0</v>
      </c>
      <c r="F87" s="16" t="str">
        <f t="array" ref="F87">"https://www.google.com/maps/search/?api=1&amp;query=" &amp; A87 &amp; "," &amp; B87</f>
        <v>https://www.google.com/maps/search/?api=1&amp;query=-30.9056064797171,-55.5455440067214</v>
      </c>
      <c r="G87" s="16" t="str">
        <f t="array" ref="G87">"https://earth.google.com/web/search/" &amp; A87 &amp; "," &amp; B87</f>
        <v>https://earth.google.com/web/search/-30.9056064797171,-55.5455440067214</v>
      </c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ht="26.25" customHeight="1">
      <c r="A88" s="17" t="s">
        <v>180</v>
      </c>
      <c r="B88" s="18" t="s">
        <v>181</v>
      </c>
      <c r="C88" s="14">
        <v>1.0</v>
      </c>
      <c r="D88" s="15">
        <v>385.0</v>
      </c>
      <c r="E88" s="15">
        <v>2.0</v>
      </c>
      <c r="F88" s="16" t="str">
        <f t="array" ref="F88">"https://www.google.com/maps/search/?api=1&amp;query=" &amp; A88 &amp; "," &amp; B88</f>
        <v>https://www.google.com/maps/search/?api=1&amp;query=-30.9056896451178,-55.5454074275334</v>
      </c>
      <c r="G88" s="16" t="str">
        <f t="array" ref="G88">"https://earth.google.com/web/search/" &amp; A88 &amp; "," &amp; B88</f>
        <v>https://earth.google.com/web/search/-30.9056896451178,-55.5454074275334</v>
      </c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ht="26.25" customHeight="1">
      <c r="A89" s="17" t="s">
        <v>182</v>
      </c>
      <c r="B89" s="18" t="s">
        <v>183</v>
      </c>
      <c r="C89" s="14">
        <v>1.0</v>
      </c>
      <c r="D89" s="15">
        <v>385.0</v>
      </c>
      <c r="E89" s="15">
        <v>3.0</v>
      </c>
      <c r="F89" s="16" t="str">
        <f t="array" ref="F89">"https://www.google.com/maps/search/?api=1&amp;query=" &amp; A89 &amp; "," &amp; B89</f>
        <v>https://www.google.com/maps/search/?api=1&amp;query=-30.9057452741714,-55.5453859453561</v>
      </c>
      <c r="G89" s="16" t="str">
        <f t="array" ref="G89">"https://earth.google.com/web/search/" &amp; A89 &amp; "," &amp; B89</f>
        <v>https://earth.google.com/web/search/-30.9057452741714,-55.5453859453561</v>
      </c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ht="26.25" customHeight="1">
      <c r="A90" s="17" t="s">
        <v>184</v>
      </c>
      <c r="B90" s="18" t="s">
        <v>185</v>
      </c>
      <c r="C90" s="14">
        <v>1.0</v>
      </c>
      <c r="D90" s="15">
        <v>385.0</v>
      </c>
      <c r="E90" s="15">
        <v>4.0</v>
      </c>
      <c r="F90" s="16" t="str">
        <f t="array" ref="F90">"https://www.google.com/maps/search/?api=1&amp;query=" &amp; A90 &amp; "," &amp; B90</f>
        <v>https://www.google.com/maps/search/?api=1&amp;query=-30.9057951514457,-55.5454320159901</v>
      </c>
      <c r="G90" s="16" t="str">
        <f t="array" ref="G90">"https://earth.google.com/web/search/" &amp; A90 &amp; "," &amp; B90</f>
        <v>https://earth.google.com/web/search/-30.9057951514457,-55.5454320159901</v>
      </c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ht="26.25" customHeight="1">
      <c r="A91" s="17" t="s">
        <v>186</v>
      </c>
      <c r="B91" s="18" t="s">
        <v>187</v>
      </c>
      <c r="C91" s="14">
        <v>1.0</v>
      </c>
      <c r="D91" s="15">
        <v>385.0</v>
      </c>
      <c r="E91" s="15">
        <v>5.0</v>
      </c>
      <c r="F91" s="16" t="str">
        <f t="array" ref="F91">"https://www.google.com/maps/search/?api=1&amp;query=" &amp; A91 &amp; "," &amp; B91</f>
        <v>https://www.google.com/maps/search/?api=1&amp;query=-30.9058100235644,-55.5454487557114</v>
      </c>
      <c r="G91" s="16" t="str">
        <f t="array" ref="G91">"https://earth.google.com/web/search/" &amp; A91 &amp; "," &amp; B91</f>
        <v>https://earth.google.com/web/search/-30.9058100235644,-55.5454487557114</v>
      </c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ht="26.25" customHeight="1">
      <c r="A92" s="17" t="s">
        <v>188</v>
      </c>
      <c r="B92" s="18" t="s">
        <v>189</v>
      </c>
      <c r="C92" s="14">
        <v>1.0</v>
      </c>
      <c r="D92" s="15">
        <v>385.0</v>
      </c>
      <c r="E92" s="15">
        <v>6.0</v>
      </c>
      <c r="F92" s="16" t="str">
        <f t="array" ref="F92">"https://www.google.com/maps/search/?api=1&amp;query=" &amp; A92 &amp; "," &amp; B92</f>
        <v>https://www.google.com/maps/search/?api=1&amp;query=-30.9058701221712,-55.5454854122774</v>
      </c>
      <c r="G92" s="16" t="str">
        <f t="array" ref="G92">"https://earth.google.com/web/search/" &amp; A92 &amp; "," &amp; B92</f>
        <v>https://earth.google.com/web/search/-30.9058701221712,-55.5454854122774</v>
      </c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ht="26.25" customHeight="1">
      <c r="A93" s="17" t="s">
        <v>190</v>
      </c>
      <c r="B93" s="18" t="s">
        <v>191</v>
      </c>
      <c r="C93" s="14">
        <v>1.0</v>
      </c>
      <c r="D93" s="15">
        <v>385.0</v>
      </c>
      <c r="E93" s="15">
        <v>7.0</v>
      </c>
      <c r="F93" s="16" t="str">
        <f t="array" ref="F93">"https://www.google.com/maps/search/?api=1&amp;query=" &amp; A93 &amp; "," &amp; B93</f>
        <v>https://www.google.com/maps/search/?api=1&amp;query=-3.0905949462765,-55.5455248362094</v>
      </c>
      <c r="G93" s="16" t="str">
        <f t="array" ref="G93">"https://earth.google.com/web/search/" &amp; A93 &amp; "," &amp; B93</f>
        <v>https://earth.google.com/web/search/-3.0905949462765,-55.5455248362094</v>
      </c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ht="26.25" customHeight="1">
      <c r="A94" s="17" t="s">
        <v>192</v>
      </c>
      <c r="B94" s="18" t="s">
        <v>193</v>
      </c>
      <c r="C94" s="14">
        <v>1.0</v>
      </c>
      <c r="D94" s="15">
        <v>385.0</v>
      </c>
      <c r="E94" s="15">
        <v>8.0</v>
      </c>
      <c r="F94" s="16" t="str">
        <f t="array" ref="F94">"https://www.google.com/maps/search/?api=1&amp;query=" &amp; A94 &amp; "," &amp; B94</f>
        <v>https://www.google.com/maps/search/?api=1&amp;query=-30.9062548627498,-55.5457498348248</v>
      </c>
      <c r="G94" s="16" t="str">
        <f t="array" ref="G94">"https://earth.google.com/web/search/" &amp; A94 &amp; "," &amp; B94</f>
        <v>https://earth.google.com/web/search/-30.9062548627498,-55.5457498348248</v>
      </c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ht="26.25" customHeight="1">
      <c r="A95" s="17" t="s">
        <v>194</v>
      </c>
      <c r="B95" s="18" t="s">
        <v>195</v>
      </c>
      <c r="C95" s="14">
        <v>1.0</v>
      </c>
      <c r="D95" s="15">
        <v>385.0</v>
      </c>
      <c r="E95" s="15">
        <v>9.0</v>
      </c>
      <c r="F95" s="16" t="str">
        <f t="array" ref="F95">"https://www.google.com/maps/search/?api=1&amp;query=" &amp; A95 &amp; "," &amp; B95</f>
        <v>https://www.google.com/maps/search/?api=1&amp;query=-30.9063076508241,-55.5457941553358</v>
      </c>
      <c r="G95" s="16" t="str">
        <f t="array" ref="G95">"https://earth.google.com/web/search/" &amp; A95 &amp; "," &amp; B95</f>
        <v>https://earth.google.com/web/search/-30.9063076508241,-55.5457941553358</v>
      </c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ht="26.25" customHeight="1">
      <c r="A96" s="17" t="s">
        <v>196</v>
      </c>
      <c r="B96" s="18" t="s">
        <v>197</v>
      </c>
      <c r="C96" s="14">
        <v>1.0</v>
      </c>
      <c r="D96" s="15">
        <v>385.0</v>
      </c>
      <c r="E96" s="15">
        <v>10.0</v>
      </c>
      <c r="F96" s="16" t="str">
        <f t="array" ref="F96">"https://www.google.com/maps/search/?api=1&amp;query=" &amp; A96 &amp; "," &amp; B96</f>
        <v>https://www.google.com/maps/search/?api=1&amp;query=-30.9061182946333,-55.5463967142229</v>
      </c>
      <c r="G96" s="16" t="str">
        <f t="array" ref="G96">"https://earth.google.com/web/search/" &amp; A96 &amp; "," &amp; B96</f>
        <v>https://earth.google.com/web/search/-30.9061182946333,-55.5463967142229</v>
      </c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ht="26.25" customHeight="1">
      <c r="A97" s="17" t="s">
        <v>198</v>
      </c>
      <c r="B97" s="18" t="s">
        <v>199</v>
      </c>
      <c r="C97" s="14">
        <v>1.0</v>
      </c>
      <c r="D97" s="15">
        <v>377.0</v>
      </c>
      <c r="E97" s="15">
        <v>1.0</v>
      </c>
      <c r="F97" s="16" t="str">
        <f t="array" ref="F97">"https://www.google.com/maps/search/?api=1&amp;query=" &amp; A97 &amp; "," &amp; B97</f>
        <v>https://www.google.com/maps/search/?api=1&amp;query=-30.9076479347842,-55.5415039207327</v>
      </c>
      <c r="G97" s="16" t="str">
        <f t="array" ref="G97">"https://earth.google.com/web/search/" &amp; A97 &amp; "," &amp; B97</f>
        <v>https://earth.google.com/web/search/-30.9076479347842,-55.5415039207327</v>
      </c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ht="26.25" customHeight="1">
      <c r="A98" s="17" t="s">
        <v>200</v>
      </c>
      <c r="B98" s="18" t="s">
        <v>201</v>
      </c>
      <c r="C98" s="14">
        <v>1.0</v>
      </c>
      <c r="D98" s="15">
        <v>377.0</v>
      </c>
      <c r="E98" s="15">
        <v>2.0</v>
      </c>
      <c r="F98" s="16" t="str">
        <f t="array" ref="F98">"https://www.google.com/maps/search/?api=1&amp;query=" &amp; A98 &amp; "," &amp; B98</f>
        <v>https://www.google.com/maps/search/?api=1&amp;query=-30.9076976105712,-5.5541409622316</v>
      </c>
      <c r="G98" s="16" t="str">
        <f t="array" ref="G98">"https://earth.google.com/web/search/" &amp; A98 &amp; "," &amp; B98</f>
        <v>https://earth.google.com/web/search/-30.9076976105712,-5.5541409622316</v>
      </c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ht="26.25" customHeight="1">
      <c r="A99" s="17" t="s">
        <v>202</v>
      </c>
      <c r="B99" s="18" t="s">
        <v>203</v>
      </c>
      <c r="C99" s="14">
        <v>1.0</v>
      </c>
      <c r="D99" s="15">
        <v>377.0</v>
      </c>
      <c r="E99" s="15">
        <v>3.0</v>
      </c>
      <c r="F99" s="16" t="str">
        <f t="array" ref="F99">"https://www.google.com/maps/search/?api=1&amp;query=" &amp; A99 &amp; "," &amp; B99</f>
        <v>https://www.google.com/maps/search/?api=1&amp;query=-30.9078793389034,-55.5410609998854</v>
      </c>
      <c r="G99" s="16" t="str">
        <f t="array" ref="G99">"https://earth.google.com/web/search/" &amp; A99 &amp; "," &amp; B99</f>
        <v>https://earth.google.com/web/search/-30.9078793389034,-55.5410609998854</v>
      </c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ht="26.25" customHeight="1">
      <c r="A100" s="17" t="s">
        <v>204</v>
      </c>
      <c r="B100" s="18" t="s">
        <v>205</v>
      </c>
      <c r="C100" s="14">
        <v>1.0</v>
      </c>
      <c r="D100" s="15">
        <v>377.0</v>
      </c>
      <c r="E100" s="15">
        <v>4.0</v>
      </c>
      <c r="F100" s="16" t="str">
        <f t="array" ref="F100">"https://www.google.com/maps/search/?api=1&amp;query=" &amp; A100 &amp; "," &amp; B100</f>
        <v>https://www.google.com/maps/search/?api=1&amp;query=-30.9079185410384,-5.5540987000298</v>
      </c>
      <c r="G100" s="16" t="str">
        <f t="array" ref="G100">"https://earth.google.com/web/search/" &amp; A100 &amp; "," &amp; B100</f>
        <v>https://earth.google.com/web/search/-30.9079185410384,-5.5540987000298</v>
      </c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ht="26.25" customHeight="1">
      <c r="A101" s="17" t="s">
        <v>206</v>
      </c>
      <c r="B101" s="18" t="s">
        <v>207</v>
      </c>
      <c r="C101" s="14">
        <v>1.0</v>
      </c>
      <c r="D101" s="15">
        <v>377.0</v>
      </c>
      <c r="E101" s="15">
        <v>5.0</v>
      </c>
      <c r="F101" s="16" t="str">
        <f t="array" ref="F101">"https://www.google.com/maps/search/?api=1&amp;query=" &amp; A101 &amp; "," &amp; B101</f>
        <v>https://www.google.com/maps/search/?api=1&amp;query=-0.3090799288893,-55.5408303340199</v>
      </c>
      <c r="G101" s="16" t="str">
        <f t="array" ref="G101">"https://earth.google.com/web/search/" &amp; A101 &amp; "," &amp; B101</f>
        <v>https://earth.google.com/web/search/-0.3090799288893,-55.5408303340199</v>
      </c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ht="26.25" customHeight="1">
      <c r="A102" s="17" t="s">
        <v>208</v>
      </c>
      <c r="B102" s="18" t="s">
        <v>209</v>
      </c>
      <c r="C102" s="14">
        <v>1.0</v>
      </c>
      <c r="D102" s="15">
        <v>377.0</v>
      </c>
      <c r="E102" s="15">
        <v>6.0</v>
      </c>
      <c r="F102" s="16" t="str">
        <f t="array" ref="F102">"https://www.google.com/maps/search/?api=1&amp;query=" &amp; A102 &amp; "," &amp; B102</f>
        <v>https://www.google.com/maps/search/?api=1&amp;query=-30.9076651959219,-0.5554045418706</v>
      </c>
      <c r="G102" s="16" t="str">
        <f t="array" ref="G102">"https://earth.google.com/web/search/" &amp; A102 &amp; "," &amp; B102</f>
        <v>https://earth.google.com/web/search/-30.9076651959219,-0.5554045418706</v>
      </c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ht="26.25" customHeight="1">
      <c r="A103" s="17" t="s">
        <v>210</v>
      </c>
      <c r="B103" s="18" t="s">
        <v>211</v>
      </c>
      <c r="C103" s="14">
        <v>1.0</v>
      </c>
      <c r="D103" s="15">
        <v>377.0</v>
      </c>
      <c r="E103" s="15">
        <v>7.0</v>
      </c>
      <c r="F103" s="16" t="str">
        <f t="array" ref="F103">"https://www.google.com/maps/search/?api=1&amp;query=" &amp; A103 &amp; "," &amp; B103</f>
        <v>https://www.google.com/maps/search/?api=1&amp;query=-3.0907536742154,-5.5540363877482</v>
      </c>
      <c r="G103" s="16" t="str">
        <f t="array" ref="G103">"https://earth.google.com/web/search/" &amp; A103 &amp; "," &amp; B103</f>
        <v>https://earth.google.com/web/search/-3.0907536742154,-5.5540363877482</v>
      </c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ht="26.25" customHeight="1">
      <c r="A104" s="17" t="s">
        <v>212</v>
      </c>
      <c r="B104" s="18" t="s">
        <v>213</v>
      </c>
      <c r="C104" s="14">
        <v>1.0</v>
      </c>
      <c r="D104" s="15">
        <v>377.0</v>
      </c>
      <c r="E104" s="15">
        <v>8.0</v>
      </c>
      <c r="F104" s="16" t="str">
        <f t="array" ref="F104">"https://www.google.com/maps/search/?api=1&amp;query=" &amp; A104 &amp; "," &amp; B104</f>
        <v>https://www.google.com/maps/search/?api=1&amp;query=-3.0907133574127,-55.5406673112119</v>
      </c>
      <c r="G104" s="16" t="str">
        <f t="array" ref="G104">"https://earth.google.com/web/search/" &amp; A104 &amp; "," &amp; B104</f>
        <v>https://earth.google.com/web/search/-3.0907133574127,-55.5406673112119</v>
      </c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ht="26.25" customHeight="1">
      <c r="A105" s="17" t="s">
        <v>214</v>
      </c>
      <c r="B105" s="18" t="s">
        <v>215</v>
      </c>
      <c r="C105" s="14">
        <v>1.0</v>
      </c>
      <c r="D105" s="15">
        <v>377.0</v>
      </c>
      <c r="E105" s="15">
        <v>9.0</v>
      </c>
      <c r="F105" s="16" t="str">
        <f t="array" ref="F105">"https://www.google.com/maps/search/?api=1&amp;query=" &amp; A105 &amp; "," &amp; B105</f>
        <v>https://www.google.com/maps/search/?api=1&amp;query=-30.9070732888236,-55.5407894806845</v>
      </c>
      <c r="G105" s="16" t="str">
        <f t="array" ref="G105">"https://earth.google.com/web/search/" &amp; A105 &amp; "," &amp; B105</f>
        <v>https://earth.google.com/web/search/-30.9070732888236,-55.5407894806845</v>
      </c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ht="26.25" customHeight="1">
      <c r="A106" s="17" t="s">
        <v>216</v>
      </c>
      <c r="B106" s="18" t="s">
        <v>217</v>
      </c>
      <c r="C106" s="14">
        <v>1.0</v>
      </c>
      <c r="D106" s="15">
        <v>377.0</v>
      </c>
      <c r="E106" s="15">
        <v>10.0</v>
      </c>
      <c r="F106" s="16" t="str">
        <f t="array" ref="F106">"https://www.google.com/maps/search/?api=1&amp;query=" &amp; A106 &amp; "," &amp; B106</f>
        <v>https://www.google.com/maps/search/?api=1&amp;query=-3.0906982426122,-55.5409209370329</v>
      </c>
      <c r="G106" s="16" t="str">
        <f t="array" ref="G106">"https://earth.google.com/web/search/" &amp; A106 &amp; "," &amp; B106</f>
        <v>https://earth.google.com/web/search/-3.0906982426122,-55.5409209370329</v>
      </c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ht="26.25" customHeight="1">
      <c r="A107" s="17" t="s">
        <v>218</v>
      </c>
      <c r="B107" s="18" t="s">
        <v>219</v>
      </c>
      <c r="C107" s="14">
        <v>1.0</v>
      </c>
      <c r="D107" s="15">
        <v>377.0</v>
      </c>
      <c r="E107" s="15">
        <v>11.0</v>
      </c>
      <c r="F107" s="16" t="str">
        <f t="array" ref="F107">"https://www.google.com/maps/search/?api=1&amp;query=" &amp; A107 &amp; "," &amp; B107</f>
        <v>https://www.google.com/maps/search/?api=1&amp;query=-30.9069453893603,-5.5540992143515</v>
      </c>
      <c r="G107" s="16" t="str">
        <f t="array" ref="G107">"https://earth.google.com/web/search/" &amp; A107 &amp; "," &amp; B107</f>
        <v>https://earth.google.com/web/search/-30.9069453893603,-5.5540992143515</v>
      </c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ht="26.25" customHeight="1">
      <c r="A108" s="17" t="s">
        <v>220</v>
      </c>
      <c r="B108" s="18" t="s">
        <v>221</v>
      </c>
      <c r="C108" s="14">
        <v>1.0</v>
      </c>
      <c r="D108" s="15">
        <v>377.0</v>
      </c>
      <c r="E108" s="15">
        <v>12.0</v>
      </c>
      <c r="F108" s="16" t="str">
        <f t="array" ref="F108">"https://www.google.com/maps/search/?api=1&amp;query=" &amp; A108 &amp; "," &amp; B108</f>
        <v>https://www.google.com/maps/search/?api=1&amp;query=-30.9070558560666,-55.5411452752246</v>
      </c>
      <c r="G108" s="16" t="str">
        <f t="array" ref="G108">"https://earth.google.com/web/search/" &amp; A108 &amp; "," &amp; B108</f>
        <v>https://earth.google.com/web/search/-30.9070558560666,-55.5411452752246</v>
      </c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ht="26.25" customHeight="1">
      <c r="A109" s="17" t="s">
        <v>222</v>
      </c>
      <c r="B109" s="18" t="s">
        <v>223</v>
      </c>
      <c r="C109" s="14">
        <v>1.0</v>
      </c>
      <c r="D109" s="15">
        <v>377.0</v>
      </c>
      <c r="E109" s="15">
        <v>13.0</v>
      </c>
      <c r="F109" s="16" t="str">
        <f t="array" ref="F109">"https://www.google.com/maps/search/?api=1&amp;query=" &amp; A109 &amp; "," &amp; B109</f>
        <v>https://www.google.com/maps/search/?api=1&amp;query=-30.9072305884691,-55.5412632763912</v>
      </c>
      <c r="G109" s="16" t="str">
        <f t="array" ref="G109">"https://earth.google.com/web/search/" &amp; A109 &amp; "," &amp; B109</f>
        <v>https://earth.google.com/web/search/-30.9072305884691,-55.5412632763912</v>
      </c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ht="26.25" customHeight="1">
      <c r="A110" s="17" t="s">
        <v>224</v>
      </c>
      <c r="B110" s="18" t="s">
        <v>225</v>
      </c>
      <c r="C110" s="14">
        <v>1.0</v>
      </c>
      <c r="D110" s="15">
        <v>377.0</v>
      </c>
      <c r="E110" s="15">
        <v>14.0</v>
      </c>
      <c r="F110" s="16" t="str">
        <f t="array" ref="F110">"https://www.google.com/maps/search/?api=1&amp;query=" &amp; A110 &amp; "," &amp; B110</f>
        <v>https://www.google.com/maps/search/?api=1&amp;query=-30.9073082058847,-55.5413254609809</v>
      </c>
      <c r="G110" s="16" t="str">
        <f t="array" ref="G110">"https://earth.google.com/web/search/" &amp; A110 &amp; "," &amp; B110</f>
        <v>https://earth.google.com/web/search/-30.9073082058847,-55.5413254609809</v>
      </c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ht="26.25" customHeight="1">
      <c r="A111" s="17" t="s">
        <v>226</v>
      </c>
      <c r="B111" s="18" t="s">
        <v>227</v>
      </c>
      <c r="C111" s="14">
        <v>1.0</v>
      </c>
      <c r="D111" s="15">
        <v>377.0</v>
      </c>
      <c r="E111" s="15">
        <v>15.0</v>
      </c>
      <c r="F111" s="16" t="str">
        <f t="array" ref="F111">"https://www.google.com/maps/search/?api=1&amp;query=" &amp; A111 &amp; "," &amp; B111</f>
        <v>https://www.google.com/maps/search/?api=1&amp;query=-3.0907376247694,-55.5413846425436</v>
      </c>
      <c r="G111" s="16" t="str">
        <f t="array" ref="G111">"https://earth.google.com/web/search/" &amp; A111 &amp; "," &amp; B111</f>
        <v>https://earth.google.com/web/search/-3.0907376247694,-55.5413846425436</v>
      </c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ht="26.25" customHeight="1">
      <c r="A112" s="17" t="s">
        <v>228</v>
      </c>
      <c r="B112" s="18" t="s">
        <v>229</v>
      </c>
      <c r="C112" s="14">
        <v>1.0</v>
      </c>
      <c r="D112" s="15">
        <v>376.0</v>
      </c>
      <c r="E112" s="15">
        <v>1.0</v>
      </c>
      <c r="F112" s="16" t="str">
        <f t="array" ref="F112">"https://www.google.com/maps/search/?api=1&amp;query=" &amp; A112 &amp; "," &amp; B112</f>
        <v>https://www.google.com/maps/search/?api=1&amp;query=-30.9071660855945,-55.5424374384029</v>
      </c>
      <c r="G112" s="16" t="str">
        <f t="array" ref="G112">"https://earth.google.com/web/search/" &amp; A112 &amp; "," &amp; B112</f>
        <v>https://earth.google.com/web/search/-30.9071660855945,-55.5424374384029</v>
      </c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ht="26.25" customHeight="1">
      <c r="A113" s="17" t="s">
        <v>230</v>
      </c>
      <c r="B113" s="18" t="s">
        <v>231</v>
      </c>
      <c r="C113" s="14">
        <v>1.0</v>
      </c>
      <c r="D113" s="15">
        <v>376.0</v>
      </c>
      <c r="E113" s="15">
        <v>2.0</v>
      </c>
      <c r="F113" s="16" t="str">
        <f t="array" ref="F113">"https://www.google.com/maps/search/?api=1&amp;query=" &amp; A113 &amp; "," &amp; B113</f>
        <v>https://www.google.com/maps/search/?api=1&amp;query=-30.9071989906934,-55.5423655287161</v>
      </c>
      <c r="G113" s="16" t="str">
        <f t="array" ref="G113">"https://earth.google.com/web/search/" &amp; A113 &amp; "," &amp; B113</f>
        <v>https://earth.google.com/web/search/-30.9071989906934,-55.5423655287161</v>
      </c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ht="26.25" customHeight="1">
      <c r="A114" s="17" t="s">
        <v>232</v>
      </c>
      <c r="B114" s="18" t="s">
        <v>233</v>
      </c>
      <c r="C114" s="14">
        <v>1.0</v>
      </c>
      <c r="D114" s="15">
        <v>376.0</v>
      </c>
      <c r="E114" s="15">
        <v>3.0</v>
      </c>
      <c r="F114" s="16" t="str">
        <f t="array" ref="F114">"https://www.google.com/maps/search/?api=1&amp;query=" &amp; A114 &amp; "," &amp; B114</f>
        <v>https://www.google.com/maps/search/?api=1&amp;query=-30.9072826555699,-55.5421998837116</v>
      </c>
      <c r="G114" s="16" t="str">
        <f t="array" ref="G114">"https://earth.google.com/web/search/" &amp; A114 &amp; "," &amp; B114</f>
        <v>https://earth.google.com/web/search/-30.9072826555699,-55.5421998837116</v>
      </c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ht="26.25" customHeight="1">
      <c r="A115" s="17" t="s">
        <v>234</v>
      </c>
      <c r="B115" s="18" t="s">
        <v>235</v>
      </c>
      <c r="C115" s="14">
        <v>1.0</v>
      </c>
      <c r="D115" s="15">
        <v>376.0</v>
      </c>
      <c r="E115" s="15">
        <v>4.0</v>
      </c>
      <c r="F115" s="16" t="str">
        <f t="array" ref="F115">"https://www.google.com/maps/search/?api=1&amp;query=" &amp; A115 &amp; "," &amp; B115</f>
        <v>https://www.google.com/maps/search/?api=1&amp;query=-30.9073185301377,-55.5420835992101</v>
      </c>
      <c r="G115" s="16" t="str">
        <f t="array" ref="G115">"https://earth.google.com/web/search/" &amp; A115 &amp; "," &amp; B115</f>
        <v>https://earth.google.com/web/search/-30.9073185301377,-55.5420835992101</v>
      </c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ht="26.25" customHeight="1">
      <c r="A116" s="17" t="s">
        <v>236</v>
      </c>
      <c r="B116" s="18" t="s">
        <v>237</v>
      </c>
      <c r="C116" s="14">
        <v>1.0</v>
      </c>
      <c r="D116" s="15">
        <v>376.0</v>
      </c>
      <c r="E116" s="15">
        <v>5.0</v>
      </c>
      <c r="F116" s="16" t="str">
        <f t="array" ref="F116">"https://www.google.com/maps/search/?api=1&amp;query=" &amp; A116 &amp; "," &amp; B116</f>
        <v>https://www.google.com/maps/search/?api=1&amp;query=-30.9073788467952,-55.5419768985263</v>
      </c>
      <c r="G116" s="16" t="str">
        <f t="array" ref="G116">"https://earth.google.com/web/search/" &amp; A116 &amp; "," &amp; B116</f>
        <v>https://earth.google.com/web/search/-30.9073788467952,-55.5419768985263</v>
      </c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ht="26.25" customHeight="1">
      <c r="A117" s="17" t="s">
        <v>238</v>
      </c>
      <c r="B117" s="18" t="s">
        <v>239</v>
      </c>
      <c r="C117" s="14">
        <v>1.0</v>
      </c>
      <c r="D117" s="15">
        <v>376.0</v>
      </c>
      <c r="E117" s="15">
        <v>6.0</v>
      </c>
      <c r="F117" s="16" t="str">
        <f t="array" ref="F117">"https://www.google.com/maps/search/?api=1&amp;query=" &amp; A117 &amp; "," &amp; B117</f>
        <v>https://www.google.com/maps/search/?api=1&amp;query=-30.9075560525513,-55.5417071480027</v>
      </c>
      <c r="G117" s="16" t="str">
        <f t="array" ref="G117">"https://earth.google.com/web/search/" &amp; A117 &amp; "," &amp; B117</f>
        <v>https://earth.google.com/web/search/-30.9075560525513,-55.5417071480027</v>
      </c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ht="26.25" customHeight="1">
      <c r="A118" s="17" t="s">
        <v>240</v>
      </c>
      <c r="B118" s="18" t="s">
        <v>241</v>
      </c>
      <c r="C118" s="14">
        <v>1.0</v>
      </c>
      <c r="D118" s="15">
        <v>376.0</v>
      </c>
      <c r="E118" s="15">
        <v>7.0</v>
      </c>
      <c r="F118" s="16" t="str">
        <f t="array" ref="F118">"https://www.google.com/maps/search/?api=1&amp;query=" &amp; A118 &amp; "," &amp; B118</f>
        <v>https://www.google.com/maps/search/?api=1&amp;query=-30.9074808501054,-55.5415616794236</v>
      </c>
      <c r="G118" s="16" t="str">
        <f t="array" ref="G118">"https://earth.google.com/web/search/" &amp; A118 &amp; "," &amp; B118</f>
        <v>https://earth.google.com/web/search/-30.9074808501054,-55.5415616794236</v>
      </c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ht="26.25" customHeight="1">
      <c r="A119" s="17" t="s">
        <v>242</v>
      </c>
      <c r="B119" s="18" t="s">
        <v>243</v>
      </c>
      <c r="C119" s="14">
        <v>1.0</v>
      </c>
      <c r="D119" s="15">
        <v>376.0</v>
      </c>
      <c r="E119" s="15">
        <v>8.0</v>
      </c>
      <c r="F119" s="16" t="str">
        <f t="array" ref="F119">"https://www.google.com/maps/search/?api=1&amp;query=" &amp; A119 &amp; "," &amp; B119</f>
        <v>https://www.google.com/maps/search/?api=1&amp;query=-30.9073794921217,-55.5414928264528</v>
      </c>
      <c r="G119" s="16" t="str">
        <f t="array" ref="G119">"https://earth.google.com/web/search/" &amp; A119 &amp; "," &amp; B119</f>
        <v>https://earth.google.com/web/search/-30.9073794921217,-55.5414928264528</v>
      </c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ht="26.25" customHeight="1">
      <c r="A120" s="17" t="s">
        <v>244</v>
      </c>
      <c r="B120" s="18" t="s">
        <v>245</v>
      </c>
      <c r="C120" s="14">
        <v>1.0</v>
      </c>
      <c r="D120" s="15">
        <v>376.0</v>
      </c>
      <c r="E120" s="15">
        <v>9.0</v>
      </c>
      <c r="F120" s="16" t="str">
        <f t="array" ref="F120">"https://www.google.com/maps/search/?api=1&amp;query=" &amp; A120 &amp; "," &amp; B120</f>
        <v>https://www.google.com/maps/search/?api=1&amp;query=-30.9070542042801,-55.5412822626966</v>
      </c>
      <c r="G120" s="16" t="str">
        <f t="array" ref="G120">"https://earth.google.com/web/search/" &amp; A120 &amp; "," &amp; B120</f>
        <v>https://earth.google.com/web/search/-30.9070542042801,-55.5412822626966</v>
      </c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ht="26.25" customHeight="1">
      <c r="A121" s="17" t="s">
        <v>246</v>
      </c>
      <c r="B121" s="18" t="s">
        <v>247</v>
      </c>
      <c r="C121" s="14">
        <v>1.0</v>
      </c>
      <c r="D121" s="15">
        <v>376.0</v>
      </c>
      <c r="E121" s="15">
        <v>10.0</v>
      </c>
      <c r="F121" s="16" t="str">
        <f t="array" ref="F121">"https://www.google.com/maps/search/?api=1&amp;query=" &amp; A121 &amp; "," &amp; B121</f>
        <v>https://www.google.com/maps/search/?api=1&amp;query=-30.9068328838872,-55.5412185653706</v>
      </c>
      <c r="G121" s="16" t="str">
        <f t="array" ref="G121">"https://earth.google.com/web/search/" &amp; A121 &amp; "," &amp; B121</f>
        <v>https://earth.google.com/web/search/-30.9068328838872,-55.5412185653706</v>
      </c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ht="26.25" customHeight="1">
      <c r="A122" s="17" t="s">
        <v>248</v>
      </c>
      <c r="B122" s="18" t="s">
        <v>249</v>
      </c>
      <c r="C122" s="14">
        <v>1.0</v>
      </c>
      <c r="D122" s="15">
        <v>376.0</v>
      </c>
      <c r="E122" s="15">
        <v>11.0</v>
      </c>
      <c r="F122" s="16" t="str">
        <f t="array" ref="F122">"https://www.google.com/maps/search/?api=1&amp;query=" &amp; A122 &amp; "," &amp; B122</f>
        <v>https://www.google.com/maps/search/?api=1&amp;query=-3.0906678637395,-55.5415173134342</v>
      </c>
      <c r="G122" s="16" t="str">
        <f t="array" ref="G122">"https://earth.google.com/web/search/" &amp; A122 &amp; "," &amp; B122</f>
        <v>https://earth.google.com/web/search/-3.0906678637395,-55.5415173134342</v>
      </c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ht="26.25" customHeight="1">
      <c r="A123" s="17" t="s">
        <v>250</v>
      </c>
      <c r="B123" s="18" t="s">
        <v>251</v>
      </c>
      <c r="C123" s="14">
        <v>1.0</v>
      </c>
      <c r="D123" s="15">
        <v>376.0</v>
      </c>
      <c r="E123" s="15">
        <v>12.0</v>
      </c>
      <c r="F123" s="16" t="str">
        <f t="array" ref="F123">"https://www.google.com/maps/search/?api=1&amp;query=" &amp; A123 &amp; "," &amp; B123</f>
        <v>https://www.google.com/maps/search/?api=1&amp;query=-30.9066044291266,-55.5416577539524</v>
      </c>
      <c r="G123" s="16" t="str">
        <f t="array" ref="G123">"https://earth.google.com/web/search/" &amp; A123 &amp; "," &amp; B123</f>
        <v>https://earth.google.com/web/search/-30.9066044291266,-55.5416577539524</v>
      </c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ht="26.25" customHeight="1">
      <c r="A124" s="17" t="s">
        <v>252</v>
      </c>
      <c r="B124" s="18" t="s">
        <v>253</v>
      </c>
      <c r="C124" s="14">
        <v>1.0</v>
      </c>
      <c r="D124" s="15">
        <v>376.0</v>
      </c>
      <c r="E124" s="15">
        <v>13.0</v>
      </c>
      <c r="F124" s="16" t="str">
        <f t="array" ref="F124">"https://www.google.com/maps/search/?api=1&amp;query=" &amp; A124 &amp; "," &amp; B124</f>
        <v>https://www.google.com/maps/search/?api=1&amp;query=-30.9065538201557,-55.5417060258737</v>
      </c>
      <c r="G124" s="16" t="str">
        <f t="array" ref="G124">"https://earth.google.com/web/search/" &amp; A124 &amp; "," &amp; B124</f>
        <v>https://earth.google.com/web/search/-30.9065538201557,-55.5417060258737</v>
      </c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ht="26.25" customHeight="1">
      <c r="A125" s="17" t="s">
        <v>254</v>
      </c>
      <c r="B125" s="18" t="s">
        <v>255</v>
      </c>
      <c r="C125" s="14">
        <v>1.0</v>
      </c>
      <c r="D125" s="15">
        <v>376.0</v>
      </c>
      <c r="E125" s="15">
        <v>14.0</v>
      </c>
      <c r="F125" s="16" t="str">
        <f t="array" ref="F125">"https://www.google.com/maps/search/?api=1&amp;query=" &amp; A125 &amp; "," &amp; B125</f>
        <v>https://www.google.com/maps/search/?api=1&amp;query=-30.9065049584438,-55.5418302601226</v>
      </c>
      <c r="G125" s="16" t="str">
        <f t="array" ref="G125">"https://earth.google.com/web/search/" &amp; A125 &amp; "," &amp; B125</f>
        <v>https://earth.google.com/web/search/-30.9065049584438,-55.5418302601226</v>
      </c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ht="26.25" customHeight="1">
      <c r="A126" s="17" t="s">
        <v>256</v>
      </c>
      <c r="B126" s="18" t="s">
        <v>257</v>
      </c>
      <c r="C126" s="14">
        <v>1.0</v>
      </c>
      <c r="D126" s="15">
        <v>376.0</v>
      </c>
      <c r="E126" s="15">
        <v>16.0</v>
      </c>
      <c r="F126" s="16" t="str">
        <f t="array" ref="F126">"https://www.google.com/maps/search/?api=1&amp;query=" &amp; A126 &amp; "," &amp; B126</f>
        <v>https://www.google.com/maps/search/?api=1&amp;query=-30.9065464397735,-55.5420415066904</v>
      </c>
      <c r="G126" s="16" t="str">
        <f t="array" ref="G126">"https://earth.google.com/web/search/" &amp; A126 &amp; "," &amp; B126</f>
        <v>https://earth.google.com/web/search/-30.9065464397735,-55.5420415066904</v>
      </c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ht="26.25" customHeight="1">
      <c r="A127" s="17" t="s">
        <v>258</v>
      </c>
      <c r="B127" s="18" t="s">
        <v>259</v>
      </c>
      <c r="C127" s="14">
        <v>1.0</v>
      </c>
      <c r="D127" s="15">
        <v>376.0</v>
      </c>
      <c r="E127" s="15">
        <v>17.0</v>
      </c>
      <c r="F127" s="16" t="str">
        <f t="array" ref="F127">"https://www.google.com/maps/search/?api=1&amp;query=" &amp; A127 &amp; "," &amp; B127</f>
        <v>https://www.google.com/maps/search/?api=1&amp;query=-30.9066131574446,-55.5420912896984</v>
      </c>
      <c r="G127" s="16" t="str">
        <f t="array" ref="G127">"https://earth.google.com/web/search/" &amp; A127 &amp; "," &amp; B127</f>
        <v>https://earth.google.com/web/search/-30.9066131574446,-55.5420912896984</v>
      </c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ht="26.25" customHeight="1">
      <c r="A128" s="17" t="s">
        <v>260</v>
      </c>
      <c r="B128" s="18" t="s">
        <v>261</v>
      </c>
      <c r="C128" s="14">
        <v>1.0</v>
      </c>
      <c r="D128" s="15">
        <v>376.0</v>
      </c>
      <c r="E128" s="15">
        <v>18.0</v>
      </c>
      <c r="F128" s="16" t="str">
        <f t="array" ref="F128">"https://www.google.com/maps/search/?api=1&amp;query=" &amp; A128 &amp; "," &amp; B128</f>
        <v>https://www.google.com/maps/search/?api=1&amp;query=-30.9066752264756,-55.5421384867914</v>
      </c>
      <c r="G128" s="16" t="str">
        <f t="array" ref="G128">"https://earth.google.com/web/search/" &amp; A128 &amp; "," &amp; B128</f>
        <v>https://earth.google.com/web/search/-30.9066752264756,-55.5421384867914</v>
      </c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ht="26.25" customHeight="1">
      <c r="A129" s="17" t="s">
        <v>262</v>
      </c>
      <c r="B129" s="18" t="s">
        <v>263</v>
      </c>
      <c r="C129" s="14">
        <v>1.0</v>
      </c>
      <c r="D129" s="15">
        <v>376.0</v>
      </c>
      <c r="E129" s="15">
        <v>19.0</v>
      </c>
      <c r="F129" s="16" t="str">
        <f t="array" ref="F129">"https://www.google.com/maps/search/?api=1&amp;query=" &amp; A129 &amp; "," &amp; B129</f>
        <v>https://www.google.com/maps/search/?api=1&amp;query=-3.0906774257639,-55.5422233551054</v>
      </c>
      <c r="G129" s="16" t="str">
        <f t="array" ref="G129">"https://earth.google.com/web/search/" &amp; A129 &amp; "," &amp; B129</f>
        <v>https://earth.google.com/web/search/-3.0906774257639,-55.5422233551054</v>
      </c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ht="26.25" customHeight="1">
      <c r="A130" s="17" t="s">
        <v>264</v>
      </c>
      <c r="B130" s="18" t="s">
        <v>265</v>
      </c>
      <c r="C130" s="14">
        <v>1.0</v>
      </c>
      <c r="D130" s="15">
        <v>376.0</v>
      </c>
      <c r="E130" s="15">
        <v>20.0</v>
      </c>
      <c r="F130" s="16" t="str">
        <f t="array" ref="F130">"https://www.google.com/maps/search/?api=1&amp;query=" &amp; A130 &amp; "," &amp; B130</f>
        <v>https://www.google.com/maps/search/?api=1&amp;query=-3.0906825926326,-55.5422493168622</v>
      </c>
      <c r="G130" s="16" t="str">
        <f t="array" ref="G130">"https://earth.google.com/web/search/" &amp; A130 &amp; "," &amp; B130</f>
        <v>https://earth.google.com/web/search/-3.0906825926326,-55.5422493168622</v>
      </c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ht="26.25" customHeight="1">
      <c r="A131" s="17" t="s">
        <v>266</v>
      </c>
      <c r="B131" s="18" t="s">
        <v>267</v>
      </c>
      <c r="C131" s="14">
        <v>1.0</v>
      </c>
      <c r="D131" s="15">
        <v>376.0</v>
      </c>
      <c r="E131" s="15">
        <v>21.0</v>
      </c>
      <c r="F131" s="16" t="str">
        <f t="array" ref="F131">"https://www.google.com/maps/search/?api=1&amp;query=" &amp; A131 &amp; "," &amp; B131</f>
        <v>https://www.google.com/maps/search/?api=1&amp;query=-30.9069066867295,-55.5423129691166</v>
      </c>
      <c r="G131" s="16" t="str">
        <f t="array" ref="G131">"https://earth.google.com/web/search/" &amp; A131 &amp; "," &amp; B131</f>
        <v>https://earth.google.com/web/search/-30.9069066867295,-55.5423129691166</v>
      </c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ht="26.25" customHeight="1">
      <c r="A132" s="17" t="s">
        <v>268</v>
      </c>
      <c r="B132" s="18" t="s">
        <v>269</v>
      </c>
      <c r="C132" s="14">
        <v>1.0</v>
      </c>
      <c r="D132" s="15">
        <v>376.0</v>
      </c>
      <c r="E132" s="15">
        <v>22.0</v>
      </c>
      <c r="F132" s="16" t="str">
        <f t="array" ref="F132">"https://www.google.com/maps/search/?api=1&amp;query=" &amp; A132 &amp; "," &amp; B132</f>
        <v>https://www.google.com/maps/search/?api=1&amp;query=-30.9069854606946,-55.5423642718497</v>
      </c>
      <c r="G132" s="16" t="str">
        <f t="array" ref="G132">"https://earth.google.com/web/search/" &amp; A132 &amp; "," &amp; B132</f>
        <v>https://earth.google.com/web/search/-30.9069854606946,-55.5423642718497</v>
      </c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ht="26.25" customHeight="1">
      <c r="A133" s="17" t="s">
        <v>270</v>
      </c>
      <c r="B133" s="18" t="s">
        <v>271</v>
      </c>
      <c r="C133" s="14">
        <v>1.0</v>
      </c>
      <c r="D133" s="15">
        <v>376.0</v>
      </c>
      <c r="E133" s="15">
        <v>23.0</v>
      </c>
      <c r="F133" s="16" t="str">
        <f t="array" ref="F133">"https://www.google.com/maps/search/?api=1&amp;query=" &amp; A133 &amp; "," &amp; B133</f>
        <v>https://www.google.com/maps/search/?api=1&amp;query=-30.9070624371477,-5.5542423514123</v>
      </c>
      <c r="G133" s="16" t="str">
        <f t="array" ref="G133">"https://earth.google.com/web/search/" &amp; A133 &amp; "," &amp; B133</f>
        <v>https://earth.google.com/web/search/-30.9070624371477,-5.5542423514123</v>
      </c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ht="26.25" customHeight="1">
      <c r="A134" s="17" t="s">
        <v>272</v>
      </c>
      <c r="B134" s="18" t="s">
        <v>273</v>
      </c>
      <c r="C134" s="14">
        <v>1.0</v>
      </c>
      <c r="D134" s="15">
        <v>375.0</v>
      </c>
      <c r="E134" s="15">
        <v>1.0</v>
      </c>
      <c r="F134" s="16" t="str">
        <f t="array" ref="F134">"https://www.google.com/maps/search/?api=1&amp;query=" &amp; A134 &amp; "," &amp; B134</f>
        <v>https://www.google.com/maps/search/?api=1&amp;query=-30.9066972725002,-55.5432744856964</v>
      </c>
      <c r="G134" s="16" t="str">
        <f t="array" ref="G134">"https://earth.google.com/web/search/" &amp; A134 &amp; "," &amp; B134</f>
        <v>https://earth.google.com/web/search/-30.9066972725002,-55.5432744856964</v>
      </c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ht="26.25" customHeight="1">
      <c r="A135" s="17" t="s">
        <v>274</v>
      </c>
      <c r="B135" s="18" t="s">
        <v>275</v>
      </c>
      <c r="C135" s="14">
        <v>1.0</v>
      </c>
      <c r="D135" s="15">
        <v>375.0</v>
      </c>
      <c r="E135" s="15">
        <v>2.0</v>
      </c>
      <c r="F135" s="16" t="str">
        <f t="array" ref="F135">"https://www.google.com/maps/search/?api=1&amp;query=" &amp; A135 &amp; "," &amp; B135</f>
        <v>https://www.google.com/maps/search/?api=1&amp;query=-30.9068451538416,-55.5430246772378</v>
      </c>
      <c r="G135" s="16" t="str">
        <f t="array" ref="G135">"https://earth.google.com/web/search/" &amp; A135 &amp; "," &amp; B135</f>
        <v>https://earth.google.com/web/search/-30.9068451538416,-55.5430246772378</v>
      </c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ht="26.25" customHeight="1">
      <c r="A136" s="17" t="s">
        <v>276</v>
      </c>
      <c r="B136" s="18" t="s">
        <v>277</v>
      </c>
      <c r="C136" s="14">
        <v>1.0</v>
      </c>
      <c r="D136" s="15">
        <v>375.0</v>
      </c>
      <c r="E136" s="15">
        <v>3.0</v>
      </c>
      <c r="F136" s="16" t="str">
        <f t="array" ref="F136">"https://www.google.com/maps/search/?api=1&amp;query=" &amp; A136 &amp; "," &amp; B136</f>
        <v>https://www.google.com/maps/search/?api=1&amp;query=-30.9069075727804,-55.5429079592886</v>
      </c>
      <c r="G136" s="16" t="str">
        <f t="array" ref="G136">"https://earth.google.com/web/search/" &amp; A136 &amp; "," &amp; B136</f>
        <v>https://earth.google.com/web/search/-30.9069075727804,-55.5429079592886</v>
      </c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ht="26.25" customHeight="1">
      <c r="A137" s="17" t="s">
        <v>278</v>
      </c>
      <c r="B137" s="18" t="s">
        <v>279</v>
      </c>
      <c r="C137" s="14">
        <v>1.0</v>
      </c>
      <c r="D137" s="15">
        <v>375.0</v>
      </c>
      <c r="E137" s="15">
        <v>4.0</v>
      </c>
      <c r="F137" s="16" t="str">
        <f t="array" ref="F137">"https://www.google.com/maps/search/?api=1&amp;query=" &amp; A137 &amp; "," &amp; B137</f>
        <v>https://www.google.com/maps/search/?api=1&amp;query=-30.9069515583664,-55.5428279564859</v>
      </c>
      <c r="G137" s="16" t="str">
        <f t="array" ref="G137">"https://earth.google.com/web/search/" &amp; A137 &amp; "," &amp; B137</f>
        <v>https://earth.google.com/web/search/-30.9069515583664,-55.5428279564859</v>
      </c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ht="26.25" customHeight="1">
      <c r="A138" s="17" t="s">
        <v>280</v>
      </c>
      <c r="B138" s="18" t="s">
        <v>281</v>
      </c>
      <c r="C138" s="14">
        <v>1.0</v>
      </c>
      <c r="D138" s="15">
        <v>375.0</v>
      </c>
      <c r="E138" s="15">
        <v>6.0</v>
      </c>
      <c r="F138" s="16" t="str">
        <f t="array" ref="F138">"https://www.google.com/maps/search/?api=1&amp;query=" &amp; A138 &amp; "," &amp; B138</f>
        <v>https://www.google.com/maps/search/?api=1&amp;query=-3.0907060791779,-55.5425211239155</v>
      </c>
      <c r="G138" s="16" t="str">
        <f t="array" ref="G138">"https://earth.google.com/web/search/" &amp; A138 &amp; "," &amp; B138</f>
        <v>https://earth.google.com/web/search/-3.0907060791779,-55.5425211239155</v>
      </c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ht="26.25" customHeight="1">
      <c r="A139" s="17" t="s">
        <v>282</v>
      </c>
      <c r="B139" s="18" t="s">
        <v>283</v>
      </c>
      <c r="C139" s="14">
        <v>1.0</v>
      </c>
      <c r="D139" s="15">
        <v>375.0</v>
      </c>
      <c r="E139" s="15">
        <v>7.0</v>
      </c>
      <c r="F139" s="16" t="str">
        <f t="array" ref="F139">"https://www.google.com/maps/search/?api=1&amp;query=" &amp; A139 &amp; "," &amp; B139</f>
        <v>https://www.google.com/maps/search/?api=1&amp;query=-30.9069730136566,-55.5424571140141</v>
      </c>
      <c r="G139" s="16" t="str">
        <f t="array" ref="G139">"https://earth.google.com/web/search/" &amp; A139 &amp; "," &amp; B139</f>
        <v>https://earth.google.com/web/search/-30.9069730136566,-55.5424571140141</v>
      </c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ht="26.25" customHeight="1">
      <c r="A140" s="17" t="s">
        <v>284</v>
      </c>
      <c r="B140" s="18" t="s">
        <v>285</v>
      </c>
      <c r="C140" s="14">
        <v>1.0</v>
      </c>
      <c r="D140" s="15">
        <v>375.0</v>
      </c>
      <c r="E140" s="15">
        <v>8.0</v>
      </c>
      <c r="F140" s="16" t="str">
        <f t="array" ref="F140">"https://www.google.com/maps/search/?api=1&amp;query=" &amp; A140 &amp; "," &amp; B140</f>
        <v>https://www.google.com/maps/search/?api=1&amp;query=-30.9068944961302,-55.5424105986205</v>
      </c>
      <c r="G140" s="16" t="str">
        <f t="array" ref="G140">"https://earth.google.com/web/search/" &amp; A140 &amp; "," &amp; B140</f>
        <v>https://earth.google.com/web/search/-30.9068944961302,-55.5424105986205</v>
      </c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ht="26.25" customHeight="1">
      <c r="A141" s="17" t="s">
        <v>286</v>
      </c>
      <c r="B141" s="18" t="s">
        <v>287</v>
      </c>
      <c r="C141" s="14">
        <v>1.0</v>
      </c>
      <c r="D141" s="15">
        <v>375.0</v>
      </c>
      <c r="E141" s="15">
        <v>9.0</v>
      </c>
      <c r="F141" s="16" t="str">
        <f t="array" ref="F141">"https://www.google.com/maps/search/?api=1&amp;query=" &amp; A141 &amp; "," &amp; B141</f>
        <v>https://www.google.com/maps/search/?api=1&amp;query=-30.9068068357037,-55.5423456649393</v>
      </c>
      <c r="G141" s="16" t="str">
        <f t="array" ref="G141">"https://earth.google.com/web/search/" &amp; A141 &amp; "," &amp; B141</f>
        <v>https://earth.google.com/web/search/-30.9068068357037,-55.5423456649393</v>
      </c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ht="26.25" customHeight="1">
      <c r="A142" s="17" t="s">
        <v>288</v>
      </c>
      <c r="B142" s="18" t="s">
        <v>289</v>
      </c>
      <c r="C142" s="14">
        <v>1.0</v>
      </c>
      <c r="D142" s="15">
        <v>375.0</v>
      </c>
      <c r="E142" s="15">
        <v>10.0</v>
      </c>
      <c r="F142" s="16" t="str">
        <f t="array" ref="F142">"https://www.google.com/maps/search/?api=1&amp;query=" &amp; A142 &amp; "," &amp; B142</f>
        <v>https://www.google.com/maps/search/?api=1&amp;query=-30.9067138895122,-55.5422869801626</v>
      </c>
      <c r="G142" s="16" t="str">
        <f t="array" ref="G142">"https://earth.google.com/web/search/" &amp; A142 &amp; "," &amp; B142</f>
        <v>https://earth.google.com/web/search/-30.9067138895122,-55.5422869801626</v>
      </c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ht="26.25" customHeight="1">
      <c r="A143" s="17" t="s">
        <v>290</v>
      </c>
      <c r="B143" s="18" t="s">
        <v>291</v>
      </c>
      <c r="C143" s="14">
        <v>1.0</v>
      </c>
      <c r="D143" s="15">
        <v>375.0</v>
      </c>
      <c r="E143" s="15">
        <v>11.0</v>
      </c>
      <c r="F143" s="16" t="str">
        <f t="array" ref="F143">"https://www.google.com/maps/search/?api=1&amp;query=" &amp; A143 &amp; "," &amp; B143</f>
        <v>https://www.google.com/maps/search/?api=1&amp;query=-30.9065634821413,-55.5421814218969</v>
      </c>
      <c r="G143" s="16" t="str">
        <f t="array" ref="G143">"https://earth.google.com/web/search/" &amp; A143 &amp; "," &amp; B143</f>
        <v>https://earth.google.com/web/search/-30.9065634821413,-55.5421814218969</v>
      </c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ht="26.25" customHeight="1">
      <c r="A144" s="17" t="s">
        <v>292</v>
      </c>
      <c r="B144" s="18" t="s">
        <v>293</v>
      </c>
      <c r="C144" s="14">
        <v>1.0</v>
      </c>
      <c r="D144" s="15">
        <v>375.0</v>
      </c>
      <c r="E144" s="15">
        <v>12.0</v>
      </c>
      <c r="F144" s="16" t="str">
        <f t="array" ref="F144">"https://www.google.com/maps/search/?api=1&amp;query=" &amp; A144 &amp; "," &amp; B144</f>
        <v>https://www.google.com/maps/search/?api=1&amp;query=-30.9062741938428,-55.5422340665248</v>
      </c>
      <c r="G144" s="16" t="str">
        <f t="array" ref="G144">"https://earth.google.com/web/search/" &amp; A144 &amp; "," &amp; B144</f>
        <v>https://earth.google.com/web/search/-30.9062741938428,-55.5422340665248</v>
      </c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ht="26.25" customHeight="1">
      <c r="A145" s="17" t="s">
        <v>294</v>
      </c>
      <c r="B145" s="18" t="s">
        <v>295</v>
      </c>
      <c r="C145" s="14">
        <v>1.0</v>
      </c>
      <c r="D145" s="15">
        <v>375.0</v>
      </c>
      <c r="E145" s="15">
        <v>13.0</v>
      </c>
      <c r="F145" s="16" t="str">
        <f t="array" ref="F145">"https://www.google.com/maps/search/?api=1&amp;query=" &amp; A145 &amp; "," &amp; B145</f>
        <v>https://www.google.com/maps/search/?api=1&amp;query=-30.9062488886759,-55.5422920924501</v>
      </c>
      <c r="G145" s="16" t="str">
        <f t="array" ref="G145">"https://earth.google.com/web/search/" &amp; A145 &amp; "," &amp; B145</f>
        <v>https://earth.google.com/web/search/-30.9062488886759,-55.5422920924501</v>
      </c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ht="26.25" customHeight="1">
      <c r="A146" s="17" t="s">
        <v>296</v>
      </c>
      <c r="B146" s="18" t="s">
        <v>297</v>
      </c>
      <c r="C146" s="14">
        <v>1.0</v>
      </c>
      <c r="D146" s="15">
        <v>375.0</v>
      </c>
      <c r="E146" s="15">
        <v>14.0</v>
      </c>
      <c r="F146" s="16" t="str">
        <f t="array" ref="F146">"https://www.google.com/maps/search/?api=1&amp;query=" &amp; A146 &amp; "," &amp; B146</f>
        <v>https://www.google.com/maps/search/?api=1&amp;query=-3.0906222260404,-5.5542351918879</v>
      </c>
      <c r="G146" s="16" t="str">
        <f t="array" ref="G146">"https://earth.google.com/web/search/" &amp; A146 &amp; "," &amp; B146</f>
        <v>https://earth.google.com/web/search/-3.0906222260404,-5.5542351918879</v>
      </c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ht="26.25" customHeight="1">
      <c r="A147" s="17" t="s">
        <v>298</v>
      </c>
      <c r="B147" s="18" t="s">
        <v>299</v>
      </c>
      <c r="C147" s="14">
        <v>1.0</v>
      </c>
      <c r="D147" s="15">
        <v>375.0</v>
      </c>
      <c r="E147" s="15">
        <v>15.0</v>
      </c>
      <c r="F147" s="16" t="str">
        <f t="array" ref="F147">"https://www.google.com/maps/search/?api=1&amp;query=" &amp; A147 &amp; "," &amp; B147</f>
        <v>https://www.google.com/maps/search/?api=1&amp;query=-30.9061916057822,-55.5424262647073</v>
      </c>
      <c r="G147" s="16" t="str">
        <f t="array" ref="G147">"https://earth.google.com/web/search/" &amp; A147 &amp; "," &amp; B147</f>
        <v>https://earth.google.com/web/search/-30.9061916057822,-55.5424262647073</v>
      </c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ht="26.25" customHeight="1">
      <c r="A148" s="17" t="s">
        <v>300</v>
      </c>
      <c r="B148" s="18" t="s">
        <v>301</v>
      </c>
      <c r="C148" s="14">
        <v>1.0</v>
      </c>
      <c r="D148" s="15">
        <v>375.0</v>
      </c>
      <c r="E148" s="15">
        <v>16.0</v>
      </c>
      <c r="F148" s="16" t="str">
        <f t="array" ref="F148">"https://www.google.com/maps/search/?api=1&amp;query=" &amp; A148 &amp; "," &amp; B148</f>
        <v>https://www.google.com/maps/search/?api=1&amp;query=-30.9061099390615,-55.5425574511662</v>
      </c>
      <c r="G148" s="16" t="str">
        <f t="array" ref="G148">"https://earth.google.com/web/search/" &amp; A148 &amp; "," &amp; B148</f>
        <v>https://earth.google.com/web/search/-30.9061099390615,-55.5425574511662</v>
      </c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ht="26.25" customHeight="1">
      <c r="A149" s="17" t="s">
        <v>302</v>
      </c>
      <c r="B149" s="18" t="s">
        <v>303</v>
      </c>
      <c r="C149" s="14">
        <v>1.0</v>
      </c>
      <c r="D149" s="15">
        <v>375.0</v>
      </c>
      <c r="E149" s="15">
        <v>16.0</v>
      </c>
      <c r="F149" s="16" t="str">
        <f t="array" ref="F149">"https://www.google.com/maps/search/?api=1&amp;query=" &amp; A149 &amp; "," &amp; B149</f>
        <v>https://www.google.com/maps/search/?api=1&amp;query=-30.9061427824322,-55.5429807612145</v>
      </c>
      <c r="G149" s="16" t="str">
        <f t="array" ref="G149">"https://earth.google.com/web/search/" &amp; A149 &amp; "," &amp; B149</f>
        <v>https://earth.google.com/web/search/-30.9061427824322,-55.5429807612145</v>
      </c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ht="26.25" customHeight="1">
      <c r="A150" s="17" t="s">
        <v>304</v>
      </c>
      <c r="B150" s="18" t="s">
        <v>305</v>
      </c>
      <c r="C150" s="14">
        <v>1.0</v>
      </c>
      <c r="D150" s="15">
        <v>375.0</v>
      </c>
      <c r="E150" s="15">
        <v>17.0</v>
      </c>
      <c r="F150" s="16" t="str">
        <f t="array" ref="F150">"https://www.google.com/maps/search/?api=1&amp;query=" &amp; A150 &amp; "," &amp; B150</f>
        <v>https://www.google.com/maps/search/?api=1&amp;query=-30.9062478628464,-55.5430561847217</v>
      </c>
      <c r="G150" s="16" t="str">
        <f t="array" ref="G150">"https://earth.google.com/web/search/" &amp; A150 &amp; "," &amp; B150</f>
        <v>https://earth.google.com/web/search/-30.9062478628464,-55.5430561847217</v>
      </c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ht="26.25" customHeight="1">
      <c r="A151" s="17" t="s">
        <v>306</v>
      </c>
      <c r="B151" s="18" t="s">
        <v>307</v>
      </c>
      <c r="C151" s="14">
        <v>1.0</v>
      </c>
      <c r="D151" s="15">
        <v>375.0</v>
      </c>
      <c r="E151" s="15">
        <v>18.0</v>
      </c>
      <c r="F151" s="16" t="str">
        <f t="array" ref="F151">"https://www.google.com/maps/search/?api=1&amp;query=" &amp; A151 &amp; "," &amp; B151</f>
        <v>https://www.google.com/maps/search/?api=1&amp;query=-30.9063571395208,-55.5431326798814</v>
      </c>
      <c r="G151" s="16" t="str">
        <f t="array" ref="G151">"https://earth.google.com/web/search/" &amp; A151 &amp; "," &amp; B151</f>
        <v>https://earth.google.com/web/search/-30.9063571395208,-55.5431326798814</v>
      </c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ht="26.25" customHeight="1">
      <c r="A152" s="17" t="s">
        <v>308</v>
      </c>
      <c r="B152" s="18" t="s">
        <v>309</v>
      </c>
      <c r="C152" s="14">
        <v>1.0</v>
      </c>
      <c r="D152" s="15">
        <v>375.0</v>
      </c>
      <c r="E152" s="15">
        <v>19.0</v>
      </c>
      <c r="F152" s="16" t="str">
        <f t="array" ref="F152">"https://www.google.com/maps/search/?api=1&amp;query=" &amp; A152 &amp; "," &amp; B152</f>
        <v>https://www.google.com/maps/search/?api=1&amp;query=-3.0906502635596,-55.5432631813071</v>
      </c>
      <c r="G152" s="16" t="str">
        <f t="array" ref="G152">"https://earth.google.com/web/search/" &amp; A152 &amp; "," &amp; B152</f>
        <v>https://earth.google.com/web/search/-3.0906502635596,-55.5432631813071</v>
      </c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ht="26.25" customHeight="1">
      <c r="A153" s="17" t="s">
        <v>310</v>
      </c>
      <c r="B153" s="18" t="s">
        <v>311</v>
      </c>
      <c r="C153" s="14">
        <v>1.0</v>
      </c>
      <c r="D153" s="15">
        <v>374.0</v>
      </c>
      <c r="E153" s="15">
        <v>1.0</v>
      </c>
      <c r="F153" s="16" t="str">
        <f t="array" ref="F153">"https://www.google.com/maps/search/?api=1&amp;query=" &amp; A153 &amp; "," &amp; B153</f>
        <v>https://www.google.com/maps/search/?api=1&amp;query=-30.9062791545662,-55.5440271803468</v>
      </c>
      <c r="G153" s="16" t="str">
        <f t="array" ref="G153">"https://earth.google.com/web/search/" &amp; A153 &amp; "," &amp; B153</f>
        <v>https://earth.google.com/web/search/-30.9062791545662,-55.5440271803468</v>
      </c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ht="26.25" customHeight="1">
      <c r="A154" s="17" t="s">
        <v>312</v>
      </c>
      <c r="B154" s="18" t="s">
        <v>313</v>
      </c>
      <c r="C154" s="14">
        <v>1.0</v>
      </c>
      <c r="D154" s="15">
        <v>374.0</v>
      </c>
      <c r="E154" s="15">
        <v>2.0</v>
      </c>
      <c r="F154" s="16" t="str">
        <f t="array" ref="F154">"https://www.google.com/maps/search/?api=1&amp;query=" &amp; A154 &amp; "," &amp; B154</f>
        <v>https://www.google.com/maps/search/?api=1&amp;query=-30.9063855035837,-55.5438481546002</v>
      </c>
      <c r="G154" s="16" t="str">
        <f t="array" ref="G154">"https://earth.google.com/web/search/" &amp; A154 &amp; "," &amp; B154</f>
        <v>https://earth.google.com/web/search/-30.9063855035837,-55.5438481546002</v>
      </c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ht="26.25" customHeight="1">
      <c r="A155" s="17" t="s">
        <v>314</v>
      </c>
      <c r="B155" s="18" t="s">
        <v>315</v>
      </c>
      <c r="C155" s="14">
        <v>1.0</v>
      </c>
      <c r="D155" s="15">
        <v>374.0</v>
      </c>
      <c r="E155" s="15">
        <v>3.0</v>
      </c>
      <c r="F155" s="16" t="str">
        <f t="array" ref="F155">"https://www.google.com/maps/search/?api=1&amp;query=" &amp; A155 &amp; "," &amp; B155</f>
        <v>https://www.google.com/maps/search/?api=1&amp;query=-30.9064973823536,-5.5543394060849</v>
      </c>
      <c r="G155" s="16" t="str">
        <f t="array" ref="G155">"https://earth.google.com/web/search/" &amp; A155 &amp; "," &amp; B155</f>
        <v>https://earth.google.com/web/search/-30.9064973823536,-5.5543394060849</v>
      </c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ht="26.25" customHeight="1">
      <c r="A156" s="17" t="s">
        <v>316</v>
      </c>
      <c r="B156" s="18" t="s">
        <v>317</v>
      </c>
      <c r="C156" s="14">
        <v>1.0</v>
      </c>
      <c r="D156" s="15">
        <v>374.0</v>
      </c>
      <c r="E156" s="15">
        <v>4.0</v>
      </c>
      <c r="F156" s="16" t="str">
        <f t="array" ref="F156">"https://www.google.com/maps/search/?api=1&amp;query=" &amp; A156 &amp; "," &amp; B156</f>
        <v>https://www.google.com/maps/search/?api=1&amp;query=-30.9062358465223,-5.5543182364987</v>
      </c>
      <c r="G156" s="16" t="str">
        <f t="array" ref="G156">"https://earth.google.com/web/search/" &amp; A156 &amp; "," &amp; B156</f>
        <v>https://earth.google.com/web/search/-30.9062358465223,-5.5543182364987</v>
      </c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ht="26.25" customHeight="1">
      <c r="A157" s="17" t="s">
        <v>318</v>
      </c>
      <c r="B157" s="18" t="s">
        <v>319</v>
      </c>
      <c r="C157" s="14">
        <v>1.0</v>
      </c>
      <c r="D157" s="15">
        <v>374.0</v>
      </c>
      <c r="E157" s="15">
        <v>5.0</v>
      </c>
      <c r="F157" s="16" t="str">
        <f t="array" ref="F157">"https://www.google.com/maps/search/?api=1&amp;query=" &amp; A157 &amp; "," &amp; B157</f>
        <v>https://www.google.com/maps/search/?api=1&amp;query=-30.9060929634433,-55.5430848493164</v>
      </c>
      <c r="G157" s="16" t="str">
        <f t="array" ref="G157">"https://earth.google.com/web/search/" &amp; A157 &amp; "," &amp; B157</f>
        <v>https://earth.google.com/web/search/-30.9060929634433,-55.5430848493164</v>
      </c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ht="26.25" customHeight="1">
      <c r="A158" s="17" t="s">
        <v>320</v>
      </c>
      <c r="B158" s="18" t="s">
        <v>321</v>
      </c>
      <c r="C158" s="14">
        <v>1.0</v>
      </c>
      <c r="D158" s="15">
        <v>374.0</v>
      </c>
      <c r="E158" s="15">
        <v>6.0</v>
      </c>
      <c r="F158" s="16" t="str">
        <f t="array" ref="F158">"https://www.google.com/maps/search/?api=1&amp;query=" &amp; A158 &amp; "," &amp; B158</f>
        <v>https://www.google.com/maps/search/?api=1&amp;query=-30.9060332990143,-55.5430300433685</v>
      </c>
      <c r="G158" s="16" t="str">
        <f t="array" ref="G158">"https://earth.google.com/web/search/" &amp; A158 &amp; "," &amp; B158</f>
        <v>https://earth.google.com/web/search/-30.9060332990143,-55.5430300433685</v>
      </c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ht="26.25" customHeight="1">
      <c r="A159" s="17" t="s">
        <v>322</v>
      </c>
      <c r="B159" s="18" t="s">
        <v>323</v>
      </c>
      <c r="C159" s="14">
        <v>1.0</v>
      </c>
      <c r="D159" s="15">
        <v>374.0</v>
      </c>
      <c r="E159" s="15">
        <v>7.0</v>
      </c>
      <c r="F159" s="16" t="str">
        <f t="array" ref="F159">"https://www.google.com/maps/search/?api=1&amp;query=" &amp; A159 &amp; "," &amp; B159</f>
        <v>https://www.google.com/maps/search/?api=1&amp;query=-30.9058092595023,-55.5431276934193</v>
      </c>
      <c r="G159" s="16" t="str">
        <f t="array" ref="G159">"https://earth.google.com/web/search/" &amp; A159 &amp; "," &amp; B159</f>
        <v>https://earth.google.com/web/search/-30.9058092595023,-55.5431276934193</v>
      </c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ht="26.25" customHeight="1">
      <c r="A160" s="17" t="s">
        <v>324</v>
      </c>
      <c r="B160" s="18" t="s">
        <v>325</v>
      </c>
      <c r="C160" s="14">
        <v>1.0</v>
      </c>
      <c r="D160" s="15">
        <v>374.0</v>
      </c>
      <c r="E160" s="15">
        <v>8.0</v>
      </c>
      <c r="F160" s="16" t="str">
        <f t="array" ref="F160">"https://www.google.com/maps/search/?api=1&amp;query=" &amp; A160 &amp; "," &amp; B160</f>
        <v>https://www.google.com/maps/search/?api=1&amp;query=-30.9057532104055,-55.5432493121191</v>
      </c>
      <c r="G160" s="16" t="str">
        <f t="array" ref="G160">"https://earth.google.com/web/search/" &amp; A160 &amp; "," &amp; B160</f>
        <v>https://earth.google.com/web/search/-30.9057532104055,-55.5432493121191</v>
      </c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ht="26.25" customHeight="1">
      <c r="A161" s="17" t="s">
        <v>326</v>
      </c>
      <c r="B161" s="18" t="s">
        <v>327</v>
      </c>
      <c r="C161" s="14">
        <v>1.0</v>
      </c>
      <c r="D161" s="15">
        <v>374.0</v>
      </c>
      <c r="E161" s="15">
        <v>9.0</v>
      </c>
      <c r="F161" s="16" t="str">
        <f t="array" ref="F161">"https://www.google.com/maps/search/?api=1&amp;query=" &amp; A161 &amp; "," &amp; B161</f>
        <v>https://www.google.com/maps/search/?api=1&amp;query=-30.9056373320574,-55.5434485610865</v>
      </c>
      <c r="G161" s="16" t="str">
        <f t="array" ref="G161">"https://earth.google.com/web/search/" &amp; A161 &amp; "," &amp; B161</f>
        <v>https://earth.google.com/web/search/-30.9056373320574,-55.5434485610865</v>
      </c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ht="26.25" customHeight="1">
      <c r="A162" s="17" t="s">
        <v>328</v>
      </c>
      <c r="B162" s="18" t="s">
        <v>329</v>
      </c>
      <c r="C162" s="14">
        <v>1.0</v>
      </c>
      <c r="D162" s="15">
        <v>374.0</v>
      </c>
      <c r="E162" s="15">
        <v>10.0</v>
      </c>
      <c r="F162" s="16" t="str">
        <f t="array" ref="F162">"https://www.google.com/maps/search/?api=1&amp;query=" &amp; A162 &amp; "," &amp; B162</f>
        <v>https://www.google.com/maps/search/?api=1&amp;query=-30.9055332556947,-55.5438083408984</v>
      </c>
      <c r="G162" s="16" t="str">
        <f t="array" ref="G162">"https://earth.google.com/web/search/" &amp; A162 &amp; "," &amp; B162</f>
        <v>https://earth.google.com/web/search/-30.9055332556947,-55.5438083408984</v>
      </c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ht="26.25" customHeight="1">
      <c r="A163" s="17" t="s">
        <v>330</v>
      </c>
      <c r="B163" s="18" t="s">
        <v>331</v>
      </c>
      <c r="C163" s="14">
        <v>1.0</v>
      </c>
      <c r="D163" s="15">
        <v>374.0</v>
      </c>
      <c r="E163" s="15">
        <v>11.0</v>
      </c>
      <c r="F163" s="16" t="str">
        <f t="array" ref="F163">"https://www.google.com/maps/search/?api=1&amp;query=" &amp; A163 &amp; "," &amp; B163</f>
        <v>https://www.google.com/maps/search/?api=1&amp;query=-30.9056768389922,-55.5439027069254</v>
      </c>
      <c r="G163" s="16" t="str">
        <f t="array" ref="G163">"https://earth.google.com/web/search/" &amp; A163 &amp; "," &amp; B163</f>
        <v>https://earth.google.com/web/search/-30.9056768389922,-55.5439027069254</v>
      </c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ht="26.25" customHeight="1">
      <c r="A164" s="17" t="s">
        <v>332</v>
      </c>
      <c r="B164" s="18" t="s">
        <v>333</v>
      </c>
      <c r="C164" s="14">
        <v>1.0</v>
      </c>
      <c r="D164" s="15">
        <v>374.0</v>
      </c>
      <c r="E164" s="15">
        <v>12.0</v>
      </c>
      <c r="F164" s="16" t="str">
        <f t="array" ref="F164">"https://www.google.com/maps/search/?api=1&amp;query=" &amp; A164 &amp; "," &amp; B164</f>
        <v>https://www.google.com/maps/search/?api=1&amp;query=-3.0905723104062,-55.5439273525261</v>
      </c>
      <c r="G164" s="16" t="str">
        <f t="array" ref="G164">"https://earth.google.com/web/search/" &amp; A164 &amp; "," &amp; B164</f>
        <v>https://earth.google.com/web/search/-3.0905723104062,-55.5439273525261</v>
      </c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ht="26.25" customHeight="1">
      <c r="A165" s="17" t="s">
        <v>334</v>
      </c>
      <c r="B165" s="18" t="s">
        <v>335</v>
      </c>
      <c r="C165" s="14">
        <v>1.0</v>
      </c>
      <c r="D165" s="15">
        <v>374.0</v>
      </c>
      <c r="E165" s="15">
        <v>13.0</v>
      </c>
      <c r="F165" s="16" t="str">
        <f t="array" ref="F165">"https://www.google.com/maps/search/?api=1&amp;query=" &amp; A165 &amp; "," &amp; B165</f>
        <v>https://www.google.com/maps/search/?api=1&amp;query=-30.9057621334676,-55.5439631009108</v>
      </c>
      <c r="G165" s="16" t="str">
        <f t="array" ref="G165">"https://earth.google.com/web/search/" &amp; A165 &amp; "," &amp; B165</f>
        <v>https://earth.google.com/web/search/-30.9057621334676,-55.5439631009108</v>
      </c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ht="26.25" customHeight="1">
      <c r="A166" s="17" t="s">
        <v>336</v>
      </c>
      <c r="B166" s="18" t="s">
        <v>337</v>
      </c>
      <c r="C166" s="14">
        <v>1.0</v>
      </c>
      <c r="D166" s="15">
        <v>374.0</v>
      </c>
      <c r="E166" s="15">
        <v>14.0</v>
      </c>
      <c r="F166" s="16" t="str">
        <f t="array" ref="F166">"https://www.google.com/maps/search/?api=1&amp;query=" &amp; A166 &amp; "," &amp; B166</f>
        <v>https://www.google.com/maps/search/?api=1&amp;query=-30.9060066983428,-55.5441361676045</v>
      </c>
      <c r="G166" s="16" t="str">
        <f t="array" ref="G166">"https://earth.google.com/web/search/" &amp; A166 &amp; "," &amp; B166</f>
        <v>https://earth.google.com/web/search/-30.9060066983428,-55.5441361676045</v>
      </c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ht="26.25" customHeight="1">
      <c r="A167" s="17" t="s">
        <v>338</v>
      </c>
      <c r="B167" s="18" t="s">
        <v>339</v>
      </c>
      <c r="C167" s="14">
        <v>1.0</v>
      </c>
      <c r="D167" s="15">
        <v>374.0</v>
      </c>
      <c r="E167" s="15">
        <v>15.0</v>
      </c>
      <c r="F167" s="16" t="str">
        <f t="array" ref="F167">"https://www.google.com/maps/search/?api=1&amp;query=" &amp; A167 &amp; "," &amp; B167</f>
        <v>https://www.google.com/maps/search/?api=1&amp;query=-30.9060694593091,-55.5441853026489</v>
      </c>
      <c r="G167" s="16" t="str">
        <f t="array" ref="G167">"https://earth.google.com/web/search/" &amp; A167 &amp; "," &amp; B167</f>
        <v>https://earth.google.com/web/search/-30.9060694593091,-55.5441853026489</v>
      </c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ht="26.25" customHeight="1">
      <c r="A168" s="17" t="s">
        <v>340</v>
      </c>
      <c r="B168" s="18" t="s">
        <v>341</v>
      </c>
      <c r="C168" s="14">
        <v>1.0</v>
      </c>
      <c r="D168" s="15">
        <v>374.0</v>
      </c>
      <c r="E168" s="15">
        <v>16.0</v>
      </c>
      <c r="F168" s="16" t="str">
        <f t="array" ref="F168">"https://www.google.com/maps/search/?api=1&amp;query=" &amp; A168 &amp; "," &amp; B168</f>
        <v>https://www.google.com/maps/search/?api=1&amp;query=-3.0906136959424,-55.5442297461175</v>
      </c>
      <c r="G168" s="16" t="str">
        <f t="array" ref="G168">"https://earth.google.com/web/search/" &amp; A168 &amp; "," &amp; B168</f>
        <v>https://earth.google.com/web/search/-3.0906136959424,-55.5442297461175</v>
      </c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ht="26.25" customHeight="1">
      <c r="A169" s="17" t="s">
        <v>342</v>
      </c>
      <c r="B169" s="18" t="s">
        <v>343</v>
      </c>
      <c r="C169" s="14">
        <v>1.0</v>
      </c>
      <c r="D169" s="15">
        <v>373.0</v>
      </c>
      <c r="E169" s="15">
        <v>1.0</v>
      </c>
      <c r="F169" s="16" t="str">
        <f t="array" ref="F169">"https://www.google.com/maps/search/?api=1&amp;query=" &amp; A169 &amp; "," &amp; B169</f>
        <v>https://www.google.com/maps/search/?api=1&amp;query=-30.9050505203466,-55.5447826368956</v>
      </c>
      <c r="G169" s="16" t="str">
        <f t="array" ref="G169">"https://earth.google.com/web/search/" &amp; A169 &amp; "," &amp; B169</f>
        <v>https://earth.google.com/web/search/-30.9050505203466,-55.5447826368956</v>
      </c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ht="26.25" customHeight="1">
      <c r="A170" s="17" t="s">
        <v>344</v>
      </c>
      <c r="B170" s="18" t="s">
        <v>345</v>
      </c>
      <c r="C170" s="14">
        <v>1.0</v>
      </c>
      <c r="D170" s="15">
        <v>373.0</v>
      </c>
      <c r="E170" s="15">
        <v>2.0</v>
      </c>
      <c r="F170" s="16" t="str">
        <f t="array" ref="F170">"https://www.google.com/maps/search/?api=1&amp;query=" &amp; A170 &amp; "," &amp; B170</f>
        <v>https://www.google.com/maps/search/?api=1&amp;query=-30.9051037288871,-55.5448195276637</v>
      </c>
      <c r="G170" s="16" t="str">
        <f t="array" ref="G170">"https://earth.google.com/web/search/" &amp; A170 &amp; "," &amp; B170</f>
        <v>https://earth.google.com/web/search/-30.9051037288871,-55.5448195276637</v>
      </c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ht="26.25" customHeight="1">
      <c r="A171" s="17" t="s">
        <v>346</v>
      </c>
      <c r="B171" s="18" t="s">
        <v>347</v>
      </c>
      <c r="C171" s="14">
        <v>1.0</v>
      </c>
      <c r="D171" s="15">
        <v>373.0</v>
      </c>
      <c r="E171" s="15">
        <v>3.0</v>
      </c>
      <c r="F171" s="16" t="str">
        <f t="array" ref="F171">"https://www.google.com/maps/search/?api=1&amp;query=" &amp; A171 &amp; "," &amp; B171</f>
        <v>https://www.google.com/maps/search/?api=1&amp;query=-30.9051553348284,-55.5448564741357</v>
      </c>
      <c r="G171" s="16" t="str">
        <f t="array" ref="G171">"https://earth.google.com/web/search/" &amp; A171 &amp; "," &amp; B171</f>
        <v>https://earth.google.com/web/search/-30.9051553348284,-55.5448564741357</v>
      </c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ht="26.25" customHeight="1">
      <c r="A172" s="17" t="s">
        <v>348</v>
      </c>
      <c r="B172" s="18" t="s">
        <v>349</v>
      </c>
      <c r="C172" s="14">
        <v>1.0</v>
      </c>
      <c r="D172" s="15">
        <v>373.0</v>
      </c>
      <c r="E172" s="15">
        <v>4.0</v>
      </c>
      <c r="F172" s="16" t="str">
        <f t="array" ref="F172">"https://www.google.com/maps/search/?api=1&amp;query=" &amp; A172 &amp; "," &amp; B172</f>
        <v>https://www.google.com/maps/search/?api=1&amp;query=-30.9052832738456,-5.5544935647806</v>
      </c>
      <c r="G172" s="16" t="str">
        <f t="array" ref="G172">"https://earth.google.com/web/search/" &amp; A172 &amp; "," &amp; B172</f>
        <v>https://earth.google.com/web/search/-30.9052832738456,-5.5544935647806</v>
      </c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ht="26.25" customHeight="1">
      <c r="A173" s="17" t="s">
        <v>350</v>
      </c>
      <c r="B173" s="18" t="s">
        <v>351</v>
      </c>
      <c r="C173" s="14">
        <v>1.0</v>
      </c>
      <c r="D173" s="15">
        <v>373.0</v>
      </c>
      <c r="E173" s="15">
        <v>5.0</v>
      </c>
      <c r="F173" s="16" t="str">
        <f t="array" ref="F173">"https://www.google.com/maps/search/?api=1&amp;query=" &amp; A173 &amp; "," &amp; B173</f>
        <v>https://www.google.com/maps/search/?api=1&amp;query=-30.9054673432448,-55.5450605678712</v>
      </c>
      <c r="G173" s="16" t="str">
        <f t="array" ref="G173">"https://earth.google.com/web/search/" &amp; A173 &amp; "," &amp; B173</f>
        <v>https://earth.google.com/web/search/-30.9054673432448,-55.5450605678712</v>
      </c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ht="26.25" customHeight="1">
      <c r="A174" s="17" t="s">
        <v>352</v>
      </c>
      <c r="B174" s="18" t="s">
        <v>353</v>
      </c>
      <c r="C174" s="14">
        <v>1.0</v>
      </c>
      <c r="D174" s="15">
        <v>373.0</v>
      </c>
      <c r="E174" s="15">
        <v>6.0</v>
      </c>
      <c r="F174" s="16" t="str">
        <f t="array" ref="F174">"https://www.google.com/maps/search/?api=1&amp;query=" &amp; A174 &amp; "," &amp; B174</f>
        <v>https://www.google.com/maps/search/?api=1&amp;query=-30.9055298359688,-55.5450986597358</v>
      </c>
      <c r="G174" s="16" t="str">
        <f t="array" ref="G174">"https://earth.google.com/web/search/" &amp; A174 &amp; "," &amp; B174</f>
        <v>https://earth.google.com/web/search/-30.9055298359688,-55.5450986597358</v>
      </c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ht="26.25" customHeight="1">
      <c r="A175" s="17" t="s">
        <v>354</v>
      </c>
      <c r="B175" s="18" t="s">
        <v>355</v>
      </c>
      <c r="C175" s="14">
        <v>1.0</v>
      </c>
      <c r="D175" s="15">
        <v>373.0</v>
      </c>
      <c r="E175" s="15">
        <v>7.0</v>
      </c>
      <c r="F175" s="16" t="str">
        <f t="array" ref="F175">"https://www.google.com/maps/search/?api=1&amp;query=" &amp; A175 &amp; "," &amp; B175</f>
        <v>https://www.google.com/maps/search/?api=1&amp;query=-30.9055910588519,-55.5451470137842</v>
      </c>
      <c r="G175" s="16" t="str">
        <f t="array" ref="G175">"https://earth.google.com/web/search/" &amp; A175 &amp; "," &amp; B175</f>
        <v>https://earth.google.com/web/search/-30.9055910588519,-55.5451470137842</v>
      </c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ht="26.25" customHeight="1">
      <c r="A176" s="17" t="s">
        <v>356</v>
      </c>
      <c r="B176" s="18" t="s">
        <v>357</v>
      </c>
      <c r="C176" s="14">
        <v>1.0</v>
      </c>
      <c r="D176" s="15">
        <v>373.0</v>
      </c>
      <c r="E176" s="15">
        <v>8.0</v>
      </c>
      <c r="F176" s="16" t="str">
        <f t="array" ref="F176">"https://www.google.com/maps/search/?api=1&amp;query=" &amp; A176 &amp; "," &amp; B176</f>
        <v>https://www.google.com/maps/search/?api=1&amp;query=-30.9057475728556,-55.5450855139851</v>
      </c>
      <c r="G176" s="16" t="str">
        <f t="array" ref="G176">"https://earth.google.com/web/search/" &amp; A176 &amp; "," &amp; B176</f>
        <v>https://earth.google.com/web/search/-30.9057475728556,-55.5450855139851</v>
      </c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ht="26.25" customHeight="1">
      <c r="A177" s="17" t="s">
        <v>358</v>
      </c>
      <c r="B177" s="18" t="s">
        <v>359</v>
      </c>
      <c r="C177" s="14">
        <v>1.0</v>
      </c>
      <c r="D177" s="15">
        <v>373.0</v>
      </c>
      <c r="E177" s="15">
        <v>9.0</v>
      </c>
      <c r="F177" s="16" t="str">
        <f t="array" ref="F177">"https://www.google.com/maps/search/?api=1&amp;query=" &amp; A177 &amp; "," &amp; B177</f>
        <v>https://www.google.com/maps/search/?api=1&amp;query=-30.9057885428456,-55.5449993209547</v>
      </c>
      <c r="G177" s="16" t="str">
        <f t="array" ref="G177">"https://earth.google.com/web/search/" &amp; A177 &amp; "," &amp; B177</f>
        <v>https://earth.google.com/web/search/-30.9057885428456,-55.5449993209547</v>
      </c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ht="26.25" customHeight="1">
      <c r="A178" s="17" t="s">
        <v>360</v>
      </c>
      <c r="B178" s="18" t="s">
        <v>361</v>
      </c>
      <c r="C178" s="14">
        <v>1.0</v>
      </c>
      <c r="D178" s="15">
        <v>373.0</v>
      </c>
      <c r="E178" s="15">
        <v>10.0</v>
      </c>
      <c r="F178" s="16" t="str">
        <f t="array" ref="F178">"https://www.google.com/maps/search/?api=1&amp;query=" &amp; A178 &amp; "," &amp; B178</f>
        <v>https://www.google.com/maps/search/?api=1&amp;query=-30.9058751963081,-55.5448722736586</v>
      </c>
      <c r="G178" s="16" t="str">
        <f t="array" ref="G178">"https://earth.google.com/web/search/" &amp; A178 &amp; "," &amp; B178</f>
        <v>https://earth.google.com/web/search/-30.9058751963081,-55.5448722736586</v>
      </c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ht="26.25" customHeight="1">
      <c r="A179" s="17" t="s">
        <v>362</v>
      </c>
      <c r="B179" s="18" t="s">
        <v>363</v>
      </c>
      <c r="C179" s="14">
        <v>1.0</v>
      </c>
      <c r="D179" s="15">
        <v>373.0</v>
      </c>
      <c r="E179" s="15">
        <v>11.0</v>
      </c>
      <c r="F179" s="16" t="str">
        <f t="array" ref="F179">"https://www.google.com/maps/search/?api=1&amp;query=" &amp; A179 &amp; "," &amp; B179</f>
        <v>https://www.google.com/maps/search/?api=1&amp;query=-30.9059111444821,-55.5447990532352</v>
      </c>
      <c r="G179" s="16" t="str">
        <f t="array" ref="G179">"https://earth.google.com/web/search/" &amp; A179 &amp; "," &amp; B179</f>
        <v>https://earth.google.com/web/search/-30.9059111444821,-55.5447990532352</v>
      </c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ht="26.25" customHeight="1">
      <c r="A180" s="17" t="s">
        <v>364</v>
      </c>
      <c r="B180" s="18" t="s">
        <v>365</v>
      </c>
      <c r="C180" s="14">
        <v>1.0</v>
      </c>
      <c r="D180" s="15">
        <v>373.0</v>
      </c>
      <c r="E180" s="15">
        <v>12.0</v>
      </c>
      <c r="F180" s="16" t="str">
        <f t="array" ref="F180">"https://www.google.com/maps/search/?api=1&amp;query=" &amp; A180 &amp; "," &amp; B180</f>
        <v>https://www.google.com/maps/search/?api=1&amp;query=-30.9059471000542,-5.5544735023191</v>
      </c>
      <c r="G180" s="16" t="str">
        <f t="array" ref="G180">"https://earth.google.com/web/search/" &amp; A180 &amp; "," &amp; B180</f>
        <v>https://earth.google.com/web/search/-30.9059471000542,-5.5544735023191</v>
      </c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ht="26.25" customHeight="1">
      <c r="A181" s="17" t="s">
        <v>366</v>
      </c>
      <c r="B181" s="18" t="s">
        <v>367</v>
      </c>
      <c r="C181" s="14">
        <v>1.0</v>
      </c>
      <c r="D181" s="15">
        <v>373.0</v>
      </c>
      <c r="E181" s="15">
        <v>13.0</v>
      </c>
      <c r="F181" s="16" t="str">
        <f t="array" ref="F181">"https://www.google.com/maps/search/?api=1&amp;query=" &amp; A181 &amp; "," &amp; B181</f>
        <v>https://www.google.com/maps/search/?api=1&amp;query=-30.9059764569029,-55.5446720567796</v>
      </c>
      <c r="G181" s="16" t="str">
        <f t="array" ref="G181">"https://earth.google.com/web/search/" &amp; A181 &amp; "," &amp; B181</f>
        <v>https://earth.google.com/web/search/-30.9059764569029,-55.5446720567796</v>
      </c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ht="26.25" customHeight="1">
      <c r="A182" s="17" t="s">
        <v>368</v>
      </c>
      <c r="B182" s="18" t="s">
        <v>369</v>
      </c>
      <c r="C182" s="14">
        <v>1.0</v>
      </c>
      <c r="D182" s="15">
        <v>373.0</v>
      </c>
      <c r="E182" s="15">
        <v>14.0</v>
      </c>
      <c r="F182" s="16" t="str">
        <f t="array" ref="F182">"https://www.google.com/maps/search/?api=1&amp;query=" &amp; A182 &amp; "," &amp; B182</f>
        <v>https://www.google.com/maps/search/?api=1&amp;query=-30.9060390469646,-5.5544562985648</v>
      </c>
      <c r="G182" s="16" t="str">
        <f t="array" ref="G182">"https://earth.google.com/web/search/" &amp; A182 &amp; "," &amp; B182</f>
        <v>https://earth.google.com/web/search/-30.9060390469646,-5.5544562985648</v>
      </c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ht="26.25" customHeight="1">
      <c r="A183" s="17" t="s">
        <v>370</v>
      </c>
      <c r="B183" s="18" t="s">
        <v>371</v>
      </c>
      <c r="C183" s="14">
        <v>1.0</v>
      </c>
      <c r="D183" s="15">
        <v>373.0</v>
      </c>
      <c r="E183" s="15">
        <v>15.0</v>
      </c>
      <c r="F183" s="16" t="str">
        <f t="array" ref="F183">"https://www.google.com/maps/search/?api=1&amp;query=" &amp; A183 &amp; "," &amp; B183</f>
        <v>https://www.google.com/maps/search/?api=1&amp;query=-30.9060643952479,-55.5445204255835</v>
      </c>
      <c r="G183" s="16" t="str">
        <f t="array" ref="G183">"https://earth.google.com/web/search/" &amp; A183 &amp; "," &amp; B183</f>
        <v>https://earth.google.com/web/search/-30.9060643952479,-55.5445204255835</v>
      </c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ht="26.25" customHeight="1">
      <c r="A184" s="17" t="s">
        <v>372</v>
      </c>
      <c r="B184" s="18" t="s">
        <v>373</v>
      </c>
      <c r="C184" s="14">
        <v>1.0</v>
      </c>
      <c r="D184" s="15">
        <v>373.0</v>
      </c>
      <c r="E184" s="15">
        <v>16.0</v>
      </c>
      <c r="F184" s="16" t="str">
        <f t="array" ref="F184">"https://www.google.com/maps/search/?api=1&amp;query=" &amp; A184 &amp; "," &amp; B184</f>
        <v>https://www.google.com/maps/search/?api=1&amp;query=-30.9055661528126,-55.5439665158217</v>
      </c>
      <c r="G184" s="16" t="str">
        <f t="array" ref="G184">"https://earth.google.com/web/search/" &amp; A184 &amp; "," &amp; B184</f>
        <v>https://earth.google.com/web/search/-30.9055661528126,-55.5439665158217</v>
      </c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ht="26.25" customHeight="1">
      <c r="A185" s="17" t="s">
        <v>374</v>
      </c>
      <c r="B185" s="18" t="s">
        <v>375</v>
      </c>
      <c r="C185" s="14">
        <v>1.0</v>
      </c>
      <c r="D185" s="15">
        <v>373.0</v>
      </c>
      <c r="E185" s="15">
        <v>17.0</v>
      </c>
      <c r="F185" s="16" t="str">
        <f t="array" ref="F185">"https://www.google.com/maps/search/?api=1&amp;query=" &amp; A185 &amp; "," &amp; B185</f>
        <v>https://www.google.com/maps/search/?api=1&amp;query=-30.9055200123711,-55.5439260499274</v>
      </c>
      <c r="G185" s="16" t="str">
        <f t="array" ref="G185">"https://earth.google.com/web/search/" &amp; A185 &amp; "," &amp; B185</f>
        <v>https://earth.google.com/web/search/-30.9055200123711,-55.5439260499274</v>
      </c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ht="26.25" customHeight="1">
      <c r="A186" s="17" t="s">
        <v>376</v>
      </c>
      <c r="B186" s="18" t="s">
        <v>377</v>
      </c>
      <c r="C186" s="14">
        <v>1.0</v>
      </c>
      <c r="D186" s="15">
        <v>373.0</v>
      </c>
      <c r="E186" s="15">
        <v>18.0</v>
      </c>
      <c r="F186" s="16" t="str">
        <f t="array" ref="F186">"https://www.google.com/maps/search/?api=1&amp;query=" &amp; A186 &amp; "," &amp; B186</f>
        <v>https://www.google.com/maps/search/?api=1&amp;query=-30.9052892459124,-55.5440852369797</v>
      </c>
      <c r="G186" s="16" t="str">
        <f t="array" ref="G186">"https://earth.google.com/web/search/" &amp; A186 &amp; "," &amp; B186</f>
        <v>https://earth.google.com/web/search/-30.9052892459124,-55.5440852369797</v>
      </c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ht="26.25" customHeight="1">
      <c r="A187" s="17" t="s">
        <v>378</v>
      </c>
      <c r="B187" s="18" t="s">
        <v>379</v>
      </c>
      <c r="C187" s="14">
        <v>1.0</v>
      </c>
      <c r="D187" s="15">
        <v>373.0</v>
      </c>
      <c r="E187" s="15">
        <v>19.0</v>
      </c>
      <c r="F187" s="16" t="str">
        <f t="array" ref="F187">"https://www.google.com/maps/search/?api=1&amp;query=" &amp; A187 &amp; "," &amp; B187</f>
        <v>https://www.google.com/maps/search/?api=1&amp;query=-3.0905233952046,-55.5442267669496</v>
      </c>
      <c r="G187" s="16" t="str">
        <f t="array" ref="G187">"https://earth.google.com/web/search/" &amp; A187 &amp; "," &amp; B187</f>
        <v>https://earth.google.com/web/search/-3.0905233952046,-55.5442267669496</v>
      </c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ht="26.25" customHeight="1">
      <c r="A188" s="17" t="s">
        <v>380</v>
      </c>
      <c r="B188" s="18" t="s">
        <v>381</v>
      </c>
      <c r="C188" s="14">
        <v>1.0</v>
      </c>
      <c r="D188" s="15">
        <v>373.0</v>
      </c>
      <c r="E188" s="15">
        <v>20.0</v>
      </c>
      <c r="F188" s="16" t="str">
        <f t="array" ref="F188">"https://www.google.com/maps/search/?api=1&amp;query=" &amp; A188 &amp; "," &amp; B188</f>
        <v>https://www.google.com/maps/search/?api=1&amp;query=-3.0905168034248,-55.5443403066076</v>
      </c>
      <c r="G188" s="16" t="str">
        <f t="array" ref="G188">"https://earth.google.com/web/search/" &amp; A188 &amp; "," &amp; B188</f>
        <v>https://earth.google.com/web/search/-3.0905168034248,-55.5443403066076</v>
      </c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ht="26.25" customHeight="1">
      <c r="A189" s="17" t="s">
        <v>382</v>
      </c>
      <c r="B189" s="18" t="s">
        <v>383</v>
      </c>
      <c r="C189" s="14">
        <v>1.0</v>
      </c>
      <c r="D189" s="15">
        <v>373.0</v>
      </c>
      <c r="E189" s="15">
        <v>21.0</v>
      </c>
      <c r="F189" s="16" t="str">
        <f t="array" ref="F189">"https://www.google.com/maps/search/?api=1&amp;query=" &amp; A189 &amp; "," &amp; B189</f>
        <v>https://www.google.com/maps/search/?api=1&amp;query=-30.9051339981951,-55.5444047065325</v>
      </c>
      <c r="G189" s="16" t="str">
        <f t="array" ref="G189">"https://earth.google.com/web/search/" &amp; A189 &amp; "," &amp; B189</f>
        <v>https://earth.google.com/web/search/-30.9051339981951,-55.5444047065325</v>
      </c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ht="26.25" customHeight="1">
      <c r="A190" s="17" t="s">
        <v>384</v>
      </c>
      <c r="B190" s="18" t="s">
        <v>385</v>
      </c>
      <c r="C190" s="14">
        <v>1.0</v>
      </c>
      <c r="D190" s="15">
        <v>373.0</v>
      </c>
      <c r="E190" s="15">
        <v>22.0</v>
      </c>
      <c r="F190" s="16" t="str">
        <f t="array" ref="F190">"https://www.google.com/maps/search/?api=1&amp;query=" &amp; A190 &amp; "," &amp; B190</f>
        <v>https://www.google.com/maps/search/?api=1&amp;query=-30.9050944125149,-55.5444698178377</v>
      </c>
      <c r="G190" s="16" t="str">
        <f t="array" ref="G190">"https://earth.google.com/web/search/" &amp; A190 &amp; "," &amp; B190</f>
        <v>https://earth.google.com/web/search/-30.9050944125149,-55.5444698178377</v>
      </c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ht="26.25" customHeight="1">
      <c r="A191" s="17" t="s">
        <v>386</v>
      </c>
      <c r="B191" s="18" t="s">
        <v>387</v>
      </c>
      <c r="C191" s="14">
        <v>1.0</v>
      </c>
      <c r="D191" s="15">
        <v>373.0</v>
      </c>
      <c r="E191" s="15">
        <v>23.0</v>
      </c>
      <c r="F191" s="16" t="str">
        <f t="array" ref="F191">"https://www.google.com/maps/search/?api=1&amp;query=" &amp; A191 &amp; "," &amp; B191</f>
        <v>https://www.google.com/maps/search/?api=1&amp;query=-30.9050330444944,-55.5445903268797</v>
      </c>
      <c r="G191" s="16" t="str">
        <f t="array" ref="G191">"https://earth.google.com/web/search/" &amp; A191 &amp; "," &amp; B191</f>
        <v>https://earth.google.com/web/search/-30.9050330444944,-55.5445903268797</v>
      </c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ht="26.25" customHeight="1">
      <c r="A192" s="17" t="s">
        <v>388</v>
      </c>
      <c r="B192" s="18" t="s">
        <v>389</v>
      </c>
      <c r="C192" s="14">
        <v>1.0</v>
      </c>
      <c r="D192" s="15">
        <v>372.0</v>
      </c>
      <c r="E192" s="15">
        <v>1.0</v>
      </c>
      <c r="F192" s="16" t="str">
        <f t="array" ref="F192">"https://www.google.com/maps/search/?api=1&amp;query=" &amp; A192 &amp; "," &amp; B192</f>
        <v>https://www.google.com/maps/search/?api=1&amp;query=-30.9051087478662,-55.5449413417364</v>
      </c>
      <c r="G192" s="16" t="str">
        <f t="array" ref="G192">"https://earth.google.com/web/search/" &amp; A192 &amp; "," &amp; B192</f>
        <v>https://earth.google.com/web/search/-30.9051087478662,-55.5449413417364</v>
      </c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ht="26.25" customHeight="1">
      <c r="A193" s="17" t="s">
        <v>390</v>
      </c>
      <c r="B193" s="18" t="s">
        <v>391</v>
      </c>
      <c r="C193" s="14">
        <v>1.0</v>
      </c>
      <c r="D193" s="15">
        <v>372.0</v>
      </c>
      <c r="E193" s="15">
        <v>2.0</v>
      </c>
      <c r="F193" s="16" t="str">
        <f t="array" ref="F193">"https://www.google.com/maps/search/?api=1&amp;query=" &amp; A193 &amp; "," &amp; B193</f>
        <v>https://www.google.com/maps/search/?api=1&amp;query=-30.9051747474747,-55.5449922094491</v>
      </c>
      <c r="G193" s="16" t="str">
        <f t="array" ref="G193">"https://earth.google.com/web/search/" &amp; A193 &amp; "," &amp; B193</f>
        <v>https://earth.google.com/web/search/-30.9051747474747,-55.5449922094491</v>
      </c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ht="26.25" customHeight="1">
      <c r="A194" s="17" t="s">
        <v>392</v>
      </c>
      <c r="B194" s="18" t="s">
        <v>393</v>
      </c>
      <c r="C194" s="14">
        <v>1.0</v>
      </c>
      <c r="D194" s="15">
        <v>372.0</v>
      </c>
      <c r="E194" s="15">
        <v>3.0</v>
      </c>
      <c r="F194" s="16" t="str">
        <f t="array" ref="F194">"https://www.google.com/maps/search/?api=1&amp;query=" &amp; A194 &amp; "," &amp; B194</f>
        <v>https://www.google.com/maps/search/?api=1&amp;query=-30.9053827699247,-55.5451064876404</v>
      </c>
      <c r="G194" s="16" t="str">
        <f t="array" ref="G194">"https://earth.google.com/web/search/" &amp; A194 &amp; "," &amp; B194</f>
        <v>https://earth.google.com/web/search/-30.9053827699247,-55.5451064876404</v>
      </c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ht="26.25" customHeight="1">
      <c r="A195" s="17" t="s">
        <v>394</v>
      </c>
      <c r="B195" s="18" t="s">
        <v>395</v>
      </c>
      <c r="C195" s="14">
        <v>1.0</v>
      </c>
      <c r="D195" s="15">
        <v>372.0</v>
      </c>
      <c r="E195" s="15">
        <v>4.0</v>
      </c>
      <c r="F195" s="16" t="str">
        <f t="array" ref="F195">"https://www.google.com/maps/search/?api=1&amp;query=" &amp; A195 &amp; "," &amp; B195</f>
        <v>https://www.google.com/maps/search/?api=1&amp;query=-30.9054256892652,-55.5451422184561</v>
      </c>
      <c r="G195" s="16" t="str">
        <f t="array" ref="G195">"https://earth.google.com/web/search/" &amp; A195 &amp; "," &amp; B195</f>
        <v>https://earth.google.com/web/search/-30.9054256892652,-55.5451422184561</v>
      </c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ht="26.25" customHeight="1">
      <c r="A196" s="17" t="s">
        <v>396</v>
      </c>
      <c r="B196" s="18" t="s">
        <v>397</v>
      </c>
      <c r="C196" s="14">
        <v>1.0</v>
      </c>
      <c r="D196" s="15">
        <v>372.0</v>
      </c>
      <c r="E196" s="15">
        <v>5.0</v>
      </c>
      <c r="F196" s="16" t="str">
        <f t="array" ref="F196">"https://www.google.com/maps/search/?api=1&amp;query=" &amp; A196 &amp; "," &amp; B196</f>
        <v>https://www.google.com/maps/search/?api=1&amp;query=-30.9055322670694,-55.5454667316567</v>
      </c>
      <c r="G196" s="16" t="str">
        <f t="array" ref="G196">"https://earth.google.com/web/search/" &amp; A196 &amp; "," &amp; B196</f>
        <v>https://earth.google.com/web/search/-30.9055322670694,-55.5454667316567</v>
      </c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ht="26.25" customHeight="1">
      <c r="A197" s="17" t="s">
        <v>398</v>
      </c>
      <c r="B197" s="18" t="s">
        <v>399</v>
      </c>
      <c r="C197" s="14">
        <v>1.0</v>
      </c>
      <c r="D197" s="15">
        <v>372.0</v>
      </c>
      <c r="E197" s="15">
        <v>6.0</v>
      </c>
      <c r="F197" s="16" t="str">
        <f t="array" ref="F197">"https://www.google.com/maps/search/?api=1&amp;query=" &amp; A197 &amp; "," &amp; B197</f>
        <v>https://www.google.com/maps/search/?api=1&amp;query=-30.9055060741693,-55.5455062195995</v>
      </c>
      <c r="G197" s="16" t="str">
        <f t="array" ref="G197">"https://earth.google.com/web/search/" &amp; A197 &amp; "," &amp; B197</f>
        <v>https://earth.google.com/web/search/-30.9055060741693,-55.5455062195995</v>
      </c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ht="26.25" customHeight="1">
      <c r="A198" s="17" t="s">
        <v>400</v>
      </c>
      <c r="B198" s="18" t="s">
        <v>401</v>
      </c>
      <c r="C198" s="14">
        <v>1.0</v>
      </c>
      <c r="D198" s="15">
        <v>335.0</v>
      </c>
      <c r="E198" s="15">
        <v>1.0</v>
      </c>
      <c r="F198" s="16" t="str">
        <f t="array" ref="F198">"https://www.google.com/maps/search/?api=1&amp;query=" &amp; A198 &amp; "," &amp; B198</f>
        <v>https://www.google.com/maps/search/?api=1&amp;query=-30.9069224168798,-55.5408510259735</v>
      </c>
      <c r="G198" s="16" t="str">
        <f t="array" ref="G198">"https://earth.google.com/web/search/" &amp; A198 &amp; "," &amp; B198</f>
        <v>https://earth.google.com/web/search/-30.9069224168798,-55.5408510259735</v>
      </c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ht="26.25" customHeight="1">
      <c r="A199" s="17" t="s">
        <v>402</v>
      </c>
      <c r="B199" s="18" t="s">
        <v>403</v>
      </c>
      <c r="C199" s="14">
        <v>1.0</v>
      </c>
      <c r="D199" s="15">
        <v>335.0</v>
      </c>
      <c r="E199" s="15">
        <v>2.0</v>
      </c>
      <c r="F199" s="16" t="str">
        <f t="array" ref="F199">"https://www.google.com/maps/search/?api=1&amp;query=" &amp; A199 &amp; "," &amp; B199</f>
        <v>https://www.google.com/maps/search/?api=1&amp;query=-0.3090714757785,-55.5404144039185</v>
      </c>
      <c r="G199" s="16" t="str">
        <f t="array" ref="G199">"https://earth.google.com/web/search/" &amp; A199 &amp; "," &amp; B199</f>
        <v>https://earth.google.com/web/search/-0.3090714757785,-55.5404144039185</v>
      </c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ht="26.25" customHeight="1">
      <c r="A200" s="17" t="s">
        <v>404</v>
      </c>
      <c r="B200" s="18" t="s">
        <v>405</v>
      </c>
      <c r="C200" s="14">
        <v>1.0</v>
      </c>
      <c r="D200" s="15">
        <v>335.0</v>
      </c>
      <c r="E200" s="15">
        <v>3.0</v>
      </c>
      <c r="F200" s="16" t="str">
        <f t="array" ref="F200">"https://www.google.com/maps/search/?api=1&amp;query=" &amp; A200 &amp; "," &amp; B200</f>
        <v>https://www.google.com/maps/search/?api=1&amp;query=-30.9071969273133,-55.5403312928597</v>
      </c>
      <c r="G200" s="16" t="str">
        <f t="array" ref="G200">"https://earth.google.com/web/search/" &amp; A200 &amp; "," &amp; B200</f>
        <v>https://earth.google.com/web/search/-30.9071969273133,-55.5403312928597</v>
      </c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ht="26.25" customHeight="1">
      <c r="A201" s="17" t="s">
        <v>406</v>
      </c>
      <c r="B201" s="18" t="s">
        <v>407</v>
      </c>
      <c r="C201" s="14">
        <v>1.0</v>
      </c>
      <c r="D201" s="15">
        <v>335.0</v>
      </c>
      <c r="E201" s="15">
        <v>4.0</v>
      </c>
      <c r="F201" s="16" t="str">
        <f t="array" ref="F201">"https://www.google.com/maps/search/?api=1&amp;query=" &amp; A201 &amp; "," &amp; B201</f>
        <v>https://www.google.com/maps/search/?api=1&amp;query=-30.9071638755838,-55.5401024041676</v>
      </c>
      <c r="G201" s="16" t="str">
        <f t="array" ref="G201">"https://earth.google.com/web/search/" &amp; A201 &amp; "," &amp; B201</f>
        <v>https://earth.google.com/web/search/-30.9071638755838,-55.5401024041676</v>
      </c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ht="26.25" customHeight="1">
      <c r="A202" s="17" t="s">
        <v>408</v>
      </c>
      <c r="B202" s="18" t="s">
        <v>409</v>
      </c>
      <c r="C202" s="14">
        <v>1.0</v>
      </c>
      <c r="D202" s="15">
        <v>335.0</v>
      </c>
      <c r="E202" s="15">
        <v>5.0</v>
      </c>
      <c r="F202" s="16" t="str">
        <f t="array" ref="F202">"https://www.google.com/maps/search/?api=1&amp;query=" &amp; A202 &amp; "," &amp; B202</f>
        <v>https://www.google.com/maps/search/?api=1&amp;query=-30.9070876316905,-55.5400351815124</v>
      </c>
      <c r="G202" s="16" t="str">
        <f t="array" ref="G202">"https://earth.google.com/web/search/" &amp; A202 &amp; "," &amp; B202</f>
        <v>https://earth.google.com/web/search/-30.9070876316905,-55.5400351815124</v>
      </c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ht="26.25" customHeight="1">
      <c r="A203" s="17" t="s">
        <v>410</v>
      </c>
      <c r="B203" s="18" t="s">
        <v>411</v>
      </c>
      <c r="C203" s="14">
        <v>1.0</v>
      </c>
      <c r="D203" s="15">
        <v>335.0</v>
      </c>
      <c r="E203" s="15">
        <v>6.0</v>
      </c>
      <c r="F203" s="16" t="str">
        <f t="array" ref="F203">"https://www.google.com/maps/search/?api=1&amp;query=" &amp; A203 &amp; "," &amp; B203</f>
        <v>https://www.google.com/maps/search/?api=1&amp;query=-30.9068307839872,-55.5398599696736</v>
      </c>
      <c r="G203" s="16" t="str">
        <f t="array" ref="G203">"https://earth.google.com/web/search/" &amp; A203 &amp; "," &amp; B203</f>
        <v>https://earth.google.com/web/search/-30.9068307839872,-55.5398599696736</v>
      </c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ht="26.25" customHeight="1">
      <c r="A204" s="17" t="s">
        <v>412</v>
      </c>
      <c r="B204" s="18" t="s">
        <v>413</v>
      </c>
      <c r="C204" s="14">
        <v>1.0</v>
      </c>
      <c r="D204" s="15">
        <v>335.0</v>
      </c>
      <c r="E204" s="15">
        <v>7.0</v>
      </c>
      <c r="F204" s="16" t="str">
        <f t="array" ref="F204">"https://www.google.com/maps/search/?api=1&amp;query=" &amp; A204 &amp; "," &amp; B204</f>
        <v>https://www.google.com/maps/search/?api=1&amp;query=-30.9067627967378,-55.5398179506156</v>
      </c>
      <c r="G204" s="16" t="str">
        <f t="array" ref="G204">"https://earth.google.com/web/search/" &amp; A204 &amp; "," &amp; B204</f>
        <v>https://earth.google.com/web/search/-30.9067627967378,-55.5398179506156</v>
      </c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ht="26.25" customHeight="1">
      <c r="A205" s="17" t="s">
        <v>414</v>
      </c>
      <c r="B205" s="18" t="s">
        <v>415</v>
      </c>
      <c r="C205" s="14">
        <v>1.0</v>
      </c>
      <c r="D205" s="15">
        <v>335.0</v>
      </c>
      <c r="E205" s="15">
        <v>8.0</v>
      </c>
      <c r="F205" s="16" t="str">
        <f t="array" ref="F205">"https://www.google.com/maps/search/?api=1&amp;query=" &amp; A205 &amp; "," &amp; B205</f>
        <v>https://www.google.com/maps/search/?api=1&amp;query=-30.9064873396353,-55.5398317984674</v>
      </c>
      <c r="G205" s="16" t="str">
        <f t="array" ref="G205">"https://earth.google.com/web/search/" &amp; A205 &amp; "," &amp; B205</f>
        <v>https://earth.google.com/web/search/-30.9064873396353,-55.5398317984674</v>
      </c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ht="26.25" customHeight="1">
      <c r="A206" s="17" t="s">
        <v>416</v>
      </c>
      <c r="B206" s="18" t="s">
        <v>417</v>
      </c>
      <c r="C206" s="14">
        <v>1.0</v>
      </c>
      <c r="D206" s="15">
        <v>335.0</v>
      </c>
      <c r="E206" s="15">
        <v>8.0</v>
      </c>
      <c r="F206" s="16" t="str">
        <f t="array" ref="F206">"https://www.google.com/maps/search/?api=1&amp;query=" &amp; A206 &amp; "," &amp; B206</f>
        <v>https://www.google.com/maps/search/?api=1&amp;query=-3.0906374373242,-55.5400419615494</v>
      </c>
      <c r="G206" s="16" t="str">
        <f t="array" ref="G206">"https://earth.google.com/web/search/" &amp; A206 &amp; "," &amp; B206</f>
        <v>https://earth.google.com/web/search/-3.0906374373242,-55.5400419615494</v>
      </c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ht="26.25" customHeight="1">
      <c r="A207" s="17" t="s">
        <v>418</v>
      </c>
      <c r="B207" s="18" t="s">
        <v>419</v>
      </c>
      <c r="C207" s="14">
        <v>1.0</v>
      </c>
      <c r="D207" s="15">
        <v>335.0</v>
      </c>
      <c r="E207" s="15">
        <v>9.0</v>
      </c>
      <c r="F207" s="16" t="str">
        <f t="array" ref="F207">"https://www.google.com/maps/search/?api=1&amp;query=" &amp; A207 &amp; "," &amp; B207</f>
        <v>https://www.google.com/maps/search/?api=1&amp;query=-30.9063210321238,-55.5401355203231</v>
      </c>
      <c r="G207" s="16" t="str">
        <f t="array" ref="G207">"https://earth.google.com/web/search/" &amp; A207 &amp; "," &amp; B207</f>
        <v>https://earth.google.com/web/search/-30.9063210321238,-55.5401355203231</v>
      </c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ht="26.25" customHeight="1">
      <c r="A208" s="17" t="s">
        <v>420</v>
      </c>
      <c r="B208" s="18" t="s">
        <v>421</v>
      </c>
      <c r="C208" s="14">
        <v>1.0</v>
      </c>
      <c r="D208" s="15">
        <v>335.0</v>
      </c>
      <c r="E208" s="15">
        <v>10.0</v>
      </c>
      <c r="F208" s="16" t="str">
        <f t="array" ref="F208">"https://www.google.com/maps/search/?api=1&amp;query=" &amp; A208 &amp; "," &amp; B208</f>
        <v>https://www.google.com/maps/search/?api=1&amp;query=-30.9062510894431,-55.5402706522377</v>
      </c>
      <c r="G208" s="16" t="str">
        <f t="array" ref="G208">"https://earth.google.com/web/search/" &amp; A208 &amp; "," &amp; B208</f>
        <v>https://earth.google.com/web/search/-30.9062510894431,-55.5402706522377</v>
      </c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ht="26.25" customHeight="1">
      <c r="A209" s="17" t="s">
        <v>422</v>
      </c>
      <c r="B209" s="18" t="s">
        <v>423</v>
      </c>
      <c r="C209" s="14">
        <v>1.0</v>
      </c>
      <c r="D209" s="15">
        <v>335.0</v>
      </c>
      <c r="E209" s="15">
        <v>11.0</v>
      </c>
      <c r="F209" s="16" t="str">
        <f t="array" ref="F209">"https://www.google.com/maps/search/?api=1&amp;query=" &amp; A209 &amp; "," &amp; B209</f>
        <v>https://www.google.com/maps/search/?api=1&amp;query=-30.9061868316596,-55.5403574261216</v>
      </c>
      <c r="G209" s="16" t="str">
        <f t="array" ref="G209">"https://earth.google.com/web/search/" &amp; A209 &amp; "," &amp; B209</f>
        <v>https://earth.google.com/web/search/-30.9061868316596,-55.5403574261216</v>
      </c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ht="26.25" customHeight="1">
      <c r="A210" s="17" t="s">
        <v>424</v>
      </c>
      <c r="B210" s="18" t="s">
        <v>425</v>
      </c>
      <c r="C210" s="14">
        <v>1.0</v>
      </c>
      <c r="D210" s="15">
        <v>335.0</v>
      </c>
      <c r="E210" s="15">
        <v>12.0</v>
      </c>
      <c r="F210" s="16" t="str">
        <f t="array" ref="F210">"https://www.google.com/maps/search/?api=1&amp;query=" &amp; A210 &amp; "," &amp; B210</f>
        <v>https://www.google.com/maps/search/?api=1&amp;query=-30.9062899415339,-55.5405821610872</v>
      </c>
      <c r="G210" s="16" t="str">
        <f t="array" ref="G210">"https://earth.google.com/web/search/" &amp; A210 &amp; "," &amp; B210</f>
        <v>https://earth.google.com/web/search/-30.9062899415339,-55.5405821610872</v>
      </c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ht="26.25" customHeight="1">
      <c r="A211" s="17" t="s">
        <v>426</v>
      </c>
      <c r="B211" s="18" t="s">
        <v>427</v>
      </c>
      <c r="C211" s="14">
        <v>1.0</v>
      </c>
      <c r="D211" s="15">
        <v>335.0</v>
      </c>
      <c r="E211" s="15">
        <v>13.0</v>
      </c>
      <c r="F211" s="16" t="str">
        <f t="array" ref="F211">"https://www.google.com/maps/search/?api=1&amp;query=" &amp; A211 &amp; "," &amp; B211</f>
        <v>https://www.google.com/maps/search/?api=1&amp;query=-30.9063479021584,-55.5406281698954</v>
      </c>
      <c r="G211" s="16" t="str">
        <f t="array" ref="G211">"https://earth.google.com/web/search/" &amp; A211 &amp; "," &amp; B211</f>
        <v>https://earth.google.com/web/search/-30.9063479021584,-55.5406281698954</v>
      </c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ht="26.25" customHeight="1">
      <c r="A212" s="17" t="s">
        <v>428</v>
      </c>
      <c r="B212" s="18" t="s">
        <v>429</v>
      </c>
      <c r="C212" s="14">
        <v>1.0</v>
      </c>
      <c r="D212" s="15">
        <v>335.0</v>
      </c>
      <c r="E212" s="15">
        <v>14.0</v>
      </c>
      <c r="F212" s="16" t="str">
        <f t="array" ref="F212">"https://www.google.com/maps/search/?api=1&amp;query=" &amp; A212 &amp; "," &amp; B212</f>
        <v>https://www.google.com/maps/search/?api=1&amp;query=-30.9068081343182,-55.5409725691468</v>
      </c>
      <c r="G212" s="16" t="str">
        <f t="array" ref="G212">"https://earth.google.com/web/search/" &amp; A212 &amp; "," &amp; B212</f>
        <v>https://earth.google.com/web/search/-30.9068081343182,-55.5409725691468</v>
      </c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ht="26.25" customHeight="1">
      <c r="A213" s="17" t="s">
        <v>430</v>
      </c>
      <c r="B213" s="18" t="s">
        <v>431</v>
      </c>
      <c r="C213" s="14">
        <v>1.0</v>
      </c>
      <c r="D213" s="15">
        <v>336.0</v>
      </c>
      <c r="E213" s="15">
        <v>1.0</v>
      </c>
      <c r="F213" s="16" t="str">
        <f t="array" ref="F213">"https://www.google.com/maps/search/?api=1&amp;query=" &amp; A213 &amp; "," &amp; B213</f>
        <v>https://www.google.com/maps/search/?api=1&amp;query=-30.9064341534845,-55.5417419842569</v>
      </c>
      <c r="G213" s="16" t="str">
        <f t="array" ref="G213">"https://earth.google.com/web/search/" &amp; A213 &amp; "," &amp; B213</f>
        <v>https://earth.google.com/web/search/-30.9064341534845,-55.5417419842569</v>
      </c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ht="26.25" customHeight="1">
      <c r="A214" s="17" t="s">
        <v>432</v>
      </c>
      <c r="B214" s="18" t="s">
        <v>433</v>
      </c>
      <c r="C214" s="14">
        <v>1.0</v>
      </c>
      <c r="D214" s="15">
        <v>336.0</v>
      </c>
      <c r="E214" s="15">
        <v>2.0</v>
      </c>
      <c r="F214" s="16" t="str">
        <f t="array" ref="F214">"https://www.google.com/maps/search/?api=1&amp;query=" &amp; A214 &amp; "," &amp; B214</f>
        <v>https://www.google.com/maps/search/?api=1&amp;query=-30.9065442669551,-55.5415307333633</v>
      </c>
      <c r="G214" s="16" t="str">
        <f t="array" ref="G214">"https://earth.google.com/web/search/" &amp; A214 &amp; "," &amp; B214</f>
        <v>https://earth.google.com/web/search/-30.9065442669551,-55.5415307333633</v>
      </c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ht="26.25" customHeight="1">
      <c r="A215" s="17" t="s">
        <v>434</v>
      </c>
      <c r="B215" s="18" t="s">
        <v>435</v>
      </c>
      <c r="C215" s="14">
        <v>1.0</v>
      </c>
      <c r="D215" s="15">
        <v>336.0</v>
      </c>
      <c r="E215" s="15">
        <v>3.0</v>
      </c>
      <c r="F215" s="16" t="str">
        <f t="array" ref="F215">"https://www.google.com/maps/search/?api=1&amp;query=" &amp; A215 &amp; "," &amp; B215</f>
        <v>https://www.google.com/maps/search/?api=1&amp;query=-30.9066041576293,-55.5414236681312</v>
      </c>
      <c r="G215" s="16" t="str">
        <f t="array" ref="G215">"https://earth.google.com/web/search/" &amp; A215 &amp; "," &amp; B215</f>
        <v>https://earth.google.com/web/search/-30.9066041576293,-55.5414236681312</v>
      </c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ht="26.25" customHeight="1">
      <c r="A216" s="17" t="s">
        <v>436</v>
      </c>
      <c r="B216" s="18" t="s">
        <v>437</v>
      </c>
      <c r="C216" s="14">
        <v>1.0</v>
      </c>
      <c r="D216" s="15">
        <v>336.0</v>
      </c>
      <c r="E216" s="15">
        <v>4.0</v>
      </c>
      <c r="F216" s="16" t="str">
        <f t="array" ref="F216">"https://www.google.com/maps/search/?api=1&amp;query=" &amp; A216 &amp; "," &amp; B216</f>
        <v>https://www.google.com/maps/search/?api=1&amp;query=-30.9066277911094,-55.5413632830472</v>
      </c>
      <c r="G216" s="16" t="str">
        <f t="array" ref="G216">"https://earth.google.com/web/search/" &amp; A216 &amp; "," &amp; B216</f>
        <v>https://earth.google.com/web/search/-30.9066277911094,-55.5413632830472</v>
      </c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ht="26.25" customHeight="1">
      <c r="A217" s="17" t="s">
        <v>438</v>
      </c>
      <c r="B217" s="18" t="s">
        <v>439</v>
      </c>
      <c r="C217" s="14">
        <v>1.0</v>
      </c>
      <c r="D217" s="15">
        <v>336.0</v>
      </c>
      <c r="E217" s="15">
        <v>5.0</v>
      </c>
      <c r="F217" s="16" t="str">
        <f t="array" ref="F217">"https://www.google.com/maps/search/?api=1&amp;query=" &amp; A217 &amp; "," &amp; B217</f>
        <v>https://www.google.com/maps/search/?api=1&amp;query=-30.9066954284352,-55.5412219505367</v>
      </c>
      <c r="G217" s="16" t="str">
        <f t="array" ref="G217">"https://earth.google.com/web/search/" &amp; A217 &amp; "," &amp; B217</f>
        <v>https://earth.google.com/web/search/-30.9066954284352,-55.5412219505367</v>
      </c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ht="26.25" customHeight="1">
      <c r="A218" s="17" t="s">
        <v>440</v>
      </c>
      <c r="B218" s="18" t="s">
        <v>441</v>
      </c>
      <c r="C218" s="14">
        <v>1.0</v>
      </c>
      <c r="D218" s="15">
        <v>336.0</v>
      </c>
      <c r="E218" s="15">
        <v>6.0</v>
      </c>
      <c r="F218" s="16" t="str">
        <f t="array" ref="F218">"https://www.google.com/maps/search/?api=1&amp;query=" &amp; A218 &amp; "," &amp; B218</f>
        <v>https://www.google.com/maps/search/?api=1&amp;query=-30.9067524330098,-55.5411485747382</v>
      </c>
      <c r="G218" s="16" t="str">
        <f t="array" ref="G218">"https://earth.google.com/web/search/" &amp; A218 &amp; "," &amp; B218</f>
        <v>https://earth.google.com/web/search/-30.9067524330098,-55.5411485747382</v>
      </c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ht="26.25" customHeight="1">
      <c r="A219" s="17" t="s">
        <v>442</v>
      </c>
      <c r="B219" s="18" t="s">
        <v>443</v>
      </c>
      <c r="C219" s="14">
        <v>1.0</v>
      </c>
      <c r="D219" s="15">
        <v>336.0</v>
      </c>
      <c r="E219" s="15">
        <v>7.0</v>
      </c>
      <c r="F219" s="16" t="str">
        <f t="array" ref="F219">"https://www.google.com/maps/search/?api=1&amp;query=" &amp; A219 &amp; "," &amp; B219</f>
        <v>https://www.google.com/maps/search/?api=1&amp;query=-30.9067261993937,-55.5410303231378</v>
      </c>
      <c r="G219" s="16" t="str">
        <f t="array" ref="G219">"https://earth.google.com/web/search/" &amp; A219 &amp; "," &amp; B219</f>
        <v>https://earth.google.com/web/search/-30.9067261993937,-55.5410303231378</v>
      </c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ht="26.25" customHeight="1">
      <c r="A220" s="17" t="s">
        <v>444</v>
      </c>
      <c r="B220" s="18" t="s">
        <v>445</v>
      </c>
      <c r="C220" s="14">
        <v>1.0</v>
      </c>
      <c r="D220" s="15">
        <v>336.0</v>
      </c>
      <c r="E220" s="15">
        <v>8.0</v>
      </c>
      <c r="F220" s="16" t="str">
        <f t="array" ref="F220">"https://www.google.com/maps/search/?api=1&amp;query=" &amp; A220 &amp; "," &amp; B220</f>
        <v>https://www.google.com/maps/search/?api=1&amp;query=-30.9066703620544,-55.5410002271298</v>
      </c>
      <c r="G220" s="16" t="str">
        <f t="array" ref="G220">"https://earth.google.com/web/search/" &amp; A220 &amp; "," &amp; B220</f>
        <v>https://earth.google.com/web/search/-30.9066703620544,-55.5410002271298</v>
      </c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ht="26.25" customHeight="1">
      <c r="A221" s="17" t="s">
        <v>446</v>
      </c>
      <c r="B221" s="18" t="s">
        <v>447</v>
      </c>
      <c r="C221" s="14">
        <v>1.0</v>
      </c>
      <c r="D221" s="15">
        <v>336.0</v>
      </c>
      <c r="E221" s="15">
        <v>9.0</v>
      </c>
      <c r="F221" s="16" t="str">
        <f t="array" ref="F221">"https://www.google.com/maps/search/?api=1&amp;query=" &amp; A221 &amp; "," &amp; B221</f>
        <v>https://www.google.com/maps/search/?api=1&amp;query=-30.9065880950757,-55.5409500323479</v>
      </c>
      <c r="G221" s="16" t="str">
        <f t="array" ref="G221">"https://earth.google.com/web/search/" &amp; A221 &amp; "," &amp; B221</f>
        <v>https://earth.google.com/web/search/-30.9065880950757,-55.5409500323479</v>
      </c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ht="26.25" customHeight="1">
      <c r="A222" s="17" t="s">
        <v>448</v>
      </c>
      <c r="B222" s="18" t="s">
        <v>449</v>
      </c>
      <c r="C222" s="14">
        <v>1.0</v>
      </c>
      <c r="D222" s="15">
        <v>336.0</v>
      </c>
      <c r="E222" s="15">
        <v>10.0</v>
      </c>
      <c r="F222" s="16" t="str">
        <f t="array" ref="F222">"https://www.google.com/maps/search/?api=1&amp;query=" &amp; A222 &amp; "," &amp; B222</f>
        <v>https://www.google.com/maps/search/?api=1&amp;query=-30.9065039354715,-55.5408848467456</v>
      </c>
      <c r="G222" s="16" t="str">
        <f t="array" ref="G222">"https://earth.google.com/web/search/" &amp; A222 &amp; "," &amp; B222</f>
        <v>https://earth.google.com/web/search/-30.9065039354715,-55.5408848467456</v>
      </c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ht="26.25" customHeight="1">
      <c r="A223" s="17" t="s">
        <v>450</v>
      </c>
      <c r="B223" s="18" t="s">
        <v>451</v>
      </c>
      <c r="C223" s="14">
        <v>1.0</v>
      </c>
      <c r="D223" s="15">
        <v>336.0</v>
      </c>
      <c r="E223" s="15">
        <v>11.0</v>
      </c>
      <c r="F223" s="16" t="str">
        <f t="array" ref="F223">"https://www.google.com/maps/search/?api=1&amp;query=" &amp; A223 &amp; "," &amp; B223</f>
        <v>https://www.google.com/maps/search/?api=1&amp;query=-30.9064227630845,-55.5408223386003</v>
      </c>
      <c r="G223" s="16" t="str">
        <f t="array" ref="G223">"https://earth.google.com/web/search/" &amp; A223 &amp; "," &amp; B223</f>
        <v>https://earth.google.com/web/search/-30.9064227630845,-55.5408223386003</v>
      </c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ht="26.25" customHeight="1">
      <c r="A224" s="17" t="s">
        <v>452</v>
      </c>
      <c r="B224" s="18" t="s">
        <v>453</v>
      </c>
      <c r="C224" s="14">
        <v>1.0</v>
      </c>
      <c r="D224" s="15">
        <v>336.0</v>
      </c>
      <c r="E224" s="15">
        <v>12.0</v>
      </c>
      <c r="F224" s="16" t="str">
        <f t="array" ref="F224">"https://www.google.com/maps/search/?api=1&amp;query=" &amp; A224 &amp; "," &amp; B224</f>
        <v>https://www.google.com/maps/search/?api=1&amp;query=-30.9063513528304,-55.5407593947535</v>
      </c>
      <c r="G224" s="16" t="str">
        <f t="array" ref="G224">"https://earth.google.com/web/search/" &amp; A224 &amp; "," &amp; B224</f>
        <v>https://earth.google.com/web/search/-30.9063513528304,-55.5407593947535</v>
      </c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ht="26.25" customHeight="1">
      <c r="A225" s="17" t="s">
        <v>454</v>
      </c>
      <c r="B225" s="18" t="s">
        <v>455</v>
      </c>
      <c r="C225" s="14">
        <v>1.0</v>
      </c>
      <c r="D225" s="15">
        <v>336.0</v>
      </c>
      <c r="E225" s="15">
        <v>13.0</v>
      </c>
      <c r="F225" s="16" t="str">
        <f t="array" ref="F225">"https://www.google.com/maps/search/?api=1&amp;query=" &amp; A225 &amp; "," &amp; B225</f>
        <v>https://www.google.com/maps/search/?api=1&amp;query=-30.9062731321728,-55.5407171335977</v>
      </c>
      <c r="G225" s="16" t="str">
        <f t="array" ref="G225">"https://earth.google.com/web/search/" &amp; A225 &amp; "," &amp; B225</f>
        <v>https://earth.google.com/web/search/-30.9062731321728,-55.5407171335977</v>
      </c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ht="26.25" customHeight="1">
      <c r="A226" s="17" t="s">
        <v>456</v>
      </c>
      <c r="B226" s="18" t="s">
        <v>457</v>
      </c>
      <c r="C226" s="14">
        <v>1.0</v>
      </c>
      <c r="D226" s="15">
        <v>336.0</v>
      </c>
      <c r="E226" s="15">
        <v>14.0</v>
      </c>
      <c r="F226" s="16" t="str">
        <f t="array" ref="F226">"https://www.google.com/maps/search/?api=1&amp;query=" &amp; A226 &amp; "," &amp; B226</f>
        <v>https://www.google.com/maps/search/?api=1&amp;query=-30.9061173409309,-55.5405819509031</v>
      </c>
      <c r="G226" s="16" t="str">
        <f t="array" ref="G226">"https://earth.google.com/web/search/" &amp; A226 &amp; "," &amp; B226</f>
        <v>https://earth.google.com/web/search/-30.9061173409309,-55.5405819509031</v>
      </c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ht="26.25" customHeight="1">
      <c r="A227" s="17" t="s">
        <v>458</v>
      </c>
      <c r="B227" s="18" t="s">
        <v>459</v>
      </c>
      <c r="C227" s="14">
        <v>1.0</v>
      </c>
      <c r="D227" s="15">
        <v>336.0</v>
      </c>
      <c r="E227" s="15">
        <v>15.0</v>
      </c>
      <c r="F227" s="16" t="str">
        <f t="array" ref="F227">"https://www.google.com/maps/search/?api=1&amp;query=" &amp; A227 &amp; "," &amp; B227</f>
        <v>https://www.google.com/maps/search/?api=1&amp;query=-3.0906050129764,-55.5406336892631</v>
      </c>
      <c r="G227" s="16" t="str">
        <f t="array" ref="G227">"https://earth.google.com/web/search/" &amp; A227 &amp; "," &amp; B227</f>
        <v>https://earth.google.com/web/search/-3.0906050129764,-55.5406336892631</v>
      </c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ht="26.25" customHeight="1">
      <c r="A228" s="17" t="s">
        <v>460</v>
      </c>
      <c r="B228" s="18" t="s">
        <v>461</v>
      </c>
      <c r="C228" s="14">
        <v>1.0</v>
      </c>
      <c r="D228" s="15">
        <v>336.0</v>
      </c>
      <c r="E228" s="15">
        <v>16.0</v>
      </c>
      <c r="F228" s="16" t="str">
        <f t="array" ref="F228">"https://www.google.com/maps/search/?api=1&amp;query=" &amp; A228 &amp; "," &amp; B228</f>
        <v>https://www.google.com/maps/search/?api=1&amp;query=-30.9060086360089,-55.5407128187484</v>
      </c>
      <c r="G228" s="16" t="str">
        <f t="array" ref="G228">"https://earth.google.com/web/search/" &amp; A228 &amp; "," &amp; B228</f>
        <v>https://earth.google.com/web/search/-30.9060086360089,-55.5407128187484</v>
      </c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ht="26.25" customHeight="1">
      <c r="A229" s="17" t="s">
        <v>462</v>
      </c>
      <c r="B229" s="18" t="s">
        <v>463</v>
      </c>
      <c r="C229" s="14">
        <v>1.0</v>
      </c>
      <c r="D229" s="15">
        <v>336.0</v>
      </c>
      <c r="E229" s="15">
        <v>17.0</v>
      </c>
      <c r="F229" s="16" t="str">
        <f t="array" ref="F229">"https://www.google.com/maps/search/?api=1&amp;query=" &amp; A229 &amp; "," &amp; B229</f>
        <v>https://www.google.com/maps/search/?api=1&amp;query=-30.9059146475233,-55.5409223308808</v>
      </c>
      <c r="G229" s="16" t="str">
        <f t="array" ref="G229">"https://earth.google.com/web/search/" &amp; A229 &amp; "," &amp; B229</f>
        <v>https://earth.google.com/web/search/-30.9059146475233,-55.5409223308808</v>
      </c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 ht="26.25" customHeight="1">
      <c r="A230" s="17" t="s">
        <v>464</v>
      </c>
      <c r="B230" s="18" t="s">
        <v>465</v>
      </c>
      <c r="C230" s="14">
        <v>1.0</v>
      </c>
      <c r="D230" s="15">
        <v>336.0</v>
      </c>
      <c r="E230" s="15">
        <v>18.0</v>
      </c>
      <c r="F230" s="16" t="str">
        <f t="array" ref="F230">"https://www.google.com/maps/search/?api=1&amp;query=" &amp; A230 &amp; "," &amp; B230</f>
        <v>https://www.google.com/maps/search/?api=1&amp;query=-30.9058419393883,-55.5410380605273</v>
      </c>
      <c r="G230" s="16" t="str">
        <f t="array" ref="G230">"https://earth.google.com/web/search/" &amp; A230 &amp; "," &amp; B230</f>
        <v>https://earth.google.com/web/search/-30.9058419393883,-55.5410380605273</v>
      </c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ht="26.25" customHeight="1">
      <c r="A231" s="17" t="s">
        <v>466</v>
      </c>
      <c r="B231" s="18" t="s">
        <v>467</v>
      </c>
      <c r="C231" s="14">
        <v>1.0</v>
      </c>
      <c r="D231" s="15">
        <v>336.0</v>
      </c>
      <c r="E231" s="15">
        <v>19.0</v>
      </c>
      <c r="F231" s="16" t="str">
        <f t="array" ref="F231">"https://www.google.com/maps/search/?api=1&amp;query=" &amp; A231 &amp; "," &amp; B231</f>
        <v>https://www.google.com/maps/search/?api=1&amp;query=-30.9057343893045,-55.5412283621021</v>
      </c>
      <c r="G231" s="16" t="str">
        <f t="array" ref="G231">"https://earth.google.com/web/search/" &amp; A231 &amp; "," &amp; B231</f>
        <v>https://earth.google.com/web/search/-30.9057343893045,-55.5412283621021</v>
      </c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ht="26.25" customHeight="1">
      <c r="A232" s="17" t="s">
        <v>468</v>
      </c>
      <c r="B232" s="18" t="s">
        <v>469</v>
      </c>
      <c r="C232" s="14">
        <v>1.0</v>
      </c>
      <c r="D232" s="15">
        <v>336.0</v>
      </c>
      <c r="E232" s="15">
        <v>20.0</v>
      </c>
      <c r="F232" s="16" t="str">
        <f t="array" ref="F232">"https://www.google.com/maps/search/?api=1&amp;query=" &amp; A232 &amp; "," &amp; B232</f>
        <v>https://www.google.com/maps/search/?api=1&amp;query=-30.9056994412895,-55.5414169646723</v>
      </c>
      <c r="G232" s="16" t="str">
        <f t="array" ref="G232">"https://earth.google.com/web/search/" &amp; A232 &amp; "," &amp; B232</f>
        <v>https://earth.google.com/web/search/-30.9056994412895,-55.5414169646723</v>
      </c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ht="26.25" customHeight="1">
      <c r="A233" s="17" t="s">
        <v>470</v>
      </c>
      <c r="B233" s="18" t="s">
        <v>471</v>
      </c>
      <c r="C233" s="14">
        <v>1.0</v>
      </c>
      <c r="D233" s="15">
        <v>336.0</v>
      </c>
      <c r="E233" s="15">
        <v>21.0</v>
      </c>
      <c r="F233" s="16" t="str">
        <f t="array" ref="F233">"https://www.google.com/maps/search/?api=1&amp;query=" &amp; A233 &amp; "," &amp; B233</f>
        <v>https://www.google.com/maps/search/?api=1&amp;query=-30.9057596042767,-55.5414612831513</v>
      </c>
      <c r="G233" s="16" t="str">
        <f t="array" ref="G233">"https://earth.google.com/web/search/" &amp; A233 &amp; "," &amp; B233</f>
        <v>https://earth.google.com/web/search/-30.9057596042767,-55.5414612831513</v>
      </c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ht="26.25" customHeight="1">
      <c r="A234" s="17" t="s">
        <v>472</v>
      </c>
      <c r="B234" s="18" t="s">
        <v>473</v>
      </c>
      <c r="C234" s="14">
        <v>1.0</v>
      </c>
      <c r="D234" s="15">
        <v>336.0</v>
      </c>
      <c r="E234" s="15">
        <v>22.0</v>
      </c>
      <c r="F234" s="16" t="str">
        <f t="array" ref="F234">"https://www.google.com/maps/search/?api=1&amp;query=" &amp; A234 &amp; "," &amp; B234</f>
        <v>https://www.google.com/maps/search/?api=1&amp;query=-30.9058081862748,-55.5414937229422</v>
      </c>
      <c r="G234" s="16" t="str">
        <f t="array" ref="G234">"https://earth.google.com/web/search/" &amp; A234 &amp; "," &amp; B234</f>
        <v>https://earth.google.com/web/search/-30.9058081862748,-55.5414937229422</v>
      </c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ht="26.25" customHeight="1">
      <c r="A235" s="17" t="s">
        <v>474</v>
      </c>
      <c r="B235" s="18" t="s">
        <v>475</v>
      </c>
      <c r="C235" s="14">
        <v>1.0</v>
      </c>
      <c r="D235" s="15">
        <v>337.0</v>
      </c>
      <c r="E235" s="15">
        <v>1.0</v>
      </c>
      <c r="F235" s="16" t="str">
        <f t="array" ref="F235">"https://www.google.com/maps/search/?api=1&amp;query=" &amp; A235 &amp; "," &amp; B235</f>
        <v>https://www.google.com/maps/search/?api=1&amp;query=-30.9059367393323,-55.5426889164893</v>
      </c>
      <c r="G235" s="16" t="str">
        <f t="array" ref="G235">"https://earth.google.com/web/search/" &amp; A235 &amp; "," &amp; B235</f>
        <v>https://earth.google.com/web/search/-30.9059367393323,-55.5426889164893</v>
      </c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ht="26.25" customHeight="1">
      <c r="A236" s="17" t="s">
        <v>476</v>
      </c>
      <c r="B236" s="18" t="s">
        <v>477</v>
      </c>
      <c r="C236" s="14">
        <v>1.0</v>
      </c>
      <c r="D236" s="15">
        <v>337.0</v>
      </c>
      <c r="E236" s="15">
        <v>2.0</v>
      </c>
      <c r="F236" s="16" t="str">
        <f t="array" ref="F236">"https://www.google.com/maps/search/?api=1&amp;query=" &amp; A236 &amp; "," &amp; B236</f>
        <v>https://www.google.com/maps/search/?api=1&amp;query=-30.9059788264766,-55.5426082553031</v>
      </c>
      <c r="G236" s="16" t="str">
        <f t="array" ref="G236">"https://earth.google.com/web/search/" &amp; A236 &amp; "," &amp; B236</f>
        <v>https://earth.google.com/web/search/-30.9059788264766,-55.5426082553031</v>
      </c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ht="26.25" customHeight="1">
      <c r="A237" s="17" t="s">
        <v>478</v>
      </c>
      <c r="B237" s="18" t="s">
        <v>479</v>
      </c>
      <c r="C237" s="14">
        <v>1.0</v>
      </c>
      <c r="D237" s="15">
        <v>337.0</v>
      </c>
      <c r="E237" s="15">
        <v>3.0</v>
      </c>
      <c r="F237" s="16" t="str">
        <f t="array" ref="F237">"https://www.google.com/maps/search/?api=1&amp;query=" &amp; A237 &amp; "," &amp; B237</f>
        <v>https://www.google.com/maps/search/?api=1&amp;query=-30.9060410688649,-55.5425053573636</v>
      </c>
      <c r="G237" s="16" t="str">
        <f t="array" ref="G237">"https://earth.google.com/web/search/" &amp; A237 &amp; "," &amp; B237</f>
        <v>https://earth.google.com/web/search/-30.9060410688649,-55.5425053573636</v>
      </c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ht="26.25" customHeight="1">
      <c r="A238" s="17" t="s">
        <v>480</v>
      </c>
      <c r="B238" s="18" t="s">
        <v>481</v>
      </c>
      <c r="C238" s="14">
        <v>1.0</v>
      </c>
      <c r="D238" s="15">
        <v>337.0</v>
      </c>
      <c r="E238" s="15">
        <v>4.0</v>
      </c>
      <c r="F238" s="16" t="str">
        <f t="array" ref="F238">"https://www.google.com/maps/search/?api=1&amp;query=" &amp; A238 &amp; "," &amp; B238</f>
        <v>https://www.google.com/maps/search/?api=1&amp;query=-30.9061926308327,-55.5421709947648</v>
      </c>
      <c r="G238" s="16" t="str">
        <f t="array" ref="G238">"https://earth.google.com/web/search/" &amp; A238 &amp; "," &amp; B238</f>
        <v>https://earth.google.com/web/search/-30.9061926308327,-55.5421709947648</v>
      </c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ht="26.25" customHeight="1">
      <c r="A239" s="17" t="s">
        <v>482</v>
      </c>
      <c r="B239" s="18" t="s">
        <v>483</v>
      </c>
      <c r="C239" s="14">
        <v>1.0</v>
      </c>
      <c r="D239" s="15">
        <v>337.0</v>
      </c>
      <c r="E239" s="15">
        <v>5.0</v>
      </c>
      <c r="F239" s="16" t="str">
        <f t="array" ref="F239">"https://www.google.com/maps/search/?api=1&amp;query=" &amp; A239 &amp; "," &amp; B239</f>
        <v>https://www.google.com/maps/search/?api=1&amp;query=-30.9062865507183,-55.5419663912964</v>
      </c>
      <c r="G239" s="16" t="str">
        <f t="array" ref="G239">"https://earth.google.com/web/search/" &amp; A239 &amp; "," &amp; B239</f>
        <v>https://earth.google.com/web/search/-30.9062865507183,-55.5419663912964</v>
      </c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ht="26.25" customHeight="1">
      <c r="A240" s="17" t="s">
        <v>484</v>
      </c>
      <c r="B240" s="18" t="s">
        <v>485</v>
      </c>
      <c r="C240" s="14">
        <v>1.0</v>
      </c>
      <c r="D240" s="15">
        <v>337.0</v>
      </c>
      <c r="E240" s="15">
        <v>6.0</v>
      </c>
      <c r="F240" s="16" t="str">
        <f t="array" ref="F240">"https://www.google.com/maps/search/?api=1&amp;query=" &amp; A240 &amp; "," &amp; B240</f>
        <v>https://www.google.com/maps/search/?api=1&amp;query=-30.9061897739122,-55.5419064626484</v>
      </c>
      <c r="G240" s="16" t="str">
        <f t="array" ref="G240">"https://earth.google.com/web/search/" &amp; A240 &amp; "," &amp; B240</f>
        <v>https://earth.google.com/web/search/-30.9061897739122,-55.5419064626484</v>
      </c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ht="26.25" customHeight="1">
      <c r="A241" s="17" t="s">
        <v>486</v>
      </c>
      <c r="B241" s="18" t="s">
        <v>487</v>
      </c>
      <c r="C241" s="14">
        <v>1.0</v>
      </c>
      <c r="D241" s="15">
        <v>337.0</v>
      </c>
      <c r="E241" s="15">
        <v>7.0</v>
      </c>
      <c r="F241" s="16" t="str">
        <f t="array" ref="F241">"https://www.google.com/maps/search/?api=1&amp;query=" &amp; A241 &amp; "," &amp; B241</f>
        <v>https://www.google.com/maps/search/?api=1&amp;query=-30.9061333620005,-55.5418706978256</v>
      </c>
      <c r="G241" s="16" t="str">
        <f t="array" ref="G241">"https://earth.google.com/web/search/" &amp; A241 &amp; "," &amp; B241</f>
        <v>https://earth.google.com/web/search/-30.9061333620005,-55.5418706978256</v>
      </c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ht="26.25" customHeight="1">
      <c r="A242" s="17" t="s">
        <v>488</v>
      </c>
      <c r="B242" s="18" t="s">
        <v>489</v>
      </c>
      <c r="C242" s="14">
        <v>1.0</v>
      </c>
      <c r="D242" s="15">
        <v>337.0</v>
      </c>
      <c r="E242" s="15">
        <v>8.0</v>
      </c>
      <c r="F242" s="16" t="str">
        <f t="array" ref="F242">"https://www.google.com/maps/search/?api=1&amp;query=" &amp; A242 &amp; "," &amp; B242</f>
        <v>https://www.google.com/maps/search/?api=1&amp;query=-30.9060759443797,-55.5418307259309</v>
      </c>
      <c r="G242" s="16" t="str">
        <f t="array" ref="G242">"https://earth.google.com/web/search/" &amp; A242 &amp; "," &amp; B242</f>
        <v>https://earth.google.com/web/search/-30.9060759443797,-55.5418307259309</v>
      </c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ht="26.25" customHeight="1">
      <c r="A243" s="17" t="s">
        <v>490</v>
      </c>
      <c r="B243" s="18" t="s">
        <v>491</v>
      </c>
      <c r="C243" s="14">
        <v>1.0</v>
      </c>
      <c r="D243" s="20">
        <v>337.0</v>
      </c>
      <c r="E243" s="20">
        <v>9.0</v>
      </c>
      <c r="F243" s="16" t="str">
        <f t="array" ref="F243">"https://www.google.com/maps/search/?api=1&amp;query=" &amp; A243 &amp; "," &amp; B243</f>
        <v>https://www.google.com/maps/search/?api=1&amp;query=-30.9060188934631,-55.5417862652407</v>
      </c>
      <c r="G243" s="16" t="str">
        <f t="array" ref="G243">"https://earth.google.com/web/search/" &amp; A243 &amp; "," &amp; B243</f>
        <v>https://earth.google.com/web/search/-30.9060188934631,-55.5417862652407</v>
      </c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ht="26.25" customHeight="1">
      <c r="A244" s="17" t="s">
        <v>492</v>
      </c>
      <c r="B244" s="18" t="s">
        <v>493</v>
      </c>
      <c r="C244" s="14">
        <v>1.0</v>
      </c>
      <c r="D244" s="15">
        <v>337.0</v>
      </c>
      <c r="E244" s="15">
        <v>10.0</v>
      </c>
      <c r="F244" s="16" t="str">
        <f t="array" ref="F244">"https://www.google.com/maps/search/?api=1&amp;query=" &amp; A244 &amp; "," &amp; B244</f>
        <v>https://www.google.com/maps/search/?api=1&amp;query=-30.9059201968462,-55.5417264369138</v>
      </c>
      <c r="G244" s="16" t="str">
        <f t="array" ref="G244">"https://earth.google.com/web/search/" &amp; A244 &amp; "," &amp; B244</f>
        <v>https://earth.google.com/web/search/-30.9059201968462,-55.5417264369138</v>
      </c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ht="26.25" customHeight="1">
      <c r="A245" s="17" t="s">
        <v>494</v>
      </c>
      <c r="B245" s="18" t="s">
        <v>495</v>
      </c>
      <c r="C245" s="14">
        <v>1.0</v>
      </c>
      <c r="D245" s="15">
        <v>337.0</v>
      </c>
      <c r="E245" s="15">
        <v>11.0</v>
      </c>
      <c r="F245" s="16" t="str">
        <f t="array" ref="F245">"https://www.google.com/maps/search/?api=1&amp;query=" &amp; A245 &amp; "," &amp; B245</f>
        <v>https://www.google.com/maps/search/?api=1&amp;query=-0.3090571053517,-55.5415801696805</v>
      </c>
      <c r="G245" s="16" t="str">
        <f t="array" ref="G245">"https://earth.google.com/web/search/" &amp; A245 &amp; "," &amp; B245</f>
        <v>https://earth.google.com/web/search/-0.3090571053517,-55.5415801696805</v>
      </c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ht="26.25" customHeight="1">
      <c r="A246" s="17" t="s">
        <v>496</v>
      </c>
      <c r="B246" s="18" t="s">
        <v>497</v>
      </c>
      <c r="C246" s="14">
        <v>1.0</v>
      </c>
      <c r="D246" s="15">
        <v>337.0</v>
      </c>
      <c r="E246" s="15">
        <v>12.0</v>
      </c>
      <c r="F246" s="16" t="str">
        <f t="array" ref="F246">"https://www.google.com/maps/search/?api=1&amp;query=" &amp; A246 &amp; "," &amp; B246</f>
        <v>https://www.google.com/maps/search/?api=1&amp;query=-30.9056732197711,-55.5415336520318</v>
      </c>
      <c r="G246" s="16" t="str">
        <f t="array" ref="G246">"https://earth.google.com/web/search/" &amp; A246 &amp; "," &amp; B246</f>
        <v>https://earth.google.com/web/search/-30.9056732197711,-55.5415336520318</v>
      </c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ht="26.25" customHeight="1">
      <c r="A247" s="17" t="s">
        <v>498</v>
      </c>
      <c r="B247" s="18" t="s">
        <v>499</v>
      </c>
      <c r="C247" s="14">
        <v>1.0</v>
      </c>
      <c r="D247" s="15">
        <v>337.0</v>
      </c>
      <c r="E247" s="15">
        <v>13.0</v>
      </c>
      <c r="F247" s="16" t="str">
        <f t="array" ref="F247">"https://www.google.com/maps/search/?api=1&amp;query=" &amp; A247 &amp; "," &amp; B247</f>
        <v>https://www.google.com/maps/search/?api=1&amp;query=-3.0905601572058,-55.5415058779452</v>
      </c>
      <c r="G247" s="16" t="str">
        <f t="array" ref="G247">"https://earth.google.com/web/search/" &amp; A247 &amp; "," &amp; B247</f>
        <v>https://earth.google.com/web/search/-3.0905601572058,-55.5415058779452</v>
      </c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ht="26.25" customHeight="1">
      <c r="A248" s="17" t="s">
        <v>500</v>
      </c>
      <c r="B248" s="18" t="s">
        <v>501</v>
      </c>
      <c r="C248" s="14">
        <v>1.0</v>
      </c>
      <c r="D248" s="15">
        <v>337.0</v>
      </c>
      <c r="E248" s="15">
        <v>14.0</v>
      </c>
      <c r="F248" s="16" t="str">
        <f t="array" ref="F248">"https://www.google.com/maps/search/?api=1&amp;query=" &amp; A248 &amp; "," &amp; B248</f>
        <v>https://www.google.com/maps/search/?api=1&amp;query=-30.9054080901318,-55.5418511057006</v>
      </c>
      <c r="G248" s="16" t="str">
        <f t="array" ref="G248">"https://earth.google.com/web/search/" &amp; A248 &amp; "," &amp; B248</f>
        <v>https://earth.google.com/web/search/-30.9054080901318,-55.5418511057006</v>
      </c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ht="26.25" customHeight="1">
      <c r="A249" s="17" t="s">
        <v>502</v>
      </c>
      <c r="B249" s="18" t="s">
        <v>503</v>
      </c>
      <c r="C249" s="14">
        <v>1.0</v>
      </c>
      <c r="D249" s="15">
        <v>337.0</v>
      </c>
      <c r="E249" s="15">
        <v>15.0</v>
      </c>
      <c r="F249" s="16" t="str">
        <f t="array" ref="F249">"https://www.google.com/maps/search/?api=1&amp;query=" &amp; A249 &amp; "," &amp; B249</f>
        <v>https://www.google.com/maps/search/?api=1&amp;query=-30.9053368567014,-55.5419904847643</v>
      </c>
      <c r="G249" s="16" t="str">
        <f t="array" ref="G249">"https://earth.google.com/web/search/" &amp; A249 &amp; "," &amp; B249</f>
        <v>https://earth.google.com/web/search/-30.9053368567014,-55.5419904847643</v>
      </c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ht="26.25" customHeight="1">
      <c r="A250" s="17" t="s">
        <v>504</v>
      </c>
      <c r="B250" s="18" t="s">
        <v>505</v>
      </c>
      <c r="C250" s="14">
        <v>1.0</v>
      </c>
      <c r="D250" s="15">
        <v>337.0</v>
      </c>
      <c r="E250" s="15">
        <v>16.0</v>
      </c>
      <c r="F250" s="16" t="str">
        <f t="array" ref="F250">"https://www.google.com/maps/search/?api=1&amp;query=" &amp; A250 &amp; "," &amp; B250</f>
        <v>https://www.google.com/maps/search/?api=1&amp;query=-30.9052096272547,-55.5422466235474</v>
      </c>
      <c r="G250" s="16" t="str">
        <f t="array" ref="G250">"https://earth.google.com/web/search/" &amp; A250 &amp; "," &amp; B250</f>
        <v>https://earth.google.com/web/search/-30.9052096272547,-55.5422466235474</v>
      </c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ht="26.25" customHeight="1">
      <c r="A251" s="17" t="s">
        <v>506</v>
      </c>
      <c r="B251" s="18" t="s">
        <v>507</v>
      </c>
      <c r="C251" s="14">
        <v>1.0</v>
      </c>
      <c r="D251" s="15">
        <v>337.0</v>
      </c>
      <c r="E251" s="15">
        <v>17.0</v>
      </c>
      <c r="F251" s="16" t="str">
        <f t="array" ref="F251">"https://www.google.com/maps/search/?api=1&amp;query=" &amp; A251 &amp; "," &amp; B251</f>
        <v>https://www.google.com/maps/search/?api=1&amp;query=-30.9052341039823,-55.5423599233299</v>
      </c>
      <c r="G251" s="16" t="str">
        <f t="array" ref="G251">"https://earth.google.com/web/search/" &amp; A251 &amp; "," &amp; B251</f>
        <v>https://earth.google.com/web/search/-30.9052341039823,-55.5423599233299</v>
      </c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ht="26.25" customHeight="1">
      <c r="A252" s="17" t="s">
        <v>508</v>
      </c>
      <c r="B252" s="18" t="s">
        <v>509</v>
      </c>
      <c r="C252" s="14">
        <v>1.0</v>
      </c>
      <c r="D252" s="15">
        <v>337.0</v>
      </c>
      <c r="E252" s="15">
        <v>18.0</v>
      </c>
      <c r="F252" s="16" t="str">
        <f t="array" ref="F252">"https://www.google.com/maps/search/?api=1&amp;query=" &amp; A252 &amp; "," &amp; B252</f>
        <v>https://www.google.com/maps/search/?api=1&amp;query=-30.9053573189994,-55.5424395167475</v>
      </c>
      <c r="G252" s="16" t="str">
        <f t="array" ref="G252">"https://earth.google.com/web/search/" &amp; A252 &amp; "," &amp; B252</f>
        <v>https://earth.google.com/web/search/-30.9053573189994,-55.5424395167475</v>
      </c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ht="26.25" customHeight="1">
      <c r="A253" s="17" t="s">
        <v>510</v>
      </c>
      <c r="B253" s="18" t="s">
        <v>511</v>
      </c>
      <c r="C253" s="14">
        <v>1.0</v>
      </c>
      <c r="D253" s="15">
        <v>337.0</v>
      </c>
      <c r="E253" s="15">
        <v>19.0</v>
      </c>
      <c r="F253" s="16" t="str">
        <f t="array" ref="F253">"https://www.google.com/maps/search/?api=1&amp;query=" &amp; A253 &amp; "," &amp; B253</f>
        <v>https://www.google.com/maps/search/?api=1&amp;query=-30.9054669520482,-55.5424997098385</v>
      </c>
      <c r="G253" s="16" t="str">
        <f t="array" ref="G253">"https://earth.google.com/web/search/" &amp; A253 &amp; "," &amp; B253</f>
        <v>https://earth.google.com/web/search/-30.9054669520482,-55.5424997098385</v>
      </c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ht="26.25" customHeight="1">
      <c r="A254" s="17" t="s">
        <v>512</v>
      </c>
      <c r="B254" s="18" t="s">
        <v>513</v>
      </c>
      <c r="C254" s="14">
        <v>1.0</v>
      </c>
      <c r="D254" s="15">
        <v>337.0</v>
      </c>
      <c r="E254" s="15">
        <v>20.0</v>
      </c>
      <c r="F254" s="16" t="str">
        <f t="array" ref="F254">"https://www.google.com/maps/search/?api=1&amp;query=" &amp; A254 &amp; "," &amp; B254</f>
        <v>https://www.google.com/maps/search/?api=1&amp;query=-30.9055760430366,-55.5425995350711</v>
      </c>
      <c r="G254" s="16" t="str">
        <f t="array" ref="G254">"https://earth.google.com/web/search/" &amp; A254 &amp; "," &amp; B254</f>
        <v>https://earth.google.com/web/search/-30.9055760430366,-55.5425995350711</v>
      </c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ht="26.25" customHeight="1">
      <c r="A255" s="17" t="s">
        <v>514</v>
      </c>
      <c r="B255" s="18" t="s">
        <v>515</v>
      </c>
      <c r="C255" s="14">
        <v>1.0</v>
      </c>
      <c r="D255" s="15">
        <v>337.0</v>
      </c>
      <c r="E255" s="15">
        <v>21.0</v>
      </c>
      <c r="F255" s="16" t="str">
        <f t="array" ref="F255">"https://www.google.com/maps/search/?api=1&amp;query=" &amp; A255 &amp; "," &amp; B255</f>
        <v>https://www.google.com/maps/search/?api=1&amp;query=-30.9056510206845,-55.5426449869553</v>
      </c>
      <c r="G255" s="16" t="str">
        <f t="array" ref="G255">"https://earth.google.com/web/search/" &amp; A255 &amp; "," &amp; B255</f>
        <v>https://earth.google.com/web/search/-30.9056510206845,-55.5426449869553</v>
      </c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ht="26.25" customHeight="1">
      <c r="A256" s="17" t="s">
        <v>516</v>
      </c>
      <c r="B256" s="18" t="s">
        <v>517</v>
      </c>
      <c r="C256" s="14">
        <v>1.0</v>
      </c>
      <c r="D256" s="15">
        <v>337.0</v>
      </c>
      <c r="E256" s="15">
        <v>22.0</v>
      </c>
      <c r="F256" s="16" t="str">
        <f t="array" ref="F256">"https://www.google.com/maps/search/?api=1&amp;query=" &amp; A256 &amp; "," &amp; B256</f>
        <v>https://www.google.com/maps/search/?api=1&amp;query=-30.9057669818182,-55.5427322282652</v>
      </c>
      <c r="G256" s="16" t="str">
        <f t="array" ref="G256">"https://earth.google.com/web/search/" &amp; A256 &amp; "," &amp; B256</f>
        <v>https://earth.google.com/web/search/-30.9057669818182,-55.5427322282652</v>
      </c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ht="26.25" customHeight="1">
      <c r="A257" s="17" t="s">
        <v>518</v>
      </c>
      <c r="B257" s="18" t="s">
        <v>519</v>
      </c>
      <c r="C257" s="14">
        <v>1.0</v>
      </c>
      <c r="D257" s="15">
        <v>338.0</v>
      </c>
      <c r="E257" s="15">
        <v>1.0</v>
      </c>
      <c r="F257" s="16" t="str">
        <f t="array" ref="F257">"https://www.google.com/maps/search/?api=1&amp;query=" &amp; A257 &amp; "," &amp; B257</f>
        <v>https://www.google.com/maps/search/?api=1&amp;query=-30.9056305167776,-55.5432594632674</v>
      </c>
      <c r="G257" s="16" t="str">
        <f t="array" ref="G257">"https://earth.google.com/web/search/" &amp; A257 &amp; "," &amp; B257</f>
        <v>https://earth.google.com/web/search/-30.9056305167776,-55.5432594632674</v>
      </c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ht="26.25" customHeight="1">
      <c r="A258" s="17" t="s">
        <v>520</v>
      </c>
      <c r="B258" s="18" t="s">
        <v>521</v>
      </c>
      <c r="C258" s="14">
        <v>1.0</v>
      </c>
      <c r="D258" s="15">
        <v>338.0</v>
      </c>
      <c r="E258" s="15">
        <v>2.0</v>
      </c>
      <c r="F258" s="16" t="str">
        <f t="array" ref="F258">"https://www.google.com/maps/search/?api=1&amp;query=" &amp; A258 &amp; "," &amp; B258</f>
        <v>https://www.google.com/maps/search/?api=1&amp;query=-30.9056689750018,-55.5431781183231</v>
      </c>
      <c r="G258" s="16" t="str">
        <f t="array" ref="G258">"https://earth.google.com/web/search/" &amp; A258 &amp; "," &amp; B258</f>
        <v>https://earth.google.com/web/search/-30.9056689750018,-55.5431781183231</v>
      </c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ht="26.25" customHeight="1">
      <c r="A259" s="17" t="s">
        <v>522</v>
      </c>
      <c r="B259" s="18" t="s">
        <v>523</v>
      </c>
      <c r="C259" s="14">
        <v>1.0</v>
      </c>
      <c r="D259" s="15">
        <v>338.0</v>
      </c>
      <c r="E259" s="15">
        <v>3.0</v>
      </c>
      <c r="F259" s="16" t="str">
        <f t="array" ref="F259">"https://www.google.com/maps/search/?api=1&amp;query=" &amp; A259 &amp; "," &amp; B259</f>
        <v>https://www.google.com/maps/search/?api=1&amp;query=-30.9057226968924,-55.5428134448025</v>
      </c>
      <c r="G259" s="16" t="str">
        <f t="array" ref="G259">"https://earth.google.com/web/search/" &amp; A259 &amp; "," &amp; B259</f>
        <v>https://earth.google.com/web/search/-30.9057226968924,-55.5428134448025</v>
      </c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ht="26.25" customHeight="1">
      <c r="A260" s="17" t="s">
        <v>524</v>
      </c>
      <c r="B260" s="18" t="s">
        <v>525</v>
      </c>
      <c r="C260" s="14">
        <v>1.0</v>
      </c>
      <c r="D260" s="15">
        <v>338.0</v>
      </c>
      <c r="E260" s="15">
        <v>4.0</v>
      </c>
      <c r="F260" s="16" t="str">
        <f t="array" ref="F260">"https://www.google.com/maps/search/?api=1&amp;query=" &amp; A260 &amp; "," &amp; B260</f>
        <v>https://www.google.com/maps/search/?api=1&amp;query=-30.9056840954301,-55.5427838706629</v>
      </c>
      <c r="G260" s="16" t="str">
        <f t="array" ref="G260">"https://earth.google.com/web/search/" &amp; A260 &amp; "," &amp; B260</f>
        <v>https://earth.google.com/web/search/-30.9056840954301,-55.5427838706629</v>
      </c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ht="26.25" customHeight="1">
      <c r="A261" s="17" t="s">
        <v>526</v>
      </c>
      <c r="B261" s="18" t="s">
        <v>527</v>
      </c>
      <c r="C261" s="14">
        <v>1.0</v>
      </c>
      <c r="D261" s="15">
        <v>338.0</v>
      </c>
      <c r="E261" s="15">
        <v>5.0</v>
      </c>
      <c r="F261" s="16" t="str">
        <f t="array" ref="F261">"https://www.google.com/maps/search/?api=1&amp;query=" &amp; A261 &amp; "," &amp; B261</f>
        <v>https://www.google.com/maps/search/?api=1&amp;query=-30.9056231847204,-55.5427449669821</v>
      </c>
      <c r="G261" s="16" t="str">
        <f t="array" ref="G261">"https://earth.google.com/web/search/" &amp; A261 &amp; "," &amp; B261</f>
        <v>https://earth.google.com/web/search/-30.9056231847204,-55.5427449669821</v>
      </c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ht="26.25" customHeight="1">
      <c r="A262" s="17" t="s">
        <v>528</v>
      </c>
      <c r="B262" s="18" t="s">
        <v>529</v>
      </c>
      <c r="C262" s="14">
        <v>1.0</v>
      </c>
      <c r="D262" s="15">
        <v>338.0</v>
      </c>
      <c r="E262" s="15">
        <v>6.0</v>
      </c>
      <c r="F262" s="16" t="str">
        <f t="array" ref="F262">"https://www.google.com/maps/search/?api=1&amp;query=" &amp; A262 &amp; "," &amp; B262</f>
        <v>https://www.google.com/maps/search/?api=1&amp;query=-3.0905576552958,-55.5427115729586</v>
      </c>
      <c r="G262" s="16" t="str">
        <f t="array" ref="G262">"https://earth.google.com/web/search/" &amp; A262 &amp; "," &amp; B262</f>
        <v>https://earth.google.com/web/search/-3.0905576552958,-55.5427115729586</v>
      </c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ht="26.25" customHeight="1">
      <c r="A263" s="17" t="s">
        <v>530</v>
      </c>
      <c r="B263" s="18" t="s">
        <v>531</v>
      </c>
      <c r="C263" s="14">
        <v>1.0</v>
      </c>
      <c r="D263" s="15">
        <v>338.0</v>
      </c>
      <c r="E263" s="15">
        <v>7.0</v>
      </c>
      <c r="F263" s="16" t="str">
        <f t="array" ref="F263">"https://www.google.com/maps/search/?api=1&amp;query=" &amp; A263 &amp; "," &amp; B263</f>
        <v>https://www.google.com/maps/search/?api=1&amp;query=-30.9055288652254,-5.5542681319269</v>
      </c>
      <c r="G263" s="16" t="str">
        <f t="array" ref="G263">"https://earth.google.com/web/search/" &amp; A263 &amp; "," &amp; B263</f>
        <v>https://earth.google.com/web/search/-30.9055288652254,-5.5542681319269</v>
      </c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ht="26.25" customHeight="1">
      <c r="A264" s="17" t="s">
        <v>532</v>
      </c>
      <c r="B264" s="18" t="s">
        <v>533</v>
      </c>
      <c r="C264" s="14">
        <v>1.0</v>
      </c>
      <c r="D264" s="15">
        <v>338.0</v>
      </c>
      <c r="E264" s="15">
        <v>9.0</v>
      </c>
      <c r="F264" s="16" t="str">
        <f t="array" ref="F264">"https://www.google.com/maps/search/?api=1&amp;query=" &amp; A264 &amp; "," &amp; B264</f>
        <v>https://www.google.com/maps/search/?api=1&amp;query=-30.9053946517649,-55.5425913531961</v>
      </c>
      <c r="G264" s="16" t="str">
        <f t="array" ref="G264">"https://earth.google.com/web/search/" &amp; A264 &amp; "," &amp; B264</f>
        <v>https://earth.google.com/web/search/-30.9053946517649,-55.5425913531961</v>
      </c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ht="26.25" customHeight="1">
      <c r="A265" s="17" t="s">
        <v>534</v>
      </c>
      <c r="B265" s="18" t="s">
        <v>535</v>
      </c>
      <c r="C265" s="14">
        <v>1.0</v>
      </c>
      <c r="D265" s="15">
        <v>338.0</v>
      </c>
      <c r="E265" s="15">
        <v>10.0</v>
      </c>
      <c r="F265" s="16" t="str">
        <f t="array" ref="F265">"https://www.google.com/maps/search/?api=1&amp;query=" &amp; A265 &amp; "," &amp; B265</f>
        <v>https://www.google.com/maps/search/?api=1&amp;query=-30.9051918364551,-55.5424485774027</v>
      </c>
      <c r="G265" s="16" t="str">
        <f t="array" ref="G265">"https://earth.google.com/web/search/" &amp; A265 &amp; "," &amp; B265</f>
        <v>https://earth.google.com/web/search/-30.9051918364551,-55.5424485774027</v>
      </c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ht="26.25" customHeight="1">
      <c r="A266" s="17" t="s">
        <v>536</v>
      </c>
      <c r="B266" s="18" t="s">
        <v>537</v>
      </c>
      <c r="C266" s="14">
        <v>1.0</v>
      </c>
      <c r="D266" s="15">
        <v>338.0</v>
      </c>
      <c r="E266" s="15">
        <v>11.0</v>
      </c>
      <c r="F266" s="16" t="str">
        <f t="array" ref="F266">"https://www.google.com/maps/search/?api=1&amp;query=" &amp; A266 &amp; "," &amp; B266</f>
        <v>https://www.google.com/maps/search/?api=1&amp;query=-30.9050591705561,-55.5425021126981</v>
      </c>
      <c r="G266" s="16" t="str">
        <f t="array" ref="G266">"https://earth.google.com/web/search/" &amp; A266 &amp; "," &amp; B266</f>
        <v>https://earth.google.com/web/search/-30.9050591705561,-55.5425021126981</v>
      </c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ht="26.25" customHeight="1">
      <c r="A267" s="17" t="s">
        <v>538</v>
      </c>
      <c r="B267" s="18" t="s">
        <v>539</v>
      </c>
      <c r="C267" s="14">
        <v>1.0</v>
      </c>
      <c r="D267" s="15">
        <v>338.0</v>
      </c>
      <c r="E267" s="15">
        <v>12.0</v>
      </c>
      <c r="F267" s="16" t="str">
        <f t="array" ref="F267">"https://www.google.com/maps/search/?api=1&amp;query=" &amp; A267 &amp; "," &amp; B267</f>
        <v>https://www.google.com/maps/search/?api=1&amp;query=-30.9049744703999,-55.5426460528014</v>
      </c>
      <c r="G267" s="16" t="str">
        <f t="array" ref="G267">"https://earth.google.com/web/search/" &amp; A267 &amp; "," &amp; B267</f>
        <v>https://earth.google.com/web/search/-30.9049744703999,-55.5426460528014</v>
      </c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ht="26.25" customHeight="1">
      <c r="A268" s="17" t="s">
        <v>540</v>
      </c>
      <c r="B268" s="18" t="s">
        <v>541</v>
      </c>
      <c r="C268" s="14">
        <v>1.0</v>
      </c>
      <c r="D268" s="15">
        <v>338.0</v>
      </c>
      <c r="E268" s="15">
        <v>13.0</v>
      </c>
      <c r="F268" s="16" t="str">
        <f t="array" ref="F268">"https://www.google.com/maps/search/?api=1&amp;query=" &amp; A268 &amp; "," &amp; B268</f>
        <v>https://www.google.com/maps/search/?api=1&amp;query=-30.9049485337524,-55.5426874429198</v>
      </c>
      <c r="G268" s="16" t="str">
        <f t="array" ref="G268">"https://earth.google.com/web/search/" &amp; A268 &amp; "," &amp; B268</f>
        <v>https://earth.google.com/web/search/-30.9049485337524,-55.5426874429198</v>
      </c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ht="26.25" customHeight="1">
      <c r="A269" s="17" t="s">
        <v>542</v>
      </c>
      <c r="B269" s="18" t="s">
        <v>543</v>
      </c>
      <c r="C269" s="14">
        <v>1.0</v>
      </c>
      <c r="D269" s="15">
        <v>338.0</v>
      </c>
      <c r="E269" s="15">
        <v>14.0</v>
      </c>
      <c r="F269" s="16" t="str">
        <f t="array" ref="F269">"https://www.google.com/maps/search/?api=1&amp;query=" &amp; A269 &amp; "," &amp; B269</f>
        <v>https://www.google.com/maps/search/?api=1&amp;query=-30.9048308866265,-55.5428958962636</v>
      </c>
      <c r="G269" s="16" t="str">
        <f t="array" ref="G269">"https://earth.google.com/web/search/" &amp; A269 &amp; "," &amp; B269</f>
        <v>https://earth.google.com/web/search/-30.9048308866265,-55.5428958962636</v>
      </c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ht="26.25" customHeight="1">
      <c r="A270" s="17" t="s">
        <v>544</v>
      </c>
      <c r="B270" s="18" t="s">
        <v>545</v>
      </c>
      <c r="C270" s="14">
        <v>1.0</v>
      </c>
      <c r="D270" s="15">
        <v>338.0</v>
      </c>
      <c r="E270" s="15">
        <v>15.0</v>
      </c>
      <c r="F270" s="16" t="str">
        <f t="array" ref="F270">"https://www.google.com/maps/search/?api=1&amp;query=" &amp; A270 &amp; "," &amp; B270</f>
        <v>https://www.google.com/maps/search/?api=1&amp;query=-30.9047722680471,-55.5430138496469</v>
      </c>
      <c r="G270" s="16" t="str">
        <f t="array" ref="G270">"https://earth.google.com/web/search/" &amp; A270 &amp; "," &amp; B270</f>
        <v>https://earth.google.com/web/search/-30.9047722680471,-55.5430138496469</v>
      </c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ht="26.25" customHeight="1">
      <c r="A271" s="17" t="s">
        <v>546</v>
      </c>
      <c r="B271" s="18" t="s">
        <v>547</v>
      </c>
      <c r="C271" s="14">
        <v>1.0</v>
      </c>
      <c r="D271" s="15">
        <v>338.0</v>
      </c>
      <c r="E271" s="15">
        <v>16.0</v>
      </c>
      <c r="F271" s="16" t="str">
        <f t="array" ref="F271">"https://www.google.com/maps/search/?api=1&amp;query=" &amp; A271 &amp; "," &amp; B271</f>
        <v>https://www.google.com/maps/search/?api=1&amp;query=-30.9048100946359,-55.5432848753061</v>
      </c>
      <c r="G271" s="16" t="str">
        <f t="array" ref="G271">"https://earth.google.com/web/search/" &amp; A271 &amp; "," &amp; B271</f>
        <v>https://earth.google.com/web/search/-30.9048100946359,-55.5432848753061</v>
      </c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ht="26.25" customHeight="1">
      <c r="A272" s="17" t="s">
        <v>548</v>
      </c>
      <c r="B272" s="18" t="s">
        <v>549</v>
      </c>
      <c r="C272" s="14">
        <v>1.0</v>
      </c>
      <c r="D272" s="15">
        <v>338.0</v>
      </c>
      <c r="E272" s="15">
        <v>17.0</v>
      </c>
      <c r="F272" s="16" t="str">
        <f t="array" ref="F272">"https://www.google.com/maps/search/?api=1&amp;query=" &amp; A272 &amp; "," &amp; B272</f>
        <v>https://www.google.com/maps/search/?api=1&amp;query=-30.9050311966242,-5.5543447052536</v>
      </c>
      <c r="G272" s="16" t="str">
        <f t="array" ref="G272">"https://earth.google.com/web/search/" &amp; A272 &amp; "," &amp; B272</f>
        <v>https://earth.google.com/web/search/-30.9050311966242,-5.5543447052536</v>
      </c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ht="26.25" customHeight="1">
      <c r="A273" s="17" t="s">
        <v>550</v>
      </c>
      <c r="B273" s="18" t="s">
        <v>551</v>
      </c>
      <c r="C273" s="14">
        <v>1.0</v>
      </c>
      <c r="D273" s="15">
        <v>338.0</v>
      </c>
      <c r="E273" s="15">
        <v>18.0</v>
      </c>
      <c r="F273" s="16" t="str">
        <f t="array" ref="F273">"https://www.google.com/maps/search/?api=1&amp;query=" &amp; A273 &amp; "," &amp; B273</f>
        <v>https://www.google.com/maps/search/?api=1&amp;query=-0.3090512672296,-55.5435170089781</v>
      </c>
      <c r="G273" s="16" t="str">
        <f t="array" ref="G273">"https://earth.google.com/web/search/" &amp; A273 &amp; "," &amp; B273</f>
        <v>https://earth.google.com/web/search/-0.3090512672296,-55.5435170089781</v>
      </c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ht="26.25" customHeight="1">
      <c r="A274" s="17" t="s">
        <v>552</v>
      </c>
      <c r="B274" s="18" t="s">
        <v>553</v>
      </c>
      <c r="C274" s="14">
        <v>1.0</v>
      </c>
      <c r="D274" s="15">
        <v>338.0</v>
      </c>
      <c r="E274" s="15">
        <v>19.0</v>
      </c>
      <c r="F274" s="16" t="str">
        <f t="array" ref="F274">"https://www.google.com/maps/search/?api=1&amp;query=" &amp; A274 &amp; "," &amp; B274</f>
        <v>https://www.google.com/maps/search/?api=1&amp;query=-30.9051879830672,-5.5543555144343</v>
      </c>
      <c r="G274" s="16" t="str">
        <f t="array" ref="G274">"https://earth.google.com/web/search/" &amp; A274 &amp; "," &amp; B274</f>
        <v>https://earth.google.com/web/search/-30.9051879830672,-5.5543555144343</v>
      </c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ht="26.25" customHeight="1">
      <c r="A275" s="17" t="s">
        <v>554</v>
      </c>
      <c r="B275" s="18" t="s">
        <v>555</v>
      </c>
      <c r="C275" s="14">
        <v>1.0</v>
      </c>
      <c r="D275" s="15">
        <v>338.0</v>
      </c>
      <c r="E275" s="15">
        <v>20.0</v>
      </c>
      <c r="F275" s="16" t="str">
        <f t="array" ref="F275">"https://www.google.com/maps/search/?api=1&amp;query=" &amp; A275 &amp; "," &amp; B275</f>
        <v>https://www.google.com/maps/search/?api=1&amp;query=-30.9052421223797,-55.5436008789186</v>
      </c>
      <c r="G275" s="16" t="str">
        <f t="array" ref="G275">"https://earth.google.com/web/search/" &amp; A275 &amp; "," &amp; B275</f>
        <v>https://earth.google.com/web/search/-30.9052421223797,-55.5436008789186</v>
      </c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ht="26.25" customHeight="1">
      <c r="A276" s="17" t="s">
        <v>556</v>
      </c>
      <c r="B276" s="18" t="s">
        <v>557</v>
      </c>
      <c r="C276" s="14">
        <v>1.0</v>
      </c>
      <c r="D276" s="15">
        <v>339.0</v>
      </c>
      <c r="E276" s="15">
        <v>1.0</v>
      </c>
      <c r="F276" s="16" t="str">
        <f t="array" ref="F276">"https://www.google.com/maps/search/?api=1&amp;query=" &amp; A276 &amp; "," &amp; B276</f>
        <v>https://www.google.com/maps/search/?api=1&amp;query=-30.9037334736476,-55.5450153486376</v>
      </c>
      <c r="G276" s="16" t="str">
        <f t="array" ref="G276">"https://earth.google.com/web/search/" &amp; A276 &amp; "," &amp; B276</f>
        <v>https://earth.google.com/web/search/-30.9037334736476,-55.5450153486376</v>
      </c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ht="26.25" customHeight="1">
      <c r="A277" s="17" t="s">
        <v>558</v>
      </c>
      <c r="B277" s="18" t="s">
        <v>559</v>
      </c>
      <c r="C277" s="14">
        <v>1.0</v>
      </c>
      <c r="D277" s="15">
        <v>339.0</v>
      </c>
      <c r="E277" s="15">
        <v>2.0</v>
      </c>
      <c r="F277" s="16" t="str">
        <f t="array" ref="F277">"https://www.google.com/maps/search/?api=1&amp;query=" &amp; A277 &amp; "," &amp; B277</f>
        <v>https://www.google.com/maps/search/?api=1&amp;query=-30.9037909111107,-55.5449158293535</v>
      </c>
      <c r="G277" s="16" t="str">
        <f t="array" ref="G277">"https://earth.google.com/web/search/" &amp; A277 &amp; "," &amp; B277</f>
        <v>https://earth.google.com/web/search/-30.9037909111107,-55.5449158293535</v>
      </c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ht="26.25" customHeight="1">
      <c r="A278" s="17" t="s">
        <v>560</v>
      </c>
      <c r="B278" s="18" t="s">
        <v>561</v>
      </c>
      <c r="C278" s="14">
        <v>1.0</v>
      </c>
      <c r="D278" s="15">
        <v>339.0</v>
      </c>
      <c r="E278" s="15">
        <v>3.0</v>
      </c>
      <c r="F278" s="16" t="str">
        <f t="array" ref="F278">"https://www.google.com/maps/search/?api=1&amp;query=" &amp; A278 &amp; "," &amp; B278</f>
        <v>https://www.google.com/maps/search/?api=1&amp;query=-30.9039287051349,-55.5446435215858</v>
      </c>
      <c r="G278" s="16" t="str">
        <f t="array" ref="G278">"https://earth.google.com/web/search/" &amp; A278 &amp; "," &amp; B278</f>
        <v>https://earth.google.com/web/search/-30.9039287051349,-55.5446435215858</v>
      </c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ht="26.25" customHeight="1">
      <c r="A279" s="17" t="s">
        <v>562</v>
      </c>
      <c r="B279" s="18" t="s">
        <v>563</v>
      </c>
      <c r="C279" s="14">
        <v>1.0</v>
      </c>
      <c r="D279" s="15">
        <v>339.0</v>
      </c>
      <c r="E279" s="15">
        <v>4.0</v>
      </c>
      <c r="F279" s="16" t="str">
        <f t="array" ref="F279">"https://www.google.com/maps/search/?api=1&amp;query=" &amp; A279 &amp; "," &amp; B279</f>
        <v>https://www.google.com/maps/search/?api=1&amp;query=-30.9039505882959,-55.5446074576412</v>
      </c>
      <c r="G279" s="16" t="str">
        <f t="array" ref="G279">"https://earth.google.com/web/search/" &amp; A279 &amp; "," &amp; B279</f>
        <v>https://earth.google.com/web/search/-30.9039505882959,-55.5446074576412</v>
      </c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ht="26.25" customHeight="1">
      <c r="A280" s="17" t="s">
        <v>564</v>
      </c>
      <c r="B280" s="18" t="s">
        <v>565</v>
      </c>
      <c r="C280" s="14">
        <v>1.0</v>
      </c>
      <c r="D280" s="15">
        <v>339.0</v>
      </c>
      <c r="E280" s="15">
        <v>5.0</v>
      </c>
      <c r="F280" s="16" t="str">
        <f t="array" ref="F280">"https://www.google.com/maps/search/?api=1&amp;query=" &amp; A280 &amp; "," &amp; B280</f>
        <v>https://www.google.com/maps/search/?api=1&amp;query=-30.9039919928929,-55.5445124036435</v>
      </c>
      <c r="G280" s="16" t="str">
        <f t="array" ref="G280">"https://earth.google.com/web/search/" &amp; A280 &amp; "," &amp; B280</f>
        <v>https://earth.google.com/web/search/-30.9039919928929,-55.5445124036435</v>
      </c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ht="26.25" customHeight="1">
      <c r="A281" s="17" t="s">
        <v>566</v>
      </c>
      <c r="B281" s="18" t="s">
        <v>567</v>
      </c>
      <c r="C281" s="14">
        <v>1.0</v>
      </c>
      <c r="D281" s="15">
        <v>339.0</v>
      </c>
      <c r="E281" s="15">
        <v>6.0</v>
      </c>
      <c r="F281" s="16" t="str">
        <f t="array" ref="F281">"https://www.google.com/maps/search/?api=1&amp;query=" &amp; A281 &amp; "," &amp; B281</f>
        <v>https://www.google.com/maps/search/?api=1&amp;query=-30.9040514810347,-5.5544392433398</v>
      </c>
      <c r="G281" s="16" t="str">
        <f t="array" ref="G281">"https://earth.google.com/web/search/" &amp; A281 &amp; "," &amp; B281</f>
        <v>https://earth.google.com/web/search/-30.9040514810347,-5.5544392433398</v>
      </c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 ht="26.25" customHeight="1">
      <c r="A282" s="17" t="s">
        <v>568</v>
      </c>
      <c r="B282" s="18" t="s">
        <v>569</v>
      </c>
      <c r="C282" s="14">
        <v>1.0</v>
      </c>
      <c r="D282" s="15">
        <v>339.0</v>
      </c>
      <c r="E282" s="15">
        <v>7.0</v>
      </c>
      <c r="F282" s="16" t="str">
        <f t="array" ref="F282">"https://www.google.com/maps/search/?api=1&amp;query=" &amp; A282 &amp; "," &amp; B282</f>
        <v>https://www.google.com/maps/search/?api=1&amp;query=-30.9042667321262,-55.5443335512771</v>
      </c>
      <c r="G282" s="16" t="str">
        <f t="array" ref="G282">"https://earth.google.com/web/search/" &amp; A282 &amp; "," &amp; B282</f>
        <v>https://earth.google.com/web/search/-30.9042667321262,-55.5443335512771</v>
      </c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ht="26.25" customHeight="1">
      <c r="A283" s="17" t="s">
        <v>570</v>
      </c>
      <c r="B283" s="18" t="s">
        <v>571</v>
      </c>
      <c r="C283" s="14">
        <v>1.0</v>
      </c>
      <c r="D283" s="15">
        <v>339.0</v>
      </c>
      <c r="E283" s="15">
        <v>8.0</v>
      </c>
      <c r="F283" s="16" t="str">
        <f t="array" ref="F283">"https://www.google.com/maps/search/?api=1&amp;query=" &amp; A283 &amp; "," &amp; B283</f>
        <v>https://www.google.com/maps/search/?api=1&amp;query=-30.9043425103827,-55.5443874042899</v>
      </c>
      <c r="G283" s="16" t="str">
        <f t="array" ref="G283">"https://earth.google.com/web/search/" &amp; A283 &amp; "," &amp; B283</f>
        <v>https://earth.google.com/web/search/-30.9043425103827,-55.5443874042899</v>
      </c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ht="26.25" customHeight="1">
      <c r="A284" s="17" t="s">
        <v>572</v>
      </c>
      <c r="B284" s="18" t="s">
        <v>573</v>
      </c>
      <c r="C284" s="14">
        <v>1.0</v>
      </c>
      <c r="D284" s="15">
        <v>339.0</v>
      </c>
      <c r="E284" s="15">
        <v>10.0</v>
      </c>
      <c r="F284" s="16" t="str">
        <f t="array" ref="F284">"https://www.google.com/maps/search/?api=1&amp;query=" &amp; A284 &amp; "," &amp; B284</f>
        <v>https://www.google.com/maps/search/?api=1&amp;query=-30.9044025238136,-5.5544434368195</v>
      </c>
      <c r="G284" s="16" t="str">
        <f t="array" ref="G284">"https://earth.google.com/web/search/" &amp; A284 &amp; "," &amp; B284</f>
        <v>https://earth.google.com/web/search/-30.9044025238136,-5.5544434368195</v>
      </c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 ht="26.25" customHeight="1">
      <c r="A285" s="17" t="s">
        <v>574</v>
      </c>
      <c r="B285" s="18" t="s">
        <v>575</v>
      </c>
      <c r="C285" s="14">
        <v>1.0</v>
      </c>
      <c r="D285" s="15">
        <v>339.0</v>
      </c>
      <c r="E285" s="15">
        <v>11.0</v>
      </c>
      <c r="F285" s="16" t="str">
        <f t="array" ref="F285">"https://www.google.com/maps/search/?api=1&amp;query=" &amp; A285 &amp; "," &amp; B285</f>
        <v>https://www.google.com/maps/search/?api=1&amp;query=-30.9045372571739,-55.5445208628237</v>
      </c>
      <c r="G285" s="16" t="str">
        <f t="array" ref="G285">"https://earth.google.com/web/search/" &amp; A285 &amp; "," &amp; B285</f>
        <v>https://earth.google.com/web/search/-30.9045372571739,-55.5445208628237</v>
      </c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ht="26.25" customHeight="1">
      <c r="A286" s="17" t="s">
        <v>576</v>
      </c>
      <c r="B286" s="18" t="s">
        <v>577</v>
      </c>
      <c r="C286" s="14">
        <v>1.0</v>
      </c>
      <c r="D286" s="15">
        <v>339.0</v>
      </c>
      <c r="E286" s="15">
        <v>12.0</v>
      </c>
      <c r="F286" s="16" t="str">
        <f t="array" ref="F286">"https://www.google.com/maps/search/?api=1&amp;query=" &amp; A286 &amp; "," &amp; B286</f>
        <v>https://www.google.com/maps/search/?api=1&amp;query=-30.9045963065033,-55.5445580869602</v>
      </c>
      <c r="G286" s="16" t="str">
        <f t="array" ref="G286">"https://earth.google.com/web/search/" &amp; A286 &amp; "," &amp; B286</f>
        <v>https://earth.google.com/web/search/-30.9045963065033,-55.5445580869602</v>
      </c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ht="26.25" customHeight="1">
      <c r="A287" s="17" t="s">
        <v>578</v>
      </c>
      <c r="B287" s="18" t="s">
        <v>579</v>
      </c>
      <c r="C287" s="14">
        <v>1.0</v>
      </c>
      <c r="D287" s="15">
        <v>339.0</v>
      </c>
      <c r="E287" s="15">
        <v>13.0</v>
      </c>
      <c r="F287" s="16" t="str">
        <f t="array" ref="F287">"https://www.google.com/maps/search/?api=1&amp;query=" &amp; A287 &amp; "," &amp; B287</f>
        <v>https://www.google.com/maps/search/?api=1&amp;query=-3.0904745982872,-55.5446960573869</v>
      </c>
      <c r="G287" s="16" t="str">
        <f t="array" ref="G287">"https://earth.google.com/web/search/" &amp; A287 &amp; "," &amp; B287</f>
        <v>https://earth.google.com/web/search/-3.0904745982872,-55.5446960573869</v>
      </c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ht="26.25" customHeight="1">
      <c r="A288" s="17" t="s">
        <v>580</v>
      </c>
      <c r="B288" s="18" t="s">
        <v>581</v>
      </c>
      <c r="C288" s="14">
        <v>1.0</v>
      </c>
      <c r="D288" s="15">
        <v>339.0</v>
      </c>
      <c r="E288" s="15">
        <v>14.0</v>
      </c>
      <c r="F288" s="16" t="str">
        <f t="array" ref="F288">"https://www.google.com/maps/search/?api=1&amp;query=" &amp; A288 &amp; "," &amp; B288</f>
        <v>https://www.google.com/maps/search/?api=1&amp;query=-30.9048070293893,-55.5447275906498</v>
      </c>
      <c r="G288" s="16" t="str">
        <f t="array" ref="G288">"https://earth.google.com/web/search/" &amp; A288 &amp; "," &amp; B288</f>
        <v>https://earth.google.com/web/search/-30.9048070293893,-55.5447275906498</v>
      </c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ht="26.25" customHeight="1">
      <c r="A289" s="17" t="s">
        <v>582</v>
      </c>
      <c r="B289" s="18" t="s">
        <v>583</v>
      </c>
      <c r="C289" s="14">
        <v>1.0</v>
      </c>
      <c r="D289" s="15">
        <v>339.0</v>
      </c>
      <c r="E289" s="15">
        <v>15.0</v>
      </c>
      <c r="F289" s="16" t="str">
        <f t="array" ref="F289">"https://www.google.com/maps/search/?api=1&amp;query=" &amp; A289 &amp; "," &amp; B289</f>
        <v>https://www.google.com/maps/search/?api=1&amp;query=-30.9048767674103,-55.5447619488076</v>
      </c>
      <c r="G289" s="16" t="str">
        <f t="array" ref="G289">"https://earth.google.com/web/search/" &amp; A289 &amp; "," &amp; B289</f>
        <v>https://earth.google.com/web/search/-30.9048767674103,-55.5447619488076</v>
      </c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ht="26.25" customHeight="1">
      <c r="A290" s="17" t="s">
        <v>584</v>
      </c>
      <c r="B290" s="18" t="s">
        <v>585</v>
      </c>
      <c r="C290" s="14">
        <v>1.0</v>
      </c>
      <c r="D290" s="15">
        <v>332.0</v>
      </c>
      <c r="E290" s="15">
        <v>1.0</v>
      </c>
      <c r="F290" s="16" t="str">
        <f t="array" ref="F290">"https://www.google.com/maps/search/?api=1&amp;query=" &amp; A290 &amp; "," &amp; B290</f>
        <v>https://www.google.com/maps/search/?api=1&amp;query=-30.9060986307168,-55.5403555369007</v>
      </c>
      <c r="G290" s="16" t="str">
        <f t="array" ref="G290">"https://earth.google.com/web/search/" &amp; A290 &amp; "," &amp; B290</f>
        <v>https://earth.google.com/web/search/-30.9060986307168,-55.5403555369007</v>
      </c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ht="26.25" customHeight="1">
      <c r="A291" s="17" t="s">
        <v>586</v>
      </c>
      <c r="B291" s="18" t="s">
        <v>587</v>
      </c>
      <c r="C291" s="14">
        <v>1.0</v>
      </c>
      <c r="D291" s="15">
        <v>332.0</v>
      </c>
      <c r="E291" s="15">
        <v>2.0</v>
      </c>
      <c r="F291" s="16" t="str">
        <f t="array" ref="F291">"https://www.google.com/maps/search/?api=1&amp;query=" &amp; A291 &amp; "," &amp; B291</f>
        <v>https://www.google.com/maps/search/?api=1&amp;query=-30.9061362270462,-55.5402894928206</v>
      </c>
      <c r="G291" s="16" t="str">
        <f t="array" ref="G291">"https://earth.google.com/web/search/" &amp; A291 &amp; "," &amp; B291</f>
        <v>https://earth.google.com/web/search/-30.9061362270462,-55.5402894928206</v>
      </c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ht="26.25" customHeight="1">
      <c r="A292" s="17" t="s">
        <v>588</v>
      </c>
      <c r="B292" s="18" t="s">
        <v>589</v>
      </c>
      <c r="C292" s="14">
        <v>1.0</v>
      </c>
      <c r="D292" s="15">
        <v>332.0</v>
      </c>
      <c r="E292" s="15">
        <v>3.0</v>
      </c>
      <c r="F292" s="16" t="str">
        <f t="array" ref="F292">"https://www.google.com/maps/search/?api=1&amp;query=" &amp; A292 &amp; "," &amp; B292</f>
        <v>https://www.google.com/maps/search/?api=1&amp;query=-30.9061737128308,-55.5402103468574</v>
      </c>
      <c r="G292" s="16" t="str">
        <f t="array" ref="G292">"https://earth.google.com/web/search/" &amp; A292 &amp; "," &amp; B292</f>
        <v>https://earth.google.com/web/search/-30.9061737128308,-55.5402103468574</v>
      </c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ht="26.25" customHeight="1">
      <c r="A293" s="17" t="s">
        <v>590</v>
      </c>
      <c r="B293" s="18" t="s">
        <v>591</v>
      </c>
      <c r="C293" s="14">
        <v>1.0</v>
      </c>
      <c r="D293" s="15">
        <v>332.0</v>
      </c>
      <c r="E293" s="15">
        <v>4.0</v>
      </c>
      <c r="F293" s="16" t="str">
        <f t="array" ref="F293">"https://www.google.com/maps/search/?api=1&amp;query=" &amp; A293 &amp; "," &amp; B293</f>
        <v>https://www.google.com/maps/search/?api=1&amp;query=-30.9062626657419,-55.5400593672128</v>
      </c>
      <c r="G293" s="16" t="str">
        <f t="array" ref="G293">"https://earth.google.com/web/search/" &amp; A293 &amp; "," &amp; B293</f>
        <v>https://earth.google.com/web/search/-30.9062626657419,-55.5400593672128</v>
      </c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ht="26.25" customHeight="1">
      <c r="A294" s="17" t="s">
        <v>592</v>
      </c>
      <c r="B294" s="18" t="s">
        <v>593</v>
      </c>
      <c r="C294" s="14">
        <v>1.0</v>
      </c>
      <c r="D294" s="15">
        <v>332.0</v>
      </c>
      <c r="E294" s="15">
        <v>5.0</v>
      </c>
      <c r="F294" s="16" t="str">
        <f t="array" ref="F294">"https://www.google.com/maps/search/?api=1&amp;query=" &amp; A294 &amp; "," &amp; B294</f>
        <v>https://www.google.com/maps/search/?api=1&amp;query=-30.9062909567593,-55.5399728502007</v>
      </c>
      <c r="G294" s="16" t="str">
        <f t="array" ref="G294">"https://earth.google.com/web/search/" &amp; A294 &amp; "," &amp; B294</f>
        <v>https://earth.google.com/web/search/-30.9062909567593,-55.5399728502007</v>
      </c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ht="26.25" customHeight="1">
      <c r="A295" s="17" t="s">
        <v>594</v>
      </c>
      <c r="B295" s="18" t="s">
        <v>595</v>
      </c>
      <c r="C295" s="14">
        <v>1.0</v>
      </c>
      <c r="D295" s="15">
        <v>332.0</v>
      </c>
      <c r="E295" s="15">
        <v>6.0</v>
      </c>
      <c r="F295" s="16" t="str">
        <f t="array" ref="F295">"https://www.google.com/maps/search/?api=1&amp;query=" &amp; A295 &amp; "," &amp; B295</f>
        <v>https://www.google.com/maps/search/?api=1&amp;query=-30.9063350437917,-55.5398914866894</v>
      </c>
      <c r="G295" s="16" t="str">
        <f t="array" ref="G295">"https://earth.google.com/web/search/" &amp; A295 &amp; "," &amp; B295</f>
        <v>https://earth.google.com/web/search/-30.9063350437917,-55.5398914866894</v>
      </c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 ht="26.25" customHeight="1">
      <c r="A296" s="17" t="s">
        <v>596</v>
      </c>
      <c r="B296" s="18" t="s">
        <v>597</v>
      </c>
      <c r="C296" s="14">
        <v>1.0</v>
      </c>
      <c r="D296" s="15">
        <v>332.0</v>
      </c>
      <c r="E296" s="15">
        <v>7.0</v>
      </c>
      <c r="F296" s="16" t="str">
        <f t="array" ref="F296">"https://www.google.com/maps/search/?api=1&amp;query=" &amp; A296 &amp; "," &amp; B296</f>
        <v>https://www.google.com/maps/search/?api=1&amp;query=-30.9063676185956,-5.5539527600018</v>
      </c>
      <c r="G296" s="16" t="str">
        <f t="array" ref="G296">"https://earth.google.com/web/search/" &amp; A296 &amp; "," &amp; B296</f>
        <v>https://earth.google.com/web/search/-30.9063676185956,-5.5539527600018</v>
      </c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ht="26.25" customHeight="1">
      <c r="A297" s="17" t="s">
        <v>598</v>
      </c>
      <c r="B297" s="18" t="s">
        <v>599</v>
      </c>
      <c r="C297" s="14">
        <v>1.0</v>
      </c>
      <c r="D297" s="15">
        <v>332.0</v>
      </c>
      <c r="E297" s="15">
        <v>8.0</v>
      </c>
      <c r="F297" s="16" t="str">
        <f t="array" ref="F297">"https://www.google.com/maps/search/?api=1&amp;query=" &amp; A297 &amp; "," &amp; B297</f>
        <v>https://www.google.com/maps/search/?api=1&amp;query=-30.9059283688007,-55.5392127243041</v>
      </c>
      <c r="G297" s="16" t="str">
        <f t="array" ref="G297">"https://earth.google.com/web/search/" &amp; A297 &amp; "," &amp; B297</f>
        <v>https://earth.google.com/web/search/-30.9059283688007,-55.5392127243041</v>
      </c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ht="26.25" customHeight="1">
      <c r="A298" s="17" t="s">
        <v>600</v>
      </c>
      <c r="B298" s="18" t="s">
        <v>601</v>
      </c>
      <c r="C298" s="14">
        <v>1.0</v>
      </c>
      <c r="D298" s="15">
        <v>332.0</v>
      </c>
      <c r="E298" s="15">
        <v>9.0</v>
      </c>
      <c r="F298" s="16" t="str">
        <f t="array" ref="F298">"https://www.google.com/maps/search/?api=1&amp;query=" &amp; A298 &amp; "," &amp; B298</f>
        <v>https://www.google.com/maps/search/?api=1&amp;query=-30.9058451169246,-55.5391462964251</v>
      </c>
      <c r="G298" s="16" t="str">
        <f t="array" ref="G298">"https://earth.google.com/web/search/" &amp; A298 &amp; "," &amp; B298</f>
        <v>https://earth.google.com/web/search/-30.9058451169246,-55.5391462964251</v>
      </c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ht="26.25" customHeight="1">
      <c r="A299" s="17" t="s">
        <v>602</v>
      </c>
      <c r="B299" s="18" t="s">
        <v>603</v>
      </c>
      <c r="C299" s="14">
        <v>1.0</v>
      </c>
      <c r="D299" s="15">
        <v>332.0</v>
      </c>
      <c r="E299" s="15">
        <v>10.0</v>
      </c>
      <c r="F299" s="16" t="str">
        <f t="array" ref="F299">"https://www.google.com/maps/search/?api=1&amp;query=" &amp; A299 &amp; "," &amp; B299</f>
        <v>https://www.google.com/maps/search/?api=1&amp;query=-30.9057916275691,-55.5391130735863</v>
      </c>
      <c r="G299" s="16" t="str">
        <f t="array" ref="G299">"https://earth.google.com/web/search/" &amp; A299 &amp; "," &amp; B299</f>
        <v>https://earth.google.com/web/search/-30.9057916275691,-55.5391130735863</v>
      </c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ht="26.25" customHeight="1">
      <c r="A300" s="17" t="s">
        <v>604</v>
      </c>
      <c r="B300" s="18" t="s">
        <v>605</v>
      </c>
      <c r="C300" s="14">
        <v>1.0</v>
      </c>
      <c r="D300" s="15">
        <v>332.0</v>
      </c>
      <c r="E300" s="15">
        <v>11.0</v>
      </c>
      <c r="F300" s="16" t="str">
        <f t="array" ref="F300">"https://www.google.com/maps/search/?api=1&amp;query=" &amp; A300 &amp; "," &amp; B300</f>
        <v>https://www.google.com/maps/search/?api=1&amp;query=-0.3090554572835,-55.5395525231297</v>
      </c>
      <c r="G300" s="16" t="str">
        <f t="array" ref="G300">"https://earth.google.com/web/search/" &amp; A300 &amp; "," &amp; B300</f>
        <v>https://earth.google.com/web/search/-0.3090554572835,-55.5395525231297</v>
      </c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ht="26.25" customHeight="1">
      <c r="A301" s="17" t="s">
        <v>606</v>
      </c>
      <c r="B301" s="18" t="s">
        <v>607</v>
      </c>
      <c r="C301" s="14">
        <v>1.0</v>
      </c>
      <c r="D301" s="15">
        <v>332.0</v>
      </c>
      <c r="E301" s="15">
        <v>12.0</v>
      </c>
      <c r="F301" s="16" t="str">
        <f t="array" ref="F301">"https://www.google.com/maps/search/?api=1&amp;query=" &amp; A301 &amp; "," &amp; B301</f>
        <v>https://www.google.com/maps/search/?api=1&amp;query=-30.9054119652755,-55.5397902965138</v>
      </c>
      <c r="G301" s="16" t="str">
        <f t="array" ref="G301">"https://earth.google.com/web/search/" &amp; A301 &amp; "," &amp; B301</f>
        <v>https://earth.google.com/web/search/-30.9054119652755,-55.5397902965138</v>
      </c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ht="26.25" customHeight="1">
      <c r="A302" s="17" t="s">
        <v>608</v>
      </c>
      <c r="B302" s="18" t="s">
        <v>609</v>
      </c>
      <c r="C302" s="14">
        <v>1.0</v>
      </c>
      <c r="D302" s="15">
        <v>332.0</v>
      </c>
      <c r="E302" s="15">
        <v>13.0</v>
      </c>
      <c r="F302" s="16" t="str">
        <f t="array" ref="F302">"https://www.google.com/maps/search/?api=1&amp;query=" &amp; A302 &amp; "," &amp; B302</f>
        <v>https://www.google.com/maps/search/?api=1&amp;query=-30.9053739776893,-55.5398784386627</v>
      </c>
      <c r="G302" s="16" t="str">
        <f t="array" ref="G302">"https://earth.google.com/web/search/" &amp; A302 &amp; "," &amp; B302</f>
        <v>https://earth.google.com/web/search/-30.9053739776893,-55.5398784386627</v>
      </c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ht="26.25" customHeight="1">
      <c r="A303" s="17" t="s">
        <v>610</v>
      </c>
      <c r="B303" s="18" t="s">
        <v>611</v>
      </c>
      <c r="C303" s="14">
        <v>1.0</v>
      </c>
      <c r="D303" s="15">
        <v>332.0</v>
      </c>
      <c r="E303" s="15">
        <v>14.0</v>
      </c>
      <c r="F303" s="16" t="str">
        <f t="array" ref="F303">"https://www.google.com/maps/search/?api=1&amp;query=" &amp; A303 &amp; "," &amp; B303</f>
        <v>https://www.google.com/maps/search/?api=1&amp;query=-30.9053901071008,-55.5399600013538</v>
      </c>
      <c r="G303" s="16" t="str">
        <f t="array" ref="G303">"https://earth.google.com/web/search/" &amp; A303 &amp; "," &amp; B303</f>
        <v>https://earth.google.com/web/search/-30.9053901071008,-55.5399600013538</v>
      </c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ht="26.25" customHeight="1">
      <c r="A304" s="17" t="s">
        <v>612</v>
      </c>
      <c r="B304" s="18" t="s">
        <v>613</v>
      </c>
      <c r="C304" s="14">
        <v>1.0</v>
      </c>
      <c r="D304" s="15">
        <v>332.0</v>
      </c>
      <c r="E304" s="15">
        <v>15.0</v>
      </c>
      <c r="F304" s="16" t="str">
        <f t="array" ref="F304">"https://www.google.com/maps/search/?api=1&amp;query=" &amp; A304 &amp; "," &amp; B304</f>
        <v>https://www.google.com/maps/search/?api=1&amp;query=-30.9054333385751,-55.5399988482415</v>
      </c>
      <c r="G304" s="16" t="str">
        <f t="array" ref="G304">"https://earth.google.com/web/search/" &amp; A304 &amp; "," &amp; B304</f>
        <v>https://earth.google.com/web/search/-30.9054333385751,-55.5399988482415</v>
      </c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ht="26.25" customHeight="1">
      <c r="A305" s="17" t="s">
        <v>614</v>
      </c>
      <c r="B305" s="18" t="s">
        <v>615</v>
      </c>
      <c r="C305" s="14">
        <v>1.0</v>
      </c>
      <c r="D305" s="15">
        <v>332.0</v>
      </c>
      <c r="E305" s="15">
        <v>16.0</v>
      </c>
      <c r="F305" s="16" t="str">
        <f t="array" ref="F305">"https://www.google.com/maps/search/?api=1&amp;query=" &amp; A305 &amp; "," &amp; B305</f>
        <v>https://www.google.com/maps/search/?api=1&amp;query=-30.9054860101883,-55.5400317227954</v>
      </c>
      <c r="G305" s="16" t="str">
        <f t="array" ref="G305">"https://earth.google.com/web/search/" &amp; A305 &amp; "," &amp; B305</f>
        <v>https://earth.google.com/web/search/-30.9054860101883,-55.5400317227954</v>
      </c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 ht="26.25" customHeight="1">
      <c r="A306" s="17" t="s">
        <v>616</v>
      </c>
      <c r="B306" s="18" t="s">
        <v>617</v>
      </c>
      <c r="C306" s="14">
        <v>1.0</v>
      </c>
      <c r="D306" s="15">
        <v>332.0</v>
      </c>
      <c r="E306" s="15">
        <v>17.0</v>
      </c>
      <c r="F306" s="16" t="str">
        <f t="array" ref="F306">"https://www.google.com/maps/search/?api=1&amp;query=" &amp; A306 &amp; "," &amp; B306</f>
        <v>https://www.google.com/maps/search/?api=1&amp;query=-30.9055715136713,-55.5400953798356</v>
      </c>
      <c r="G306" s="16" t="str">
        <f t="array" ref="G306">"https://earth.google.com/web/search/" &amp; A306 &amp; "," &amp; B306</f>
        <v>https://earth.google.com/web/search/-30.9055715136713,-55.5400953798356</v>
      </c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 ht="26.25" customHeight="1">
      <c r="A307" s="17" t="s">
        <v>618</v>
      </c>
      <c r="B307" s="18" t="s">
        <v>619</v>
      </c>
      <c r="C307" s="14">
        <v>1.0</v>
      </c>
      <c r="D307" s="15">
        <v>332.0</v>
      </c>
      <c r="E307" s="15">
        <v>18.0</v>
      </c>
      <c r="F307" s="16" t="str">
        <f t="array" ref="F307">"https://www.google.com/maps/search/?api=1&amp;query=" &amp; A307 &amp; "," &amp; B307</f>
        <v>https://www.google.com/maps/search/?api=1&amp;query=-30.9059089896194,-55.5403326338356</v>
      </c>
      <c r="G307" s="16" t="str">
        <f t="array" ref="G307">"https://earth.google.com/web/search/" &amp; A307 &amp; "," &amp; B307</f>
        <v>https://earth.google.com/web/search/-30.9059089896194,-55.5403326338356</v>
      </c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ht="26.25" customHeight="1">
      <c r="A308" s="17" t="s">
        <v>620</v>
      </c>
      <c r="B308" s="18" t="s">
        <v>621</v>
      </c>
      <c r="C308" s="14">
        <v>1.0</v>
      </c>
      <c r="D308" s="15">
        <v>332.0</v>
      </c>
      <c r="E308" s="15">
        <v>19.0</v>
      </c>
      <c r="F308" s="16" t="str">
        <f t="array" ref="F308">"https://www.google.com/maps/search/?api=1&amp;query=" &amp; A308 &amp; "," &amp; B308</f>
        <v>https://www.google.com/maps/search/?api=1&amp;query=-30.9060164382167,-55.5403859297841</v>
      </c>
      <c r="G308" s="16" t="str">
        <f t="array" ref="G308">"https://earth.google.com/web/search/" &amp; A308 &amp; "," &amp; B308</f>
        <v>https://earth.google.com/web/search/-30.9060164382167,-55.5403859297841</v>
      </c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ht="26.25" customHeight="1">
      <c r="A309" s="17" t="s">
        <v>622</v>
      </c>
      <c r="B309" s="18" t="s">
        <v>623</v>
      </c>
      <c r="C309" s="14">
        <v>1.0</v>
      </c>
      <c r="D309" s="15">
        <v>331.0</v>
      </c>
      <c r="E309" s="15">
        <v>1.0</v>
      </c>
      <c r="F309" s="16" t="str">
        <f t="array" ref="F309">"https://www.google.com/maps/search/?api=1&amp;query=" &amp; A309 &amp; "," &amp; B309</f>
        <v>https://www.google.com/maps/search/?api=1&amp;query=-30.9056639299044,-55.5411515375432</v>
      </c>
      <c r="G309" s="16" t="str">
        <f t="array" ref="G309">"https://earth.google.com/web/search/" &amp; A309 &amp; "," &amp; B309</f>
        <v>https://earth.google.com/web/search/-30.9056639299044,-55.5411515375432</v>
      </c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ht="26.25" customHeight="1">
      <c r="A310" s="17" t="s">
        <v>624</v>
      </c>
      <c r="B310" s="18" t="s">
        <v>625</v>
      </c>
      <c r="C310" s="14">
        <v>1.0</v>
      </c>
      <c r="D310" s="15">
        <v>331.0</v>
      </c>
      <c r="E310" s="15">
        <v>2.0</v>
      </c>
      <c r="F310" s="16" t="str">
        <f t="array" ref="F310">"https://www.google.com/maps/search/?api=1&amp;query=" &amp; A310 &amp; "," &amp; B310</f>
        <v>https://www.google.com/maps/search/?api=1&amp;query=-30.9058643263916,-55.5404195056708</v>
      </c>
      <c r="G310" s="16" t="str">
        <f t="array" ref="G310">"https://earth.google.com/web/search/" &amp; A310 &amp; "," &amp; B310</f>
        <v>https://earth.google.com/web/search/-30.9058643263916,-55.5404195056708</v>
      </c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ht="26.25" customHeight="1">
      <c r="A311" s="17" t="s">
        <v>626</v>
      </c>
      <c r="B311" s="18" t="s">
        <v>627</v>
      </c>
      <c r="C311" s="14">
        <v>1.0</v>
      </c>
      <c r="D311" s="15">
        <v>331.0</v>
      </c>
      <c r="E311" s="15">
        <v>3.0</v>
      </c>
      <c r="F311" s="16" t="str">
        <f t="array" ref="F311">"https://www.google.com/maps/search/?api=1&amp;query=" &amp; A311 &amp; "," &amp; B311</f>
        <v>https://www.google.com/maps/search/?api=1&amp;query=-30.9057803182211,-55.5403514414298</v>
      </c>
      <c r="G311" s="16" t="str">
        <f t="array" ref="G311">"https://earth.google.com/web/search/" &amp; A311 &amp; "," &amp; B311</f>
        <v>https://earth.google.com/web/search/-30.9057803182211,-55.5403514414298</v>
      </c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ht="26.25" customHeight="1">
      <c r="A312" s="17" t="s">
        <v>628</v>
      </c>
      <c r="B312" s="18" t="s">
        <v>629</v>
      </c>
      <c r="C312" s="14">
        <v>1.0</v>
      </c>
      <c r="D312" s="15">
        <v>331.0</v>
      </c>
      <c r="E312" s="15">
        <v>4.0</v>
      </c>
      <c r="F312" s="16" t="str">
        <f t="array" ref="F312">"https://www.google.com/maps/search/?api=1&amp;query=" &amp; A312 &amp; "," &amp; B312</f>
        <v>https://www.google.com/maps/search/?api=1&amp;query=-30.9056926434287,-55.5402959207906</v>
      </c>
      <c r="G312" s="16" t="str">
        <f t="array" ref="G312">"https://earth.google.com/web/search/" &amp; A312 &amp; "," &amp; B312</f>
        <v>https://earth.google.com/web/search/-30.9056926434287,-55.5402959207906</v>
      </c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ht="26.25" customHeight="1">
      <c r="A313" s="17" t="s">
        <v>630</v>
      </c>
      <c r="B313" s="18" t="s">
        <v>631</v>
      </c>
      <c r="C313" s="14">
        <v>1.0</v>
      </c>
      <c r="D313" s="15">
        <v>331.0</v>
      </c>
      <c r="E313" s="15">
        <v>5.0</v>
      </c>
      <c r="F313" s="16" t="str">
        <f t="array" ref="F313">"https://www.google.com/maps/search/?api=1&amp;query=" &amp; A313 &amp; "," &amp; B313</f>
        <v>https://www.google.com/maps/search/?api=1&amp;query=-30.9056251481755,-55.5402397536244</v>
      </c>
      <c r="G313" s="16" t="str">
        <f t="array" ref="G313">"https://earth.google.com/web/search/" &amp; A313 &amp; "," &amp; B313</f>
        <v>https://earth.google.com/web/search/-30.9056251481755,-55.5402397536244</v>
      </c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ht="26.25" customHeight="1">
      <c r="A314" s="17" t="s">
        <v>632</v>
      </c>
      <c r="B314" s="18" t="s">
        <v>633</v>
      </c>
      <c r="C314" s="14">
        <v>1.0</v>
      </c>
      <c r="D314" s="15">
        <v>331.0</v>
      </c>
      <c r="E314" s="15">
        <v>6.0</v>
      </c>
      <c r="F314" s="16" t="str">
        <f t="array" ref="F314">"https://www.google.com/maps/search/?api=1&amp;query=" &amp; A314 &amp; "," &amp; B314</f>
        <v>https://www.google.com/maps/search/?api=1&amp;query=-30.9055648940415,-55.5402035430294</v>
      </c>
      <c r="G314" s="16" t="str">
        <f t="array" ref="G314">"https://earth.google.com/web/search/" &amp; A314 &amp; "," &amp; B314</f>
        <v>https://earth.google.com/web/search/-30.9055648940415,-55.5402035430294</v>
      </c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ht="26.25" customHeight="1">
      <c r="A315" s="17" t="s">
        <v>634</v>
      </c>
      <c r="B315" s="18" t="s">
        <v>635</v>
      </c>
      <c r="C315" s="14">
        <v>1.0</v>
      </c>
      <c r="D315" s="15">
        <v>331.0</v>
      </c>
      <c r="E315" s="15">
        <v>7.0</v>
      </c>
      <c r="F315" s="16" t="str">
        <f t="array" ref="F315">"https://www.google.com/maps/search/?api=1&amp;query=" &amp; A315 &amp; "," &amp; B315</f>
        <v>https://www.google.com/maps/search/?api=1&amp;query=-30.9054254969717,-55.5400933410481</v>
      </c>
      <c r="G315" s="16" t="str">
        <f t="array" ref="G315">"https://earth.google.com/web/search/" &amp; A315 &amp; "," &amp; B315</f>
        <v>https://earth.google.com/web/search/-30.9054254969717,-55.5400933410481</v>
      </c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ht="26.25" customHeight="1">
      <c r="A316" s="17" t="s">
        <v>636</v>
      </c>
      <c r="B316" s="18" t="s">
        <v>637</v>
      </c>
      <c r="C316" s="14">
        <v>1.0</v>
      </c>
      <c r="D316" s="15">
        <v>331.0</v>
      </c>
      <c r="E316" s="15">
        <v>8.0</v>
      </c>
      <c r="F316" s="16" t="str">
        <f t="array" ref="F316">"https://www.google.com/maps/search/?api=1&amp;query=" &amp; A316 &amp; "," &amp; B316</f>
        <v>https://www.google.com/maps/search/?api=1&amp;query=-30.9053745278616,-55.5400552678471</v>
      </c>
      <c r="G316" s="16" t="str">
        <f t="array" ref="G316">"https://earth.google.com/web/search/" &amp; A316 &amp; "," &amp; B316</f>
        <v>https://earth.google.com/web/search/-30.9053745278616,-55.5400552678471</v>
      </c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ht="26.25" customHeight="1">
      <c r="A317" s="17" t="s">
        <v>638</v>
      </c>
      <c r="B317" s="18" t="s">
        <v>639</v>
      </c>
      <c r="C317" s="14">
        <v>1.0</v>
      </c>
      <c r="D317" s="15">
        <v>331.0</v>
      </c>
      <c r="E317" s="15">
        <v>9.0</v>
      </c>
      <c r="F317" s="16" t="str">
        <f t="array" ref="F317">"https://www.google.com/maps/search/?api=1&amp;query=" &amp; A317 &amp; "," &amp; B317</f>
        <v>https://www.google.com/maps/search/?api=1&amp;query=-30.9051846010083,-55.5402435333672</v>
      </c>
      <c r="G317" s="16" t="str">
        <f t="array" ref="G317">"https://earth.google.com/web/search/" &amp; A317 &amp; "," &amp; B317</f>
        <v>https://earth.google.com/web/search/-30.9051846010083,-55.5402435333672</v>
      </c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ht="26.25" customHeight="1">
      <c r="A318" s="17" t="s">
        <v>640</v>
      </c>
      <c r="B318" s="18" t="s">
        <v>641</v>
      </c>
      <c r="C318" s="14">
        <v>1.0</v>
      </c>
      <c r="D318" s="15">
        <v>331.0</v>
      </c>
      <c r="E318" s="15">
        <v>10.0</v>
      </c>
      <c r="F318" s="16" t="str">
        <f t="array" ref="F318">"https://www.google.com/maps/search/?api=1&amp;query=" &amp; A318 &amp; "," &amp; B318</f>
        <v>https://www.google.com/maps/search/?api=1&amp;query=-30.9049673803104,-55.5406190574741</v>
      </c>
      <c r="G318" s="16" t="str">
        <f t="array" ref="G318">"https://earth.google.com/web/search/" &amp; A318 &amp; "," &amp; B318</f>
        <v>https://earth.google.com/web/search/-30.9049673803104,-55.5406190574741</v>
      </c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ht="26.25" customHeight="1">
      <c r="A319" s="17" t="s">
        <v>642</v>
      </c>
      <c r="B319" s="18" t="s">
        <v>643</v>
      </c>
      <c r="C319" s="14">
        <v>1.0</v>
      </c>
      <c r="D319" s="15">
        <v>331.0</v>
      </c>
      <c r="E319" s="15">
        <v>11.0</v>
      </c>
      <c r="F319" s="16" t="str">
        <f t="array" ref="F319">"https://www.google.com/maps/search/?api=1&amp;query=" &amp; A319 &amp; "," &amp; B319</f>
        <v>https://www.google.com/maps/search/?api=1&amp;query=-30.9052746382386,-5.5541094776567</v>
      </c>
      <c r="G319" s="16" t="str">
        <f t="array" ref="G319">"https://earth.google.com/web/search/" &amp; A319 &amp; "," &amp; B319</f>
        <v>https://earth.google.com/web/search/-30.9052746382386,-5.5541094776567</v>
      </c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ht="26.25" customHeight="1">
      <c r="A320" s="17" t="s">
        <v>644</v>
      </c>
      <c r="B320" s="18" t="s">
        <v>645</v>
      </c>
      <c r="C320" s="14">
        <v>1.0</v>
      </c>
      <c r="D320" s="15">
        <v>331.0</v>
      </c>
      <c r="E320" s="15">
        <v>12.0</v>
      </c>
      <c r="F320" s="16" t="str">
        <f t="array" ref="F320">"https://www.google.com/maps/search/?api=1&amp;query=" &amp; A320 &amp; "," &amp; B320</f>
        <v>https://www.google.com/maps/search/?api=1&amp;query=-30.9054183232992,-55.5411771760885</v>
      </c>
      <c r="G320" s="16" t="str">
        <f t="array" ref="G320">"https://earth.google.com/web/search/" &amp; A320 &amp; "," &amp; B320</f>
        <v>https://earth.google.com/web/search/-30.9054183232992,-55.5411771760885</v>
      </c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ht="26.25" customHeight="1">
      <c r="A321" s="17" t="s">
        <v>646</v>
      </c>
      <c r="B321" s="18" t="s">
        <v>647</v>
      </c>
      <c r="C321" s="14">
        <v>1.0</v>
      </c>
      <c r="D321" s="15">
        <v>330.0</v>
      </c>
      <c r="E321" s="15">
        <v>1.0</v>
      </c>
      <c r="F321" s="16" t="str">
        <f t="array" ref="F321">"https://www.google.com/maps/search/?api=1&amp;query=" &amp; A321 &amp; "," &amp; B321</f>
        <v>https://www.google.com/maps/search/?api=1&amp;query=-30.9051399848699,-55.5421527632331</v>
      </c>
      <c r="G321" s="16" t="str">
        <f t="array" ref="G321">"https://earth.google.com/web/search/" &amp; A321 &amp; "," &amp; B321</f>
        <v>https://earth.google.com/web/search/-30.9051399848699,-55.5421527632331</v>
      </c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ht="26.25" customHeight="1">
      <c r="A322" s="17" t="s">
        <v>648</v>
      </c>
      <c r="B322" s="18" t="s">
        <v>649</v>
      </c>
      <c r="C322" s="14">
        <v>1.0</v>
      </c>
      <c r="D322" s="15">
        <v>330.0</v>
      </c>
      <c r="E322" s="15">
        <v>2.0</v>
      </c>
      <c r="F322" s="16" t="str">
        <f t="array" ref="F322">"https://www.google.com/maps/search/?api=1&amp;query=" &amp; A322 &amp; "," &amp; B322</f>
        <v>https://www.google.com/maps/search/?api=1&amp;query=-30.9051793498489,-55.5420824983456</v>
      </c>
      <c r="G322" s="16" t="str">
        <f t="array" ref="G322">"https://earth.google.com/web/search/" &amp; A322 &amp; "," &amp; B322</f>
        <v>https://earth.google.com/web/search/-30.9051793498489,-55.5420824983456</v>
      </c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ht="26.25" customHeight="1">
      <c r="A323" s="17" t="s">
        <v>650</v>
      </c>
      <c r="B323" s="18" t="s">
        <v>651</v>
      </c>
      <c r="C323" s="14">
        <v>1.0</v>
      </c>
      <c r="D323" s="15">
        <v>330.0</v>
      </c>
      <c r="E323" s="15">
        <v>3.0</v>
      </c>
      <c r="F323" s="16" t="str">
        <f t="array" ref="F323">"https://www.google.com/maps/search/?api=1&amp;query=" &amp; A323 &amp; "," &amp; B323</f>
        <v>https://www.google.com/maps/search/?api=1&amp;query=-30.9052039276235,-55.5420035537721</v>
      </c>
      <c r="G323" s="16" t="str">
        <f t="array" ref="G323">"https://earth.google.com/web/search/" &amp; A323 &amp; "," &amp; B323</f>
        <v>https://earth.google.com/web/search/-30.9052039276235,-55.5420035537721</v>
      </c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ht="26.25" customHeight="1">
      <c r="A324" s="17" t="s">
        <v>652</v>
      </c>
      <c r="B324" s="18" t="s">
        <v>653</v>
      </c>
      <c r="C324" s="14">
        <v>1.0</v>
      </c>
      <c r="D324" s="15">
        <v>330.0</v>
      </c>
      <c r="E324" s="15">
        <v>4.0</v>
      </c>
      <c r="F324" s="16" t="str">
        <f t="array" ref="F324">"https://www.google.com/maps/search/?api=1&amp;query=" &amp; A324 &amp; "," &amp; B324</f>
        <v>https://www.google.com/maps/search/?api=1&amp;query=-30.9053500941998,-55.5417197850295</v>
      </c>
      <c r="G324" s="16" t="str">
        <f t="array" ref="G324">"https://earth.google.com/web/search/" &amp; A324 &amp; "," &amp; B324</f>
        <v>https://earth.google.com/web/search/-30.9053500941998,-55.5417197850295</v>
      </c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ht="26.25" customHeight="1">
      <c r="A325" s="17" t="s">
        <v>654</v>
      </c>
      <c r="B325" s="18" t="s">
        <v>655</v>
      </c>
      <c r="C325" s="14">
        <v>1.0</v>
      </c>
      <c r="D325" s="15">
        <v>330.0</v>
      </c>
      <c r="E325" s="15">
        <v>5.0</v>
      </c>
      <c r="F325" s="16" t="str">
        <f t="array" ref="F325">"https://www.google.com/maps/search/?api=1&amp;query=" &amp; A325 &amp; "," &amp; B325</f>
        <v>https://www.google.com/maps/search/?api=1&amp;query=-30.9054446507661,-55.5413866791678</v>
      </c>
      <c r="G325" s="16" t="str">
        <f t="array" ref="G325">"https://earth.google.com/web/search/" &amp; A325 &amp; "," &amp; B325</f>
        <v>https://earth.google.com/web/search/-30.9054446507661,-55.5413866791678</v>
      </c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ht="26.25" customHeight="1">
      <c r="A326" s="17" t="s">
        <v>656</v>
      </c>
      <c r="B326" s="18" t="s">
        <v>657</v>
      </c>
      <c r="C326" s="14">
        <v>1.0</v>
      </c>
      <c r="D326" s="15">
        <v>330.0</v>
      </c>
      <c r="E326" s="15">
        <v>6.0</v>
      </c>
      <c r="F326" s="16" t="str">
        <f t="array" ref="F326">"https://www.google.com/maps/search/?api=1&amp;query=" &amp; A326 &amp; "," &amp; B326</f>
        <v>https://www.google.com/maps/search/?api=1&amp;query=-30.9053686243651,-55.5413290437413</v>
      </c>
      <c r="G326" s="16" t="str">
        <f t="array" ref="G326">"https://earth.google.com/web/search/" &amp; A326 &amp; "," &amp; B326</f>
        <v>https://earth.google.com/web/search/-30.9053686243651,-55.5413290437413</v>
      </c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ht="26.25" customHeight="1">
      <c r="A327" s="17" t="s">
        <v>658</v>
      </c>
      <c r="B327" s="18" t="s">
        <v>659</v>
      </c>
      <c r="C327" s="14">
        <v>1.0</v>
      </c>
      <c r="D327" s="15">
        <v>330.0</v>
      </c>
      <c r="E327" s="15">
        <v>7.0</v>
      </c>
      <c r="F327" s="16" t="str">
        <f t="array" ref="F327">"https://www.google.com/maps/search/?api=1&amp;query=" &amp; A327 &amp; "," &amp; B327</f>
        <v>https://www.google.com/maps/search/?api=1&amp;query=-30.9052612730484,-5.5541260518388</v>
      </c>
      <c r="G327" s="16" t="str">
        <f t="array" ref="G327">"https://earth.google.com/web/search/" &amp; A327 &amp; "," &amp; B327</f>
        <v>https://earth.google.com/web/search/-30.9052612730484,-5.5541260518388</v>
      </c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 ht="26.25" customHeight="1">
      <c r="A328" s="17" t="s">
        <v>660</v>
      </c>
      <c r="B328" s="18" t="s">
        <v>661</v>
      </c>
      <c r="C328" s="14">
        <v>1.0</v>
      </c>
      <c r="D328" s="15">
        <v>330.0</v>
      </c>
      <c r="E328" s="15">
        <v>8.0</v>
      </c>
      <c r="F328" s="16" t="str">
        <f t="array" ref="F328">"https://www.google.com/maps/search/?api=1&amp;query=" &amp; A328 &amp; "," &amp; B328</f>
        <v>https://www.google.com/maps/search/?api=1&amp;query=-30.9051985519487,-55.5412097203144</v>
      </c>
      <c r="G328" s="16" t="str">
        <f t="array" ref="G328">"https://earth.google.com/web/search/" &amp; A328 &amp; "," &amp; B328</f>
        <v>https://earth.google.com/web/search/-30.9051985519487,-55.5412097203144</v>
      </c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ht="26.25" customHeight="1">
      <c r="A329" s="17" t="s">
        <v>662</v>
      </c>
      <c r="B329" s="18" t="s">
        <v>663</v>
      </c>
      <c r="C329" s="14">
        <v>1.0</v>
      </c>
      <c r="D329" s="15">
        <v>330.0</v>
      </c>
      <c r="E329" s="15">
        <v>9.0</v>
      </c>
      <c r="F329" s="16" t="str">
        <f t="array" ref="F329">"https://www.google.com/maps/search/?api=1&amp;query=" &amp; A329 &amp; "," &amp; B329</f>
        <v>https://www.google.com/maps/search/?api=1&amp;query=-30.9047404673893,-55.5410787816866</v>
      </c>
      <c r="G329" s="16" t="str">
        <f t="array" ref="G329">"https://earth.google.com/web/search/" &amp; A329 &amp; "," &amp; B329</f>
        <v>https://earth.google.com/web/search/-30.9047404673893,-55.5410787816866</v>
      </c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ht="26.25" customHeight="1">
      <c r="A330" s="17" t="s">
        <v>664</v>
      </c>
      <c r="B330" s="18" t="s">
        <v>665</v>
      </c>
      <c r="C330" s="14">
        <v>1.0</v>
      </c>
      <c r="D330" s="15">
        <v>330.0</v>
      </c>
      <c r="E330" s="15">
        <v>10.0</v>
      </c>
      <c r="F330" s="16" t="str">
        <f t="array" ref="F330">"https://www.google.com/maps/search/?api=1&amp;query=" &amp; A330 &amp; "," &amp; B330</f>
        <v>https://www.google.com/maps/search/?api=1&amp;query=-30.9047175760065,-55.5411325306665</v>
      </c>
      <c r="G330" s="16" t="str">
        <f t="array" ref="G330">"https://earth.google.com/web/search/" &amp; A330 &amp; "," &amp; B330</f>
        <v>https://earth.google.com/web/search/-30.9047175760065,-55.5411325306665</v>
      </c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ht="26.25" customHeight="1">
      <c r="A331" s="17" t="s">
        <v>666</v>
      </c>
      <c r="B331" s="18" t="s">
        <v>667</v>
      </c>
      <c r="C331" s="14">
        <v>1.0</v>
      </c>
      <c r="D331" s="15">
        <v>330.0</v>
      </c>
      <c r="E331" s="15">
        <v>11.0</v>
      </c>
      <c r="F331" s="16" t="str">
        <f t="array" ref="F331">"https://www.google.com/maps/search/?api=1&amp;query=" &amp; A331 &amp; "," &amp; B331</f>
        <v>https://www.google.com/maps/search/?api=1&amp;query=-30.9046821971386,-55.5412092615617</v>
      </c>
      <c r="G331" s="16" t="str">
        <f t="array" ref="G331">"https://earth.google.com/web/search/" &amp; A331 &amp; "," &amp; B331</f>
        <v>https://earth.google.com/web/search/-30.9046821971386,-55.5412092615617</v>
      </c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ht="26.25" customHeight="1">
      <c r="A332" s="17" t="s">
        <v>668</v>
      </c>
      <c r="B332" s="18" t="s">
        <v>669</v>
      </c>
      <c r="C332" s="14">
        <v>1.0</v>
      </c>
      <c r="D332" s="15">
        <v>330.0</v>
      </c>
      <c r="E332" s="15">
        <v>12.0</v>
      </c>
      <c r="F332" s="16" t="str">
        <f t="array" ref="F332">"https://www.google.com/maps/search/?api=1&amp;query=" &amp; A332 &amp; "," &amp; B332</f>
        <v>https://www.google.com/maps/search/?api=1&amp;query=-30.9045818248201,-55.5413746209062</v>
      </c>
      <c r="G332" s="16" t="str">
        <f t="array" ref="G332">"https://earth.google.com/web/search/" &amp; A332 &amp; "," &amp; B332</f>
        <v>https://earth.google.com/web/search/-30.9045818248201,-55.5413746209062</v>
      </c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ht="26.25" customHeight="1">
      <c r="A333" s="17" t="s">
        <v>670</v>
      </c>
      <c r="B333" s="18" t="s">
        <v>671</v>
      </c>
      <c r="C333" s="14">
        <v>1.0</v>
      </c>
      <c r="D333" s="15">
        <v>330.0</v>
      </c>
      <c r="E333" s="15">
        <v>13.0</v>
      </c>
      <c r="F333" s="16" t="str">
        <f t="array" ref="F333">"https://www.google.com/maps/search/?api=1&amp;query=" &amp; A333 &amp; "," &amp; B333</f>
        <v>https://www.google.com/maps/search/?api=1&amp;query=-30.9045498284703,-55.5414614461382</v>
      </c>
      <c r="G333" s="16" t="str">
        <f t="array" ref="G333">"https://earth.google.com/web/search/" &amp; A333 &amp; "," &amp; B333</f>
        <v>https://earth.google.com/web/search/-30.9045498284703,-55.5414614461382</v>
      </c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 ht="26.25" customHeight="1">
      <c r="A334" s="17" t="s">
        <v>672</v>
      </c>
      <c r="B334" s="18" t="s">
        <v>673</v>
      </c>
      <c r="C334" s="14">
        <v>1.0</v>
      </c>
      <c r="D334" s="15">
        <v>330.0</v>
      </c>
      <c r="E334" s="15">
        <v>14.0</v>
      </c>
      <c r="F334" s="16" t="str">
        <f t="array" ref="F334">"https://www.google.com/maps/search/?api=1&amp;query=" &amp; A334 &amp; "," &amp; B334</f>
        <v>https://www.google.com/maps/search/?api=1&amp;query=-30.9044570386678,-55.5415908833544</v>
      </c>
      <c r="G334" s="16" t="str">
        <f t="array" ref="G334">"https://earth.google.com/web/search/" &amp; A334 &amp; "," &amp; B334</f>
        <v>https://earth.google.com/web/search/-30.9044570386678,-55.5415908833544</v>
      </c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ht="26.25" customHeight="1">
      <c r="A335" s="17" t="s">
        <v>674</v>
      </c>
      <c r="B335" s="18" t="s">
        <v>675</v>
      </c>
      <c r="C335" s="14">
        <v>1.0</v>
      </c>
      <c r="D335" s="15">
        <v>330.0</v>
      </c>
      <c r="E335" s="15">
        <v>15.0</v>
      </c>
      <c r="F335" s="16" t="str">
        <f t="array" ref="F335">"https://www.google.com/maps/search/?api=1&amp;query=" &amp; A335 &amp; "," &amp; B335</f>
        <v>https://www.google.com/maps/search/?api=1&amp;query=-30.9044132660658,-5.5541681582919</v>
      </c>
      <c r="G335" s="16" t="str">
        <f t="array" ref="G335">"https://earth.google.com/web/search/" &amp; A335 &amp; "," &amp; B335</f>
        <v>https://earth.google.com/web/search/-30.9044132660658,-5.5541681582919</v>
      </c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ht="26.25" customHeight="1">
      <c r="A336" s="17" t="s">
        <v>676</v>
      </c>
      <c r="B336" s="18" t="s">
        <v>677</v>
      </c>
      <c r="C336" s="14">
        <v>1.0</v>
      </c>
      <c r="D336" s="15">
        <v>330.0</v>
      </c>
      <c r="E336" s="15">
        <v>16.0</v>
      </c>
      <c r="F336" s="16" t="str">
        <f t="array" ref="F336">"https://www.google.com/maps/search/?api=1&amp;query=" &amp; A336 &amp; "," &amp; B336</f>
        <v>https://www.google.com/maps/search/?api=1&amp;query=-30.9044694481377,-55.5418272342287</v>
      </c>
      <c r="G336" s="16" t="str">
        <f t="array" ref="G336">"https://earth.google.com/web/search/" &amp; A336 &amp; "," &amp; B336</f>
        <v>https://earth.google.com/web/search/-30.9044694481377,-55.5418272342287</v>
      </c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ht="26.25" customHeight="1">
      <c r="A337" s="17" t="s">
        <v>678</v>
      </c>
      <c r="B337" s="18" t="s">
        <v>679</v>
      </c>
      <c r="C337" s="14">
        <v>1.0</v>
      </c>
      <c r="D337" s="15">
        <v>330.0</v>
      </c>
      <c r="E337" s="15">
        <v>17.0</v>
      </c>
      <c r="F337" s="16" t="str">
        <f t="array" ref="F337">"https://www.google.com/maps/search/?api=1&amp;query=" &amp; A337 &amp; "," &amp; B337</f>
        <v>https://www.google.com/maps/search/?api=1&amp;query=-30.9045438144544,-55.5418664125918</v>
      </c>
      <c r="G337" s="16" t="str">
        <f t="array" ref="G337">"https://earth.google.com/web/search/" &amp; A337 &amp; "," &amp; B337</f>
        <v>https://earth.google.com/web/search/-30.9045438144544,-55.5418664125918</v>
      </c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ht="26.25" customHeight="1">
      <c r="A338" s="17" t="s">
        <v>680</v>
      </c>
      <c r="B338" s="18" t="s">
        <v>681</v>
      </c>
      <c r="C338" s="14">
        <v>1.0</v>
      </c>
      <c r="D338" s="15">
        <v>330.0</v>
      </c>
      <c r="E338" s="15">
        <v>18.0</v>
      </c>
      <c r="F338" s="16" t="str">
        <f t="array" ref="F338">"https://www.google.com/maps/search/?api=1&amp;query=" &amp; A338 &amp; "," &amp; B338</f>
        <v>https://www.google.com/maps/search/?api=1&amp;query=-30.9047700703388,-55.5420156609027</v>
      </c>
      <c r="G338" s="16" t="str">
        <f t="array" ref="G338">"https://earth.google.com/web/search/" &amp; A338 &amp; "," &amp; B338</f>
        <v>https://earth.google.com/web/search/-30.9047700703388,-55.5420156609027</v>
      </c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ht="26.25" customHeight="1">
      <c r="A339" s="17" t="s">
        <v>682</v>
      </c>
      <c r="B339" s="18" t="s">
        <v>683</v>
      </c>
      <c r="C339" s="14">
        <v>1.0</v>
      </c>
      <c r="D339" s="15">
        <v>330.0</v>
      </c>
      <c r="E339" s="15">
        <v>19.0</v>
      </c>
      <c r="F339" s="16" t="str">
        <f t="array" ref="F339">"https://www.google.com/maps/search/?api=1&amp;query=" &amp; A339 &amp; "," &amp; B339</f>
        <v>https://www.google.com/maps/search/?api=1&amp;query=-30.9049010803558,-55.5421076127647</v>
      </c>
      <c r="G339" s="16" t="str">
        <f t="array" ref="G339">"https://earth.google.com/web/search/" &amp; A339 &amp; "," &amp; B339</f>
        <v>https://earth.google.com/web/search/-30.9049010803558,-55.5421076127647</v>
      </c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ht="26.25" customHeight="1">
      <c r="A340" s="17" t="s">
        <v>684</v>
      </c>
      <c r="B340" s="18" t="s">
        <v>685</v>
      </c>
      <c r="C340" s="14">
        <v>1.0</v>
      </c>
      <c r="D340" s="15">
        <v>329.0</v>
      </c>
      <c r="E340" s="15">
        <v>1.0</v>
      </c>
      <c r="F340" s="16" t="str">
        <f t="array" ref="F340">"https://www.google.com/maps/search/?api=1&amp;query=" &amp; A340 &amp; "," &amp; B340</f>
        <v>https://www.google.com/maps/search/?api=1&amp;query=-30.9047191258822,-55.5429617541547</v>
      </c>
      <c r="G340" s="16" t="str">
        <f t="array" ref="G340">"https://earth.google.com/web/search/" &amp; A340 &amp; "," &amp; B340</f>
        <v>https://earth.google.com/web/search/-30.9047191258822,-55.5429617541547</v>
      </c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ht="26.25" customHeight="1">
      <c r="A341" s="17" t="s">
        <v>686</v>
      </c>
      <c r="B341" s="18" t="s">
        <v>687</v>
      </c>
      <c r="C341" s="14">
        <v>1.0</v>
      </c>
      <c r="D341" s="15">
        <v>329.0</v>
      </c>
      <c r="E341" s="15">
        <v>2.0</v>
      </c>
      <c r="F341" s="16" t="str">
        <f t="array" ref="F341">"https://www.google.com/maps/search/?api=1&amp;query=" &amp; A341 &amp; "," &amp; B341</f>
        <v>https://www.google.com/maps/search/?api=1&amp;query=-30.9048309997995,-55.5427552973799</v>
      </c>
      <c r="G341" s="16" t="str">
        <f t="array" ref="G341">"https://earth.google.com/web/search/" &amp; A341 &amp; "," &amp; B341</f>
        <v>https://earth.google.com/web/search/-30.9048309997995,-55.5427552973799</v>
      </c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ht="26.25" customHeight="1">
      <c r="A342" s="17" t="s">
        <v>688</v>
      </c>
      <c r="B342" s="18" t="s">
        <v>689</v>
      </c>
      <c r="C342" s="14">
        <v>1.0</v>
      </c>
      <c r="D342" s="15">
        <v>329.0</v>
      </c>
      <c r="E342" s="15">
        <v>10.0</v>
      </c>
      <c r="F342" s="16" t="str">
        <f t="array" ref="F342">"https://www.google.com/maps/search/?api=1&amp;query=" &amp; A342 &amp; "," &amp; B342</f>
        <v>https://www.google.com/maps/search/?api=1&amp;query=-30.9049192206868,-55.5425694967673</v>
      </c>
      <c r="G342" s="16" t="str">
        <f t="array" ref="G342">"https://earth.google.com/web/search/" &amp; A342 &amp; "," &amp; B342</f>
        <v>https://earth.google.com/web/search/-30.9049192206868,-55.5425694967673</v>
      </c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ht="26.25" customHeight="1">
      <c r="A343" s="17" t="s">
        <v>690</v>
      </c>
      <c r="B343" s="18" t="s">
        <v>691</v>
      </c>
      <c r="C343" s="14">
        <v>1.0</v>
      </c>
      <c r="D343" s="15">
        <v>329.0</v>
      </c>
      <c r="E343" s="15">
        <v>11.0</v>
      </c>
      <c r="F343" s="16" t="str">
        <f t="array" ref="F343">"https://www.google.com/maps/search/?api=1&amp;query=" &amp; A343 &amp; "," &amp; B343</f>
        <v>https://www.google.com/maps/search/?api=1&amp;query=-30.9049627478608,-55.5425165983874</v>
      </c>
      <c r="G343" s="16" t="str">
        <f t="array" ref="G343">"https://earth.google.com/web/search/" &amp; A343 &amp; "," &amp; B343</f>
        <v>https://earth.google.com/web/search/-30.9049627478608,-55.5425165983874</v>
      </c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ht="26.25" customHeight="1">
      <c r="A344" s="17" t="s">
        <v>692</v>
      </c>
      <c r="B344" s="18" t="s">
        <v>693</v>
      </c>
      <c r="C344" s="14">
        <v>1.0</v>
      </c>
      <c r="D344" s="15">
        <v>329.0</v>
      </c>
      <c r="E344" s="15">
        <v>12.0</v>
      </c>
      <c r="F344" s="16" t="str">
        <f t="array" ref="F344">"https://www.google.com/maps/search/?api=1&amp;query=" &amp; A344 &amp; "," &amp; B344</f>
        <v>https://www.google.com/maps/search/?api=1&amp;query=-30.9050420219357,-55.5423656818809</v>
      </c>
      <c r="G344" s="16" t="str">
        <f t="array" ref="G344">"https://earth.google.com/web/search/" &amp; A344 &amp; "," &amp; B344</f>
        <v>https://earth.google.com/web/search/-30.9050420219357,-55.5423656818809</v>
      </c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ht="26.25" customHeight="1">
      <c r="A345" s="17" t="s">
        <v>694</v>
      </c>
      <c r="B345" s="18" t="s">
        <v>695</v>
      </c>
      <c r="C345" s="14">
        <v>1.0</v>
      </c>
      <c r="D345" s="15">
        <v>329.0</v>
      </c>
      <c r="E345" s="15">
        <v>13.0</v>
      </c>
      <c r="F345" s="16" t="str">
        <f t="array" ref="F345">"https://www.google.com/maps/search/?api=1&amp;query=" &amp; A345 &amp; "," &amp; B345</f>
        <v>https://www.google.com/maps/search/?api=1&amp;query=-3.0904909232427,-55.5422284493577</v>
      </c>
      <c r="G345" s="16" t="str">
        <f t="array" ref="G345">"https://earth.google.com/web/search/" &amp; A345 &amp; "," &amp; B345</f>
        <v>https://earth.google.com/web/search/-3.0904909232427,-55.5422284493577</v>
      </c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ht="26.25" customHeight="1">
      <c r="A346" s="17" t="s">
        <v>696</v>
      </c>
      <c r="B346" s="18" t="s">
        <v>697</v>
      </c>
      <c r="C346" s="14">
        <v>1.0</v>
      </c>
      <c r="D346" s="15">
        <v>329.0</v>
      </c>
      <c r="E346" s="15">
        <v>14.0</v>
      </c>
      <c r="F346" s="16" t="str">
        <f t="array" ref="F346">"https://www.google.com/maps/search/?api=1&amp;query=" &amp; A346 &amp; "," &amp; B346</f>
        <v>https://www.google.com/maps/search/?api=1&amp;query=-3.0904829906965,-5.5542189088396</v>
      </c>
      <c r="G346" s="16" t="str">
        <f t="array" ref="G346">"https://earth.google.com/web/search/" &amp; A346 &amp; "," &amp; B346</f>
        <v>https://earth.google.com/web/search/-3.0904829906965,-5.5542189088396</v>
      </c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ht="26.25" customHeight="1">
      <c r="A347" s="17" t="s">
        <v>698</v>
      </c>
      <c r="B347" s="18" t="s">
        <v>699</v>
      </c>
      <c r="C347" s="14">
        <v>1.0</v>
      </c>
      <c r="D347" s="15">
        <v>329.0</v>
      </c>
      <c r="E347" s="15">
        <v>15.0</v>
      </c>
      <c r="F347" s="16" t="str">
        <f t="array" ref="F347">"https://www.google.com/maps/search/?api=1&amp;query=" &amp; A347 &amp; "," &amp; B347</f>
        <v>https://www.google.com/maps/search/?api=1&amp;query=-30.9047411860254,-55.5421211388411</v>
      </c>
      <c r="G347" s="16" t="str">
        <f t="array" ref="G347">"https://earth.google.com/web/search/" &amp; A347 &amp; "," &amp; B347</f>
        <v>https://earth.google.com/web/search/-30.9047411860254,-55.5421211388411</v>
      </c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 ht="26.25" customHeight="1">
      <c r="A348" s="17" t="s">
        <v>700</v>
      </c>
      <c r="B348" s="18" t="s">
        <v>701</v>
      </c>
      <c r="C348" s="14">
        <v>1.0</v>
      </c>
      <c r="D348" s="15">
        <v>329.0</v>
      </c>
      <c r="E348" s="15">
        <v>16.0</v>
      </c>
      <c r="F348" s="16" t="str">
        <f t="array" ref="F348">"https://www.google.com/maps/search/?api=1&amp;query=" &amp; A348 &amp; "," &amp; B348</f>
        <v>https://www.google.com/maps/search/?api=1&amp;query=-30.9043959960227,-5.5541851208749</v>
      </c>
      <c r="G348" s="16" t="str">
        <f t="array" ref="G348">"https://earth.google.com/web/search/" &amp; A348 &amp; "," &amp; B348</f>
        <v>https://earth.google.com/web/search/-30.9043959960227,-5.5541851208749</v>
      </c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 ht="26.25" customHeight="1">
      <c r="A349" s="17" t="s">
        <v>702</v>
      </c>
      <c r="B349" s="18" t="s">
        <v>703</v>
      </c>
      <c r="C349" s="14">
        <v>1.0</v>
      </c>
      <c r="D349" s="15">
        <v>329.0</v>
      </c>
      <c r="E349" s="15">
        <v>17.0</v>
      </c>
      <c r="F349" s="16" t="str">
        <f t="array" ref="F349">"https://www.google.com/maps/search/?api=1&amp;query=" &amp; A349 &amp; "," &amp; B349</f>
        <v>https://www.google.com/maps/search/?api=1&amp;query=-3.0904314674594,-55.5418776516648</v>
      </c>
      <c r="G349" s="16" t="str">
        <f t="array" ref="G349">"https://earth.google.com/web/search/" &amp; A349 &amp; "," &amp; B349</f>
        <v>https://earth.google.com/web/search/-3.0904314674594,-55.5418776516648</v>
      </c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 ht="26.25" customHeight="1">
      <c r="A350" s="17" t="s">
        <v>704</v>
      </c>
      <c r="B350" s="18" t="s">
        <v>705</v>
      </c>
      <c r="C350" s="14">
        <v>1.0</v>
      </c>
      <c r="D350" s="15">
        <v>329.0</v>
      </c>
      <c r="E350" s="15">
        <v>18.0</v>
      </c>
      <c r="F350" s="16" t="str">
        <f t="array" ref="F350">"https://www.google.com/maps/search/?api=1&amp;query=" &amp; A350 &amp; "," &amp; B350</f>
        <v>https://www.google.com/maps/search/?api=1&amp;query=-30.9042837749579,-55.5419447845243</v>
      </c>
      <c r="G350" s="16" t="str">
        <f t="array" ref="G350">"https://earth.google.com/web/search/" &amp; A350 &amp; "," &amp; B350</f>
        <v>https://earth.google.com/web/search/-30.9042837749579,-55.5419447845243</v>
      </c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 ht="26.25" customHeight="1">
      <c r="A351" s="17" t="s">
        <v>706</v>
      </c>
      <c r="B351" s="18" t="s">
        <v>707</v>
      </c>
      <c r="C351" s="14">
        <v>1.0</v>
      </c>
      <c r="D351" s="15">
        <v>329.0</v>
      </c>
      <c r="E351" s="15">
        <v>19.0</v>
      </c>
      <c r="F351" s="16" t="str">
        <f t="array" ref="F351">"https://www.google.com/maps/search/?api=1&amp;query=" &amp; A351 &amp; "," &amp; B351</f>
        <v>https://www.google.com/maps/search/?api=1&amp;query=-30.9041168897273,-55.5422359315958</v>
      </c>
      <c r="G351" s="16" t="str">
        <f t="array" ref="G351">"https://earth.google.com/web/search/" &amp; A351 &amp; "," &amp; B351</f>
        <v>https://earth.google.com/web/search/-30.9041168897273,-55.5422359315958</v>
      </c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 ht="26.25" customHeight="1">
      <c r="A352" s="17" t="s">
        <v>708</v>
      </c>
      <c r="B352" s="18" t="s">
        <v>709</v>
      </c>
      <c r="C352" s="14">
        <v>1.0</v>
      </c>
      <c r="D352" s="15">
        <v>329.0</v>
      </c>
      <c r="E352" s="15">
        <v>20.0</v>
      </c>
      <c r="F352" s="16" t="str">
        <f t="array" ref="F352">"https://www.google.com/maps/search/?api=1&amp;query=" &amp; A352 &amp; "," &amp; B352</f>
        <v>https://www.google.com/maps/search/?api=1&amp;query=-30.9041010743295,-55.5427828308487</v>
      </c>
      <c r="G352" s="16" t="str">
        <f t="array" ref="G352">"https://earth.google.com/web/search/" &amp; A352 &amp; "," &amp; B352</f>
        <v>https://earth.google.com/web/search/-30.9041010743295,-55.5427828308487</v>
      </c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 ht="26.25" customHeight="1">
      <c r="A353" s="17" t="s">
        <v>710</v>
      </c>
      <c r="B353" s="18" t="s">
        <v>711</v>
      </c>
      <c r="C353" s="14">
        <v>1.0</v>
      </c>
      <c r="D353" s="15">
        <v>329.0</v>
      </c>
      <c r="E353" s="15">
        <v>21.0</v>
      </c>
      <c r="F353" s="16" t="str">
        <f t="array" ref="F353">"https://www.google.com/maps/search/?api=1&amp;query=" &amp; A353 &amp; "," &amp; B353</f>
        <v>https://www.google.com/maps/search/?api=1&amp;query=-30.9042841450238,-55.5429187468875</v>
      </c>
      <c r="G353" s="16" t="str">
        <f t="array" ref="G353">"https://earth.google.com/web/search/" &amp; A353 &amp; "," &amp; B353</f>
        <v>https://earth.google.com/web/search/-30.9042841450238,-55.5429187468875</v>
      </c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 ht="26.25" customHeight="1">
      <c r="A354" s="17" t="s">
        <v>712</v>
      </c>
      <c r="B354" s="18" t="s">
        <v>713</v>
      </c>
      <c r="C354" s="14">
        <v>1.0</v>
      </c>
      <c r="D354" s="15">
        <v>329.0</v>
      </c>
      <c r="E354" s="15">
        <v>22.0</v>
      </c>
      <c r="F354" s="16" t="str">
        <f t="array" ref="F354">"https://www.google.com/maps/search/?api=1&amp;query=" &amp; A354 &amp; "," &amp; B354</f>
        <v>https://www.google.com/maps/search/?api=1&amp;query=-30.9043164301473,-55.5429367281264</v>
      </c>
      <c r="G354" s="16" t="str">
        <f t="array" ref="G354">"https://earth.google.com/web/search/" &amp; A354 &amp; "," &amp; B354</f>
        <v>https://earth.google.com/web/search/-30.9043164301473,-55.5429367281264</v>
      </c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 ht="26.25" customHeight="1">
      <c r="A355" s="17" t="s">
        <v>714</v>
      </c>
      <c r="B355" s="18" t="s">
        <v>715</v>
      </c>
      <c r="C355" s="14">
        <v>1.0</v>
      </c>
      <c r="D355" s="15">
        <v>329.0</v>
      </c>
      <c r="E355" s="15">
        <v>23.0</v>
      </c>
      <c r="F355" s="16" t="str">
        <f t="array" ref="F355">"https://www.google.com/maps/search/?api=1&amp;query=" &amp; A355 &amp; "," &amp; B355</f>
        <v>https://www.google.com/maps/search/?api=1&amp;query=-30.9043554897188,-55.5429648407775</v>
      </c>
      <c r="G355" s="16" t="str">
        <f t="array" ref="G355">"https://earth.google.com/web/search/" &amp; A355 &amp; "," &amp; B355</f>
        <v>https://earth.google.com/web/search/-30.9043554897188,-55.5429648407775</v>
      </c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 ht="26.25" customHeight="1">
      <c r="A356" s="17" t="s">
        <v>716</v>
      </c>
      <c r="B356" s="18" t="s">
        <v>717</v>
      </c>
      <c r="C356" s="14">
        <v>1.0</v>
      </c>
      <c r="D356" s="15">
        <v>328.0</v>
      </c>
      <c r="E356" s="15">
        <v>1.0</v>
      </c>
      <c r="F356" s="16" t="str">
        <f t="array" ref="F356">"https://www.google.com/maps/search/?api=1&amp;query=" &amp; A356 &amp; "," &amp; B356</f>
        <v>https://www.google.com/maps/search/?api=1&amp;query=-30.9043287134649,-55.5430833622782</v>
      </c>
      <c r="G356" s="16" t="str">
        <f t="array" ref="G356">"https://earth.google.com/web/search/" &amp; A356 &amp; "," &amp; B356</f>
        <v>https://earth.google.com/web/search/-30.9043287134649,-55.5430833622782</v>
      </c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 ht="26.25" customHeight="1">
      <c r="A357" s="17" t="s">
        <v>718</v>
      </c>
      <c r="B357" s="18" t="s">
        <v>719</v>
      </c>
      <c r="C357" s="14">
        <v>1.0</v>
      </c>
      <c r="D357" s="15">
        <v>328.0</v>
      </c>
      <c r="E357" s="15">
        <v>2.0</v>
      </c>
      <c r="F357" s="16" t="str">
        <f t="array" ref="F357">"https://www.google.com/maps/search/?api=1&amp;query=" &amp; A357 &amp; "," &amp; B357</f>
        <v>https://www.google.com/maps/search/?api=1&amp;query=-30.9042947622983,-55.5430427130328</v>
      </c>
      <c r="G357" s="16" t="str">
        <f t="array" ref="G357">"https://earth.google.com/web/search/" &amp; A357 &amp; "," &amp; B357</f>
        <v>https://earth.google.com/web/search/-30.9042947622983,-55.5430427130328</v>
      </c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ht="26.25" customHeight="1">
      <c r="A358" s="17" t="s">
        <v>720</v>
      </c>
      <c r="B358" s="18" t="s">
        <v>721</v>
      </c>
      <c r="C358" s="14">
        <v>1.0</v>
      </c>
      <c r="D358" s="15">
        <v>328.0</v>
      </c>
      <c r="E358" s="15">
        <v>3.0</v>
      </c>
      <c r="F358" s="16" t="str">
        <f t="array" ref="F358">"https://www.google.com/maps/search/?api=1&amp;query=" &amp; A358 &amp; "," &amp; B358</f>
        <v>https://www.google.com/maps/search/?api=1&amp;query=-30.9042107142048,-55.5430131978059</v>
      </c>
      <c r="G358" s="16" t="str">
        <f t="array" ref="G358">"https://earth.google.com/web/search/" &amp; A358 &amp; "," &amp; B358</f>
        <v>https://earth.google.com/web/search/-30.9042107142048,-55.5430131978059</v>
      </c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ht="26.25" customHeight="1">
      <c r="A359" s="17" t="s">
        <v>722</v>
      </c>
      <c r="B359" s="18" t="s">
        <v>723</v>
      </c>
      <c r="C359" s="14">
        <v>1.0</v>
      </c>
      <c r="D359" s="15">
        <v>328.0</v>
      </c>
      <c r="E359" s="15">
        <v>4.0</v>
      </c>
      <c r="F359" s="16" t="str">
        <f t="array" ref="F359">"https://www.google.com/maps/search/?api=1&amp;query=" &amp; A359 &amp; "," &amp; B359</f>
        <v>https://www.google.com/maps/search/?api=1&amp;query=-30.9039864881068,-55.5428664299396</v>
      </c>
      <c r="G359" s="16" t="str">
        <f t="array" ref="G359">"https://earth.google.com/web/search/" &amp; A359 &amp; "," &amp; B359</f>
        <v>https://earth.google.com/web/search/-30.9039864881068,-55.5428664299396</v>
      </c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 ht="26.25" customHeight="1">
      <c r="A360" s="17" t="s">
        <v>724</v>
      </c>
      <c r="B360" s="18" t="s">
        <v>725</v>
      </c>
      <c r="C360" s="14">
        <v>1.0</v>
      </c>
      <c r="D360" s="15">
        <v>328.0</v>
      </c>
      <c r="E360" s="15">
        <v>5.0</v>
      </c>
      <c r="F360" s="16" t="str">
        <f t="array" ref="F360">"https://www.google.com/maps/search/?api=1&amp;query=" &amp; A360 &amp; "," &amp; B360</f>
        <v>https://www.google.com/maps/search/?api=1&amp;query=-30.9039238843078,-55.5428236823679</v>
      </c>
      <c r="G360" s="16" t="str">
        <f t="array" ref="G360">"https://earth.google.com/web/search/" &amp; A360 &amp; "," &amp; B360</f>
        <v>https://earth.google.com/web/search/-30.9039238843078,-55.5428236823679</v>
      </c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ht="26.25" customHeight="1">
      <c r="A361" s="17" t="s">
        <v>726</v>
      </c>
      <c r="B361" s="18" t="s">
        <v>727</v>
      </c>
      <c r="C361" s="14">
        <v>1.0</v>
      </c>
      <c r="D361" s="15">
        <v>328.0</v>
      </c>
      <c r="E361" s="15">
        <v>6.0</v>
      </c>
      <c r="F361" s="16" t="str">
        <f t="array" ref="F361">"https://www.google.com/maps/search/?api=1&amp;query=" &amp; A361 &amp; "," &amp; B361</f>
        <v>https://www.google.com/maps/search/?api=1&amp;query=-30.9037740819769,-55.5428751457931</v>
      </c>
      <c r="G361" s="16" t="str">
        <f t="array" ref="G361">"https://earth.google.com/web/search/" &amp; A361 &amp; "," &amp; B361</f>
        <v>https://earth.google.com/web/search/-30.9037740819769,-55.5428751457931</v>
      </c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 ht="26.25" customHeight="1">
      <c r="A362" s="17" t="s">
        <v>728</v>
      </c>
      <c r="B362" s="18" t="s">
        <v>729</v>
      </c>
      <c r="C362" s="14">
        <v>1.0</v>
      </c>
      <c r="D362" s="15">
        <v>328.0</v>
      </c>
      <c r="E362" s="15">
        <v>7.0</v>
      </c>
      <c r="F362" s="16" t="str">
        <f t="array" ref="F362">"https://www.google.com/maps/search/?api=1&amp;query=" &amp; A362 &amp; "," &amp; B362</f>
        <v>https://www.google.com/maps/search/?api=1&amp;query=-30.9037326344909,-55.5429537956005</v>
      </c>
      <c r="G362" s="16" t="str">
        <f t="array" ref="G362">"https://earth.google.com/web/search/" &amp; A362 &amp; "," &amp; B362</f>
        <v>https://earth.google.com/web/search/-30.9037326344909,-55.5429537956005</v>
      </c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ht="26.25" customHeight="1">
      <c r="A363" s="17" t="s">
        <v>730</v>
      </c>
      <c r="B363" s="18" t="s">
        <v>731</v>
      </c>
      <c r="C363" s="14">
        <v>1.0</v>
      </c>
      <c r="D363" s="15">
        <v>328.0</v>
      </c>
      <c r="E363" s="15">
        <v>8.0</v>
      </c>
      <c r="F363" s="16" t="str">
        <f t="array" ref="F363">"https://www.google.com/maps/search/?api=1&amp;query=" &amp; A363 &amp; "," &amp; B363</f>
        <v>https://www.google.com/maps/search/?api=1&amp;query=-30.9035016555571,-5.5543381010809</v>
      </c>
      <c r="G363" s="16" t="str">
        <f t="array" ref="G363">"https://earth.google.com/web/search/" &amp; A363 &amp; "," &amp; B363</f>
        <v>https://earth.google.com/web/search/-30.9035016555571,-5.5543381010809</v>
      </c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ht="26.25" customHeight="1">
      <c r="A364" s="17" t="s">
        <v>732</v>
      </c>
      <c r="B364" s="18" t="s">
        <v>733</v>
      </c>
      <c r="C364" s="14">
        <v>1.0</v>
      </c>
      <c r="D364" s="15">
        <v>328.0</v>
      </c>
      <c r="E364" s="15">
        <v>9.0</v>
      </c>
      <c r="F364" s="16" t="str">
        <f t="array" ref="F364">"https://www.google.com/maps/search/?api=1&amp;query=" &amp; A364 &amp; "," &amp; B364</f>
        <v>https://www.google.com/maps/search/?api=1&amp;query=-30.9034635038154,-55.5434880495688</v>
      </c>
      <c r="G364" s="16" t="str">
        <f t="array" ref="G364">"https://earth.google.com/web/search/" &amp; A364 &amp; "," &amp; B364</f>
        <v>https://earth.google.com/web/search/-30.9034635038154,-55.5434880495688</v>
      </c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ht="26.25" customHeight="1">
      <c r="A365" s="17" t="s">
        <v>734</v>
      </c>
      <c r="B365" s="18" t="s">
        <v>735</v>
      </c>
      <c r="C365" s="14">
        <v>1.0</v>
      </c>
      <c r="D365" s="15">
        <v>328.0</v>
      </c>
      <c r="E365" s="15">
        <v>10.0</v>
      </c>
      <c r="F365" s="16" t="str">
        <f t="array" ref="F365">"https://www.google.com/maps/search/?api=1&amp;query=" &amp; A365 &amp; "," &amp; B365</f>
        <v>https://www.google.com/maps/search/?api=1&amp;query=-30.9034371920426,-55.5436235851232</v>
      </c>
      <c r="G365" s="16" t="str">
        <f t="array" ref="G365">"https://earth.google.com/web/search/" &amp; A365 &amp; "," &amp; B365</f>
        <v>https://earth.google.com/web/search/-30.9034371920426,-55.5436235851232</v>
      </c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 ht="26.25" customHeight="1">
      <c r="A366" s="17" t="s">
        <v>736</v>
      </c>
      <c r="B366" s="18" t="s">
        <v>737</v>
      </c>
      <c r="C366" s="14">
        <v>1.0</v>
      </c>
      <c r="D366" s="15">
        <v>328.0</v>
      </c>
      <c r="E366" s="15">
        <v>11.0</v>
      </c>
      <c r="F366" s="16" t="str">
        <f t="array" ref="F366">"https://www.google.com/maps/search/?api=1&amp;query=" &amp; A366 &amp; "," &amp; B366</f>
        <v>https://www.google.com/maps/search/?api=1&amp;query=-30.9034772706099,-55.5436573428606</v>
      </c>
      <c r="G366" s="16" t="str">
        <f t="array" ref="G366">"https://earth.google.com/web/search/" &amp; A366 &amp; "," &amp; B366</f>
        <v>https://earth.google.com/web/search/-30.9034772706099,-55.5436573428606</v>
      </c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ht="26.25" customHeight="1">
      <c r="A367" s="17" t="s">
        <v>738</v>
      </c>
      <c r="B367" s="18" t="s">
        <v>739</v>
      </c>
      <c r="C367" s="14">
        <v>1.0</v>
      </c>
      <c r="D367" s="15">
        <v>328.0</v>
      </c>
      <c r="E367" s="15">
        <v>12.0</v>
      </c>
      <c r="F367" s="16" t="str">
        <f t="array" ref="F367">"https://www.google.com/maps/search/?api=1&amp;query=" &amp; A367 &amp; "," &amp; B367</f>
        <v>https://www.google.com/maps/search/?api=1&amp;query=-30.9035221300649,-55.5436790318857</v>
      </c>
      <c r="G367" s="16" t="str">
        <f t="array" ref="G367">"https://earth.google.com/web/search/" &amp; A367 &amp; "," &amp; B367</f>
        <v>https://earth.google.com/web/search/-30.9035221300649,-55.5436790318857</v>
      </c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 ht="26.25" customHeight="1">
      <c r="A368" s="17" t="s">
        <v>740</v>
      </c>
      <c r="B368" s="18" t="s">
        <v>741</v>
      </c>
      <c r="C368" s="14">
        <v>1.0</v>
      </c>
      <c r="D368" s="15">
        <v>328.0</v>
      </c>
      <c r="E368" s="15">
        <v>13.0</v>
      </c>
      <c r="F368" s="16" t="str">
        <f t="array" ref="F368">"https://www.google.com/maps/search/?api=1&amp;query=" &amp; A368 &amp; "," &amp; B368</f>
        <v>https://www.google.com/maps/search/?api=1&amp;query=-30.9035599058351,-5.5543708521359</v>
      </c>
      <c r="G368" s="16" t="str">
        <f t="array" ref="G368">"https://earth.google.com/web/search/" &amp; A368 &amp; "," &amp; B368</f>
        <v>https://earth.google.com/web/search/-30.9035599058351,-5.5543708521359</v>
      </c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ht="26.25" customHeight="1">
      <c r="A369" s="17" t="s">
        <v>742</v>
      </c>
      <c r="B369" s="18" t="s">
        <v>743</v>
      </c>
      <c r="C369" s="14">
        <v>1.0</v>
      </c>
      <c r="D369" s="15">
        <v>328.0</v>
      </c>
      <c r="E369" s="15">
        <v>14.0</v>
      </c>
      <c r="F369" s="16" t="str">
        <f t="array" ref="F369">"https://www.google.com/maps/search/?api=1&amp;query=" &amp; A369 &amp; "," &amp; B369</f>
        <v>https://www.google.com/maps/search/?api=1&amp;query=-30.9036906690202,-55.5437877272325</v>
      </c>
      <c r="G369" s="16" t="str">
        <f t="array" ref="G369">"https://earth.google.com/web/search/" &amp; A369 &amp; "," &amp; B369</f>
        <v>https://earth.google.com/web/search/-30.9036906690202,-55.5437877272325</v>
      </c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 ht="26.25" customHeight="1">
      <c r="A370" s="17" t="s">
        <v>744</v>
      </c>
      <c r="B370" s="18" t="s">
        <v>745</v>
      </c>
      <c r="C370" s="14">
        <v>1.0</v>
      </c>
      <c r="D370" s="15">
        <v>328.0</v>
      </c>
      <c r="E370" s="15">
        <v>15.0</v>
      </c>
      <c r="F370" s="16" t="str">
        <f t="array" ref="F370">"https://www.google.com/maps/search/?api=1&amp;query=" &amp; A370 &amp; "," &amp; B370</f>
        <v>https://www.google.com/maps/search/?api=1&amp;query=-30.9037365066353,-55.5438315826274</v>
      </c>
      <c r="G370" s="16" t="str">
        <f t="array" ref="G370">"https://earth.google.com/web/search/" &amp; A370 &amp; "," &amp; B370</f>
        <v>https://earth.google.com/web/search/-30.9037365066353,-55.5438315826274</v>
      </c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ht="26.25" customHeight="1">
      <c r="A371" s="17" t="s">
        <v>746</v>
      </c>
      <c r="B371" s="18" t="s">
        <v>747</v>
      </c>
      <c r="C371" s="14">
        <v>1.0</v>
      </c>
      <c r="D371" s="15">
        <v>327.0</v>
      </c>
      <c r="E371" s="15">
        <v>1.0</v>
      </c>
      <c r="F371" s="16" t="str">
        <f t="array" ref="F371">"https://www.google.com/maps/search/?api=1&amp;query=" &amp; A371 &amp; "," &amp; B371</f>
        <v>https://www.google.com/maps/search/?api=1&amp;query=-30.9036855703475,-55.5448862726465</v>
      </c>
      <c r="G371" s="16" t="str">
        <f t="array" ref="G371">"https://earth.google.com/web/search/" &amp; A371 &amp; "," &amp; B371</f>
        <v>https://earth.google.com/web/search/-30.9036855703475,-55.5448862726465</v>
      </c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ht="26.25" customHeight="1">
      <c r="A372" s="17" t="s">
        <v>748</v>
      </c>
      <c r="B372" s="18" t="s">
        <v>749</v>
      </c>
      <c r="C372" s="14">
        <v>1.0</v>
      </c>
      <c r="D372" s="15">
        <v>327.0</v>
      </c>
      <c r="E372" s="15">
        <v>2.0</v>
      </c>
      <c r="F372" s="16" t="str">
        <f t="array" ref="F372">"https://www.google.com/maps/search/?api=1&amp;query=" &amp; A372 &amp; "," &amp; B372</f>
        <v>https://www.google.com/maps/search/?api=1&amp;query=-30.9037851591917,-55.5447123746647</v>
      </c>
      <c r="G372" s="16" t="str">
        <f t="array" ref="G372">"https://earth.google.com/web/search/" &amp; A372 &amp; "," &amp; B372</f>
        <v>https://earth.google.com/web/search/-30.9037851591917,-55.5447123746647</v>
      </c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ht="26.25" customHeight="1">
      <c r="A373" s="17" t="s">
        <v>750</v>
      </c>
      <c r="B373" s="18" t="s">
        <v>751</v>
      </c>
      <c r="C373" s="14">
        <v>1.0</v>
      </c>
      <c r="D373" s="15">
        <v>327.0</v>
      </c>
      <c r="E373" s="15">
        <v>3.0</v>
      </c>
      <c r="F373" s="16" t="str">
        <f t="array" ref="F373">"https://www.google.com/maps/search/?api=1&amp;query=" &amp; A373 &amp; "," &amp; B373</f>
        <v>https://www.google.com/maps/search/?api=1&amp;query=-30.9039068137378,-55.5444463142144</v>
      </c>
      <c r="G373" s="16" t="str">
        <f t="array" ref="G373">"https://earth.google.com/web/search/" &amp; A373 &amp; "," &amp; B373</f>
        <v>https://earth.google.com/web/search/-30.9039068137378,-55.5444463142144</v>
      </c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ht="26.25" customHeight="1">
      <c r="A374" s="17" t="s">
        <v>752</v>
      </c>
      <c r="B374" s="18" t="s">
        <v>753</v>
      </c>
      <c r="C374" s="14">
        <v>1.0</v>
      </c>
      <c r="D374" s="15">
        <v>327.0</v>
      </c>
      <c r="E374" s="15">
        <v>4.0</v>
      </c>
      <c r="F374" s="16" t="str">
        <f t="array" ref="F374">"https://www.google.com/maps/search/?api=1&amp;query=" &amp; A374 &amp; "," &amp; B374</f>
        <v>https://www.google.com/maps/search/?api=1&amp;query=-30.9039863755868,-55.5441209489927</v>
      </c>
      <c r="G374" s="16" t="str">
        <f t="array" ref="G374">"https://earth.google.com/web/search/" &amp; A374 &amp; "," &amp; B374</f>
        <v>https://earth.google.com/web/search/-30.9039863755868,-55.5441209489927</v>
      </c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ht="26.25" customHeight="1">
      <c r="A375" s="17" t="s">
        <v>754</v>
      </c>
      <c r="B375" s="18" t="s">
        <v>755</v>
      </c>
      <c r="C375" s="14">
        <v>1.0</v>
      </c>
      <c r="D375" s="15">
        <v>327.0</v>
      </c>
      <c r="E375" s="15">
        <v>5.0</v>
      </c>
      <c r="F375" s="16" t="str">
        <f t="array" ref="F375">"https://www.google.com/maps/search/?api=1&amp;query=" &amp; A375 &amp; "," &amp; B375</f>
        <v>https://www.google.com/maps/search/?api=1&amp;query=-3.0903906266257,-55.5440581999956</v>
      </c>
      <c r="G375" s="16" t="str">
        <f t="array" ref="G375">"https://earth.google.com/web/search/" &amp; A375 &amp; "," &amp; B375</f>
        <v>https://earth.google.com/web/search/-3.0903906266257,-55.5440581999956</v>
      </c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ht="26.25" customHeight="1">
      <c r="A376" s="17" t="s">
        <v>756</v>
      </c>
      <c r="B376" s="18" t="s">
        <v>757</v>
      </c>
      <c r="C376" s="14">
        <v>1.0</v>
      </c>
      <c r="D376" s="15">
        <v>327.0</v>
      </c>
      <c r="E376" s="15">
        <v>6.0</v>
      </c>
      <c r="F376" s="16" t="str">
        <f t="array" ref="F376">"https://www.google.com/maps/search/?api=1&amp;query=" &amp; A376 &amp; "," &amp; B376</f>
        <v>https://www.google.com/maps/search/?api=1&amp;query=-30.9038147879052,-55.5440060886097</v>
      </c>
      <c r="G376" s="16" t="str">
        <f t="array" ref="G376">"https://earth.google.com/web/search/" &amp; A376 &amp; "," &amp; B376</f>
        <v>https://earth.google.com/web/search/-30.9038147879052,-55.5440060886097</v>
      </c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ht="26.25" customHeight="1">
      <c r="A377" s="17" t="s">
        <v>758</v>
      </c>
      <c r="B377" s="18" t="s">
        <v>759</v>
      </c>
      <c r="C377" s="14">
        <v>1.0</v>
      </c>
      <c r="D377" s="15">
        <v>327.0</v>
      </c>
      <c r="E377" s="15">
        <v>7.0</v>
      </c>
      <c r="F377" s="16" t="str">
        <f t="array" ref="F377">"https://www.google.com/maps/search/?api=1&amp;query=" &amp; A377 &amp; "," &amp; B377</f>
        <v>https://www.google.com/maps/search/?api=1&amp;query=-30.9037294641053,-55.5439448506212</v>
      </c>
      <c r="G377" s="16" t="str">
        <f t="array" ref="G377">"https://earth.google.com/web/search/" &amp; A377 &amp; "," &amp; B377</f>
        <v>https://earth.google.com/web/search/-30.9037294641053,-55.5439448506212</v>
      </c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 ht="26.25" customHeight="1">
      <c r="A378" s="17" t="s">
        <v>760</v>
      </c>
      <c r="B378" s="18" t="s">
        <v>761</v>
      </c>
      <c r="C378" s="14">
        <v>1.0</v>
      </c>
      <c r="D378" s="15">
        <v>327.0</v>
      </c>
      <c r="E378" s="15">
        <v>8.0</v>
      </c>
      <c r="F378" s="16" t="str">
        <f t="array" ref="F378">"https://www.google.com/maps/search/?api=1&amp;query=" &amp; A378 &amp; "," &amp; B378</f>
        <v>https://www.google.com/maps/search/?api=1&amp;query=-30.9035670204376,-55.5438304200754</v>
      </c>
      <c r="G378" s="16" t="str">
        <f t="array" ref="G378">"https://earth.google.com/web/search/" &amp; A378 &amp; "," &amp; B378</f>
        <v>https://earth.google.com/web/search/-30.9035670204376,-55.5438304200754</v>
      </c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ht="26.25" customHeight="1">
      <c r="A379" s="17" t="s">
        <v>762</v>
      </c>
      <c r="B379" s="18" t="s">
        <v>763</v>
      </c>
      <c r="C379" s="14">
        <v>1.0</v>
      </c>
      <c r="D379" s="15">
        <v>327.0</v>
      </c>
      <c r="E379" s="15">
        <v>9.0</v>
      </c>
      <c r="F379" s="16" t="str">
        <f t="array" ref="F379">"https://www.google.com/maps/search/?api=1&amp;query=" &amp; A379 &amp; "," &amp; B379</f>
        <v>https://www.google.com/maps/search/?api=1&amp;query=-30.9034738459597,-5.5543758053095</v>
      </c>
      <c r="G379" s="16" t="str">
        <f t="array" ref="G379">"https://earth.google.com/web/search/" &amp; A379 &amp; "," &amp; B379</f>
        <v>https://earth.google.com/web/search/-30.9034738459597,-5.5543758053095</v>
      </c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ht="26.25" customHeight="1">
      <c r="A380" s="17" t="s">
        <v>764</v>
      </c>
      <c r="B380" s="18" t="s">
        <v>765</v>
      </c>
      <c r="C380" s="14">
        <v>1.0</v>
      </c>
      <c r="D380" s="15">
        <v>327.0</v>
      </c>
      <c r="E380" s="15">
        <v>10.0</v>
      </c>
      <c r="F380" s="16" t="str">
        <f t="array" ref="F380">"https://www.google.com/maps/search/?api=1&amp;query=" &amp; A380 &amp; "," &amp; B380</f>
        <v>https://www.google.com/maps/search/?api=1&amp;query=-30.9032648209029,-55.5438705842896</v>
      </c>
      <c r="G380" s="16" t="str">
        <f t="array" ref="G380">"https://earth.google.com/web/search/" &amp; A380 &amp; "," &amp; B380</f>
        <v>https://earth.google.com/web/search/-30.9032648209029,-55.5438705842896</v>
      </c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ht="26.25" customHeight="1">
      <c r="A381" s="17" t="s">
        <v>766</v>
      </c>
      <c r="B381" s="18" t="s">
        <v>767</v>
      </c>
      <c r="C381" s="14">
        <v>1.0</v>
      </c>
      <c r="D381" s="15">
        <v>327.0</v>
      </c>
      <c r="E381" s="15">
        <v>11.0</v>
      </c>
      <c r="F381" s="16" t="str">
        <f t="array" ref="F381">"https://www.google.com/maps/search/?api=1&amp;query=" &amp; A381 &amp; "," &amp; B381</f>
        <v>https://www.google.com/maps/search/?api=1&amp;query=-30.9031321867305,-5.5544111313636</v>
      </c>
      <c r="G381" s="16" t="str">
        <f t="array" ref="G381">"https://earth.google.com/web/search/" &amp; A381 &amp; "," &amp; B381</f>
        <v>https://earth.google.com/web/search/-30.9031321867305,-5.5544111313636</v>
      </c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ht="26.25" customHeight="1">
      <c r="A382" s="17" t="s">
        <v>768</v>
      </c>
      <c r="B382" s="18" t="s">
        <v>769</v>
      </c>
      <c r="C382" s="14">
        <v>1.0</v>
      </c>
      <c r="D382" s="15">
        <v>327.0</v>
      </c>
      <c r="E382" s="15">
        <v>12.0</v>
      </c>
      <c r="F382" s="16" t="str">
        <f t="array" ref="F382">"https://www.google.com/maps/search/?api=1&amp;query=" &amp; A382 &amp; "," &amp; B382</f>
        <v>https://www.google.com/maps/search/?api=1&amp;query=-30.9030706957733,-55.5442358442992</v>
      </c>
      <c r="G382" s="16" t="str">
        <f t="array" ref="G382">"https://earth.google.com/web/search/" &amp; A382 &amp; "," &amp; B382</f>
        <v>https://earth.google.com/web/search/-30.9030706957733,-55.5442358442992</v>
      </c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ht="26.25" customHeight="1">
      <c r="A383" s="17" t="s">
        <v>770</v>
      </c>
      <c r="B383" s="18" t="s">
        <v>771</v>
      </c>
      <c r="C383" s="14">
        <v>1.0</v>
      </c>
      <c r="D383" s="15">
        <v>327.0</v>
      </c>
      <c r="E383" s="15">
        <v>13.0</v>
      </c>
      <c r="F383" s="16" t="str">
        <f t="array" ref="F383">"https://www.google.com/maps/search/?api=1&amp;query=" &amp; A383 &amp; "," &amp; B383</f>
        <v>https://www.google.com/maps/search/?api=1&amp;query=-30.9029700060409,-55.5444200649392</v>
      </c>
      <c r="G383" s="16" t="str">
        <f t="array" ref="G383">"https://earth.google.com/web/search/" &amp; A383 &amp; "," &amp; B383</f>
        <v>https://earth.google.com/web/search/-30.9029700060409,-55.5444200649392</v>
      </c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ht="26.25" customHeight="1">
      <c r="A384" s="17" t="s">
        <v>772</v>
      </c>
      <c r="B384" s="18" t="s">
        <v>773</v>
      </c>
      <c r="C384" s="14">
        <v>1.0</v>
      </c>
      <c r="D384" s="15">
        <v>327.0</v>
      </c>
      <c r="E384" s="15">
        <v>14.0</v>
      </c>
      <c r="F384" s="16" t="str">
        <f t="array" ref="F384">"https://www.google.com/maps/search/?api=1&amp;query=" &amp; A384 &amp; "," &amp; B384</f>
        <v>https://www.google.com/maps/search/?api=1&amp;query=-30.9033865060893,-55.5448286387854</v>
      </c>
      <c r="G384" s="16" t="str">
        <f t="array" ref="G384">"https://earth.google.com/web/search/" &amp; A384 &amp; "," &amp; B384</f>
        <v>https://earth.google.com/web/search/-30.9033865060893,-55.5448286387854</v>
      </c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ht="26.25" customHeight="1">
      <c r="A385" s="17" t="s">
        <v>774</v>
      </c>
      <c r="B385" s="18" t="s">
        <v>775</v>
      </c>
      <c r="C385" s="14">
        <v>1.0</v>
      </c>
      <c r="D385" s="15">
        <v>287.0</v>
      </c>
      <c r="E385" s="15">
        <v>1.0</v>
      </c>
      <c r="F385" s="16" t="str">
        <f t="array" ref="F385">"https://www.google.com/maps/search/?api=1&amp;query=" &amp; A385 &amp; "," &amp; B385</f>
        <v>https://www.google.com/maps/search/?api=1&amp;query=-30.9053601220487,-55.5397034235913</v>
      </c>
      <c r="G385" s="16" t="str">
        <f t="array" ref="G385">"https://earth.google.com/web/search/" &amp; A385 &amp; "," &amp; B385</f>
        <v>https://earth.google.com/web/search/-30.9053601220487,-55.5397034235913</v>
      </c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ht="26.25" customHeight="1">
      <c r="A386" s="17" t="s">
        <v>776</v>
      </c>
      <c r="B386" s="18" t="s">
        <v>777</v>
      </c>
      <c r="C386" s="14">
        <v>1.0</v>
      </c>
      <c r="D386" s="15">
        <v>287.0</v>
      </c>
      <c r="E386" s="15">
        <v>2.0</v>
      </c>
      <c r="F386" s="16" t="str">
        <f t="array" ref="F386">"https://www.google.com/maps/search/?api=1&amp;query=" &amp; A386 &amp; "," &amp; B386</f>
        <v>https://www.google.com/maps/search/?api=1&amp;query=-30.9054000023043,-55.5396352572232</v>
      </c>
      <c r="G386" s="16" t="str">
        <f t="array" ref="G386">"https://earth.google.com/web/search/" &amp; A386 &amp; "," &amp; B386</f>
        <v>https://earth.google.com/web/search/-30.9054000023043,-55.5396352572232</v>
      </c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ht="26.25" customHeight="1">
      <c r="A387" s="17" t="s">
        <v>778</v>
      </c>
      <c r="B387" s="18" t="s">
        <v>779</v>
      </c>
      <c r="C387" s="14">
        <v>1.0</v>
      </c>
      <c r="D387" s="15">
        <v>287.0</v>
      </c>
      <c r="E387" s="15">
        <v>3.0</v>
      </c>
      <c r="F387" s="16" t="str">
        <f t="array" ref="F387">"https://www.google.com/maps/search/?api=1&amp;query=" &amp; A387 &amp; "," &amp; B387</f>
        <v>https://www.google.com/maps/search/?api=1&amp;query=-30.9054687850875,-55.5395051997123</v>
      </c>
      <c r="G387" s="16" t="str">
        <f t="array" ref="G387">"https://earth.google.com/web/search/" &amp; A387 &amp; "," &amp; B387</f>
        <v>https://earth.google.com/web/search/-30.9054687850875,-55.5395051997123</v>
      </c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ht="26.25" customHeight="1">
      <c r="A388" s="17" t="s">
        <v>780</v>
      </c>
      <c r="B388" s="18" t="s">
        <v>781</v>
      </c>
      <c r="C388" s="14">
        <v>1.0</v>
      </c>
      <c r="D388" s="15">
        <v>287.0</v>
      </c>
      <c r="E388" s="15">
        <v>4.0</v>
      </c>
      <c r="F388" s="16" t="str">
        <f t="array" ref="F388">"https://www.google.com/maps/search/?api=1&amp;query=" &amp; A388 &amp; "," &amp; B388</f>
        <v>https://www.google.com/maps/search/?api=1&amp;query=-30.9055017589884,-55.5394538304954</v>
      </c>
      <c r="G388" s="16" t="str">
        <f t="array" ref="G388">"https://earth.google.com/web/search/" &amp; A388 &amp; "," &amp; B388</f>
        <v>https://earth.google.com/web/search/-30.9055017589884,-55.5394538304954</v>
      </c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ht="26.25" customHeight="1">
      <c r="A389" s="17" t="s">
        <v>782</v>
      </c>
      <c r="B389" s="18" t="s">
        <v>783</v>
      </c>
      <c r="C389" s="14">
        <v>1.0</v>
      </c>
      <c r="D389" s="15">
        <v>287.0</v>
      </c>
      <c r="E389" s="15">
        <v>5.0</v>
      </c>
      <c r="F389" s="16" t="str">
        <f t="array" ref="F389">"https://www.google.com/maps/search/?api=1&amp;query=" &amp; A389 &amp; "," &amp; B389</f>
        <v>https://www.google.com/maps/search/?api=1&amp;query=-30.9055553743806,-55.5393405659298</v>
      </c>
      <c r="G389" s="16" t="str">
        <f t="array" ref="G389">"https://earth.google.com/web/search/" &amp; A389 &amp; "," &amp; B389</f>
        <v>https://earth.google.com/web/search/-30.9055553743806,-55.5393405659298</v>
      </c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ht="26.25" customHeight="1">
      <c r="A390" s="17" t="s">
        <v>784</v>
      </c>
      <c r="B390" s="18" t="s">
        <v>785</v>
      </c>
      <c r="C390" s="14">
        <v>1.0</v>
      </c>
      <c r="D390" s="15">
        <v>287.0</v>
      </c>
      <c r="E390" s="15">
        <v>6.0</v>
      </c>
      <c r="F390" s="16" t="str">
        <f t="array" ref="F390">"https://www.google.com/maps/search/?api=1&amp;query=" &amp; A390 &amp; "," &amp; B390</f>
        <v>https://www.google.com/maps/search/?api=1&amp;query=-30.9054903456613,-55.5389004448409</v>
      </c>
      <c r="G390" s="16" t="str">
        <f t="array" ref="G390">"https://earth.google.com/web/search/" &amp; A390 &amp; "," &amp; B390</f>
        <v>https://earth.google.com/web/search/-30.9054903456613,-55.5389004448409</v>
      </c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ht="26.25" customHeight="1">
      <c r="A391" s="17" t="s">
        <v>786</v>
      </c>
      <c r="B391" s="18" t="s">
        <v>787</v>
      </c>
      <c r="C391" s="14">
        <v>1.0</v>
      </c>
      <c r="D391" s="15">
        <v>287.0</v>
      </c>
      <c r="E391" s="15">
        <v>7.0</v>
      </c>
      <c r="F391" s="16" t="str">
        <f t="array" ref="F391">"https://www.google.com/maps/search/?api=1&amp;query=" &amp; A391 &amp; "," &amp; B391</f>
        <v>https://www.google.com/maps/search/?api=1&amp;query=-30.9053588462555,-55.5388160897694</v>
      </c>
      <c r="G391" s="16" t="str">
        <f t="array" ref="G391">"https://earth.google.com/web/search/" &amp; A391 &amp; "," &amp; B391</f>
        <v>https://earth.google.com/web/search/-30.9053588462555,-55.5388160897694</v>
      </c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ht="26.25" customHeight="1">
      <c r="A392" s="17" t="s">
        <v>788</v>
      </c>
      <c r="B392" s="18" t="s">
        <v>789</v>
      </c>
      <c r="C392" s="14">
        <v>1.0</v>
      </c>
      <c r="D392" s="15">
        <v>287.0</v>
      </c>
      <c r="E392" s="15">
        <v>8.0</v>
      </c>
      <c r="F392" s="16" t="str">
        <f t="array" ref="F392">"https://www.google.com/maps/search/?api=1&amp;query=" &amp; A392 &amp; "," &amp; B392</f>
        <v>https://www.google.com/maps/search/?api=1&amp;query=-30.9052523778597,-55.5387357217085</v>
      </c>
      <c r="G392" s="16" t="str">
        <f t="array" ref="G392">"https://earth.google.com/web/search/" &amp; A392 &amp; "," &amp; B392</f>
        <v>https://earth.google.com/web/search/-30.9052523778597,-55.5387357217085</v>
      </c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ht="26.25" customHeight="1">
      <c r="A393" s="17" t="s">
        <v>790</v>
      </c>
      <c r="B393" s="18" t="s">
        <v>791</v>
      </c>
      <c r="C393" s="14">
        <v>1.0</v>
      </c>
      <c r="D393" s="15">
        <v>287.0</v>
      </c>
      <c r="E393" s="15">
        <v>9.0</v>
      </c>
      <c r="F393" s="16" t="str">
        <f t="array" ref="F393">"https://www.google.com/maps/search/?api=1&amp;query=" &amp; A393 &amp; "," &amp; B393</f>
        <v>https://www.google.com/maps/search/?api=1&amp;query=-30.9048416104368,-55.5388149256693</v>
      </c>
      <c r="G393" s="16" t="str">
        <f t="array" ref="G393">"https://earth.google.com/web/search/" &amp; A393 &amp; "," &amp; B393</f>
        <v>https://earth.google.com/web/search/-30.9048416104368,-55.5388149256693</v>
      </c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ht="26.25" customHeight="1">
      <c r="A394" s="17" t="s">
        <v>792</v>
      </c>
      <c r="B394" s="18" t="s">
        <v>793</v>
      </c>
      <c r="C394" s="14">
        <v>1.0</v>
      </c>
      <c r="D394" s="15">
        <v>287.0</v>
      </c>
      <c r="E394" s="15">
        <v>10.0</v>
      </c>
      <c r="F394" s="16" t="str">
        <f t="array" ref="F394">"https://www.google.com/maps/search/?api=1&amp;query=" &amp; A394 &amp; "," &amp; B394</f>
        <v>https://www.google.com/maps/search/?api=1&amp;query=-30.9045731068168,-55.5393398965533</v>
      </c>
      <c r="G394" s="16" t="str">
        <f t="array" ref="G394">"https://earth.google.com/web/search/" &amp; A394 &amp; "," &amp; B394</f>
        <v>https://earth.google.com/web/search/-30.9045731068168,-55.5393398965533</v>
      </c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ht="26.25" customHeight="1">
      <c r="A395" s="17" t="s">
        <v>794</v>
      </c>
      <c r="B395" s="18" t="s">
        <v>795</v>
      </c>
      <c r="C395" s="14">
        <v>1.0</v>
      </c>
      <c r="D395" s="15">
        <v>287.0</v>
      </c>
      <c r="E395" s="15">
        <v>11.0</v>
      </c>
      <c r="F395" s="16" t="str">
        <f t="array" ref="F395">"https://www.google.com/maps/search/?api=1&amp;query=" &amp; A395 &amp; "," &amp; B395</f>
        <v>https://www.google.com/maps/search/?api=1&amp;query=-30.9046554309334,-55.5394547687761</v>
      </c>
      <c r="G395" s="16" t="str">
        <f t="array" ref="G395">"https://earth.google.com/web/search/" &amp; A395 &amp; "," &amp; B395</f>
        <v>https://earth.google.com/web/search/-30.9046554309334,-55.5394547687761</v>
      </c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ht="26.25" customHeight="1">
      <c r="A396" s="17" t="s">
        <v>796</v>
      </c>
      <c r="B396" s="18" t="s">
        <v>797</v>
      </c>
      <c r="C396" s="14">
        <v>1.0</v>
      </c>
      <c r="D396" s="15">
        <v>287.0</v>
      </c>
      <c r="E396" s="15">
        <v>12.0</v>
      </c>
      <c r="F396" s="16" t="str">
        <f t="array" ref="F396">"https://www.google.com/maps/search/?api=1&amp;query=" &amp; A396 &amp; "," &amp; B396</f>
        <v>https://www.google.com/maps/search/?api=1&amp;query=-30.9048511256733,-55.5395848099566</v>
      </c>
      <c r="G396" s="16" t="str">
        <f t="array" ref="G396">"https://earth.google.com/web/search/" &amp; A396 &amp; "," &amp; B396</f>
        <v>https://earth.google.com/web/search/-30.9048511256733,-55.5395848099566</v>
      </c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ht="26.25" customHeight="1">
      <c r="A397" s="17" t="s">
        <v>798</v>
      </c>
      <c r="B397" s="18" t="s">
        <v>799</v>
      </c>
      <c r="C397" s="14">
        <v>1.0</v>
      </c>
      <c r="D397" s="15">
        <v>288.0</v>
      </c>
      <c r="E397" s="15">
        <v>1.0</v>
      </c>
      <c r="F397" s="16" t="str">
        <f t="array" ref="F397">"https://www.google.com/maps/search/?api=1&amp;query=" &amp; A397 &amp; "," &amp; B397</f>
        <v>https://www.google.com/maps/search/?api=1&amp;query=-30.9049650534079,-55.5404606572872</v>
      </c>
      <c r="G397" s="16" t="str">
        <f t="array" ref="G397">"https://earth.google.com/web/search/" &amp; A397 &amp; "," &amp; B397</f>
        <v>https://earth.google.com/web/search/-30.9049650534079,-55.5404606572872</v>
      </c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ht="26.25" customHeight="1">
      <c r="A398" s="17" t="s">
        <v>800</v>
      </c>
      <c r="B398" s="18" t="s">
        <v>801</v>
      </c>
      <c r="C398" s="14">
        <v>1.0</v>
      </c>
      <c r="D398" s="15">
        <v>288.0</v>
      </c>
      <c r="E398" s="15">
        <v>2.0</v>
      </c>
      <c r="F398" s="16" t="str">
        <f t="array" ref="F398">"https://www.google.com/maps/search/?api=1&amp;query=" &amp; A398 &amp; "," &amp; B398</f>
        <v>https://www.google.com/maps/search/?api=1&amp;query=-30.9050779407045,-55.5402320031408</v>
      </c>
      <c r="G398" s="16" t="str">
        <f t="array" ref="G398">"https://earth.google.com/web/search/" &amp; A398 &amp; "," &amp; B398</f>
        <v>https://earth.google.com/web/search/-30.9050779407045,-55.5402320031408</v>
      </c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ht="26.25" customHeight="1">
      <c r="A399" s="17" t="s">
        <v>802</v>
      </c>
      <c r="B399" s="18" t="s">
        <v>803</v>
      </c>
      <c r="C399" s="14">
        <v>1.0</v>
      </c>
      <c r="D399" s="15">
        <v>288.0</v>
      </c>
      <c r="E399" s="15">
        <v>3.0</v>
      </c>
      <c r="F399" s="16" t="str">
        <f t="array" ref="F399">"https://www.google.com/maps/search/?api=1&amp;query=" &amp; A399 &amp; "," &amp; B399</f>
        <v>https://www.google.com/maps/search/?api=1&amp;query=-30.9051327838222,-55.5401499889573</v>
      </c>
      <c r="G399" s="16" t="str">
        <f t="array" ref="G399">"https://earth.google.com/web/search/" &amp; A399 &amp; "," &amp; B399</f>
        <v>https://earth.google.com/web/search/-30.9051327838222,-55.5401499889573</v>
      </c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ht="26.25" customHeight="1">
      <c r="A400" s="17" t="s">
        <v>804</v>
      </c>
      <c r="B400" s="18" t="s">
        <v>805</v>
      </c>
      <c r="C400" s="14">
        <v>1.0</v>
      </c>
      <c r="D400" s="15">
        <v>288.0</v>
      </c>
      <c r="E400" s="15">
        <v>4.0</v>
      </c>
      <c r="F400" s="16" t="str">
        <f t="array" ref="F400">"https://www.google.com/maps/search/?api=1&amp;query=" &amp; A400 &amp; "," &amp; B400</f>
        <v>https://www.google.com/maps/search/?api=1&amp;query=-30.9050368191053,-5.5539832675776</v>
      </c>
      <c r="G400" s="16" t="str">
        <f t="array" ref="G400">"https://earth.google.com/web/search/" &amp; A400 &amp; "," &amp; B400</f>
        <v>https://earth.google.com/web/search/-30.9050368191053,-5.5539832675776</v>
      </c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ht="26.25" customHeight="1">
      <c r="A401" s="17" t="s">
        <v>806</v>
      </c>
      <c r="B401" s="18" t="s">
        <v>807</v>
      </c>
      <c r="C401" s="14">
        <v>1.0</v>
      </c>
      <c r="D401" s="15">
        <v>288.0</v>
      </c>
      <c r="E401" s="15">
        <v>5.0</v>
      </c>
      <c r="F401" s="16" t="str">
        <f t="array" ref="F401">"https://www.google.com/maps/search/?api=1&amp;query=" &amp; A401 &amp; "," &amp; B401</f>
        <v>https://www.google.com/maps/search/?api=1&amp;query=-30.9049650446156,-55.5397877052387</v>
      </c>
      <c r="G401" s="16" t="str">
        <f t="array" ref="G401">"https://earth.google.com/web/search/" &amp; A401 &amp; "," &amp; B401</f>
        <v>https://earth.google.com/web/search/-30.9049650446156,-55.5397877052387</v>
      </c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ht="26.25" customHeight="1">
      <c r="A402" s="17" t="s">
        <v>808</v>
      </c>
      <c r="B402" s="18" t="s">
        <v>809</v>
      </c>
      <c r="C402" s="14">
        <v>1.0</v>
      </c>
      <c r="D402" s="15">
        <v>288.0</v>
      </c>
      <c r="E402" s="15">
        <v>6.0</v>
      </c>
      <c r="F402" s="16" t="str">
        <f t="array" ref="F402">"https://www.google.com/maps/search/?api=1&amp;query=" &amp; A402 &amp; "," &amp; B402</f>
        <v>https://www.google.com/maps/search/?api=1&amp;query=-30.9047467651177,-55.5396241739542</v>
      </c>
      <c r="G402" s="16" t="str">
        <f t="array" ref="G402">"https://earth.google.com/web/search/" &amp; A402 &amp; "," &amp; B402</f>
        <v>https://earth.google.com/web/search/-30.9047467651177,-55.5396241739542</v>
      </c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ht="26.25" customHeight="1">
      <c r="A403" s="17" t="s">
        <v>810</v>
      </c>
      <c r="B403" s="18" t="s">
        <v>811</v>
      </c>
      <c r="C403" s="14">
        <v>1.0</v>
      </c>
      <c r="D403" s="15">
        <v>288.0</v>
      </c>
      <c r="E403" s="15">
        <v>7.0</v>
      </c>
      <c r="F403" s="16" t="str">
        <f t="array" ref="F403">"https://www.google.com/maps/search/?api=1&amp;query=" &amp; A403 &amp; "," &amp; B403</f>
        <v>https://www.google.com/maps/search/?api=1&amp;query=-30.9043532264327,-55.5397665249431</v>
      </c>
      <c r="G403" s="16" t="str">
        <f t="array" ref="G403">"https://earth.google.com/web/search/" &amp; A403 &amp; "," &amp; B403</f>
        <v>https://earth.google.com/web/search/-30.9043532264327,-55.5397665249431</v>
      </c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ht="26.25" customHeight="1">
      <c r="A404" s="17" t="s">
        <v>812</v>
      </c>
      <c r="B404" s="18" t="s">
        <v>813</v>
      </c>
      <c r="C404" s="14">
        <v>1.0</v>
      </c>
      <c r="D404" s="15">
        <v>288.0</v>
      </c>
      <c r="E404" s="15">
        <v>8.0</v>
      </c>
      <c r="F404" s="16" t="str">
        <f t="array" ref="F404">"https://www.google.com/maps/search/?api=1&amp;query=" &amp; A404 &amp; "," &amp; B404</f>
        <v>https://www.google.com/maps/search/?api=1&amp;query=-30.9042615270054,-55.5399379614439</v>
      </c>
      <c r="G404" s="16" t="str">
        <f t="array" ref="G404">"https://earth.google.com/web/search/" &amp; A404 &amp; "," &amp; B404</f>
        <v>https://earth.google.com/web/search/-30.9042615270054,-55.5399379614439</v>
      </c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ht="26.25" customHeight="1">
      <c r="A405" s="17" t="s">
        <v>814</v>
      </c>
      <c r="B405" s="18" t="s">
        <v>815</v>
      </c>
      <c r="C405" s="14">
        <v>1.0</v>
      </c>
      <c r="D405" s="15">
        <v>288.0</v>
      </c>
      <c r="E405" s="15">
        <v>9.0</v>
      </c>
      <c r="F405" s="16" t="str">
        <f t="array" ref="F405">"https://www.google.com/maps/search/?api=1&amp;query=" &amp; A405 &amp; "," &amp; B405</f>
        <v>https://www.google.com/maps/search/?api=1&amp;query=-30.9041469559614,-5.5540144618786</v>
      </c>
      <c r="G405" s="16" t="str">
        <f t="array" ref="G405">"https://earth.google.com/web/search/" &amp; A405 &amp; "," &amp; B405</f>
        <v>https://earth.google.com/web/search/-30.9041469559614,-5.5540144618786</v>
      </c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ht="26.25" customHeight="1">
      <c r="A406" s="17" t="s">
        <v>816</v>
      </c>
      <c r="B406" s="18" t="s">
        <v>817</v>
      </c>
      <c r="C406" s="14">
        <v>1.0</v>
      </c>
      <c r="D406" s="15">
        <v>288.0</v>
      </c>
      <c r="E406" s="15">
        <v>10.0</v>
      </c>
      <c r="F406" s="16" t="str">
        <f t="array" ref="F406">"https://www.google.com/maps/search/?api=1&amp;query=" &amp; A406 &amp; "," &amp; B406</f>
        <v>https://www.google.com/maps/search/?api=1&amp;query=-30.9045256146764,-55.5406071151513</v>
      </c>
      <c r="G406" s="16" t="str">
        <f t="array" ref="G406">"https://earth.google.com/web/search/" &amp; A406 &amp; "," &amp; B406</f>
        <v>https://earth.google.com/web/search/-30.9045256146764,-55.5406071151513</v>
      </c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ht="26.25" customHeight="1">
      <c r="A407" s="17" t="s">
        <v>818</v>
      </c>
      <c r="B407" s="18" t="s">
        <v>819</v>
      </c>
      <c r="C407" s="14">
        <v>1.0</v>
      </c>
      <c r="D407" s="15">
        <v>289.0</v>
      </c>
      <c r="E407" s="15">
        <v>1.0</v>
      </c>
      <c r="F407" s="16" t="str">
        <f t="array" ref="F407">"https://www.google.com/maps/search/?api=1&amp;query=" &amp; A407 &amp; "," &amp; B407</f>
        <v>https://www.google.com/maps/search/?api=1&amp;query=-30.9043612961341,-55.5416140498916</v>
      </c>
      <c r="G407" s="16" t="str">
        <f t="array" ref="G407">"https://earth.google.com/web/search/" &amp; A407 &amp; "," &amp; B407</f>
        <v>https://earth.google.com/web/search/-30.9043612961341,-55.5416140498916</v>
      </c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ht="26.25" customHeight="1">
      <c r="A408" s="17" t="s">
        <v>820</v>
      </c>
      <c r="B408" s="18" t="s">
        <v>821</v>
      </c>
      <c r="C408" s="14">
        <v>1.0</v>
      </c>
      <c r="D408" s="15">
        <v>289.0</v>
      </c>
      <c r="E408" s="15">
        <v>2.0</v>
      </c>
      <c r="F408" s="16" t="str">
        <f t="array" ref="F408">"https://www.google.com/maps/search/?api=1&amp;query=" &amp; A408 &amp; "," &amp; B408</f>
        <v>https://www.google.com/maps/search/?api=1&amp;query=-3.0904416492246,-55.5415121772057</v>
      </c>
      <c r="G408" s="16" t="str">
        <f t="array" ref="G408">"https://earth.google.com/web/search/" &amp; A408 &amp; "," &amp; B408</f>
        <v>https://earth.google.com/web/search/-3.0904416492246,-55.5415121772057</v>
      </c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ht="26.25" customHeight="1">
      <c r="A409" s="17" t="s">
        <v>822</v>
      </c>
      <c r="B409" s="18" t="s">
        <v>823</v>
      </c>
      <c r="C409" s="14">
        <v>1.0</v>
      </c>
      <c r="D409" s="15">
        <v>289.0</v>
      </c>
      <c r="E409" s="15">
        <v>3.0</v>
      </c>
      <c r="F409" s="16" t="str">
        <f t="array" ref="F409">"https://www.google.com/maps/search/?api=1&amp;query=" &amp; A409 &amp; "," &amp; B409</f>
        <v>https://www.google.com/maps/search/?api=1&amp;query=-30.9044375074736,-55.5414754626226</v>
      </c>
      <c r="G409" s="16" t="str">
        <f t="array" ref="G409">"https://earth.google.com/web/search/" &amp; A409 &amp; "," &amp; B409</f>
        <v>https://earth.google.com/web/search/-30.9044375074736,-55.5414754626226</v>
      </c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 ht="26.25" customHeight="1">
      <c r="A410" s="17" t="s">
        <v>824</v>
      </c>
      <c r="B410" s="18" t="s">
        <v>825</v>
      </c>
      <c r="C410" s="14">
        <v>1.0</v>
      </c>
      <c r="D410" s="15">
        <v>289.0</v>
      </c>
      <c r="E410" s="15">
        <v>4.0</v>
      </c>
      <c r="F410" s="16" t="str">
        <f t="array" ref="F410">"https://www.google.com/maps/search/?api=1&amp;query=" &amp; A410 &amp; "," &amp; B410</f>
        <v>https://www.google.com/maps/search/?api=1&amp;query=-30.9044557764356,-55.5414230066052</v>
      </c>
      <c r="G410" s="16" t="str">
        <f t="array" ref="G410">"https://earth.google.com/web/search/" &amp; A410 &amp; "," &amp; B410</f>
        <v>https://earth.google.com/web/search/-30.9044557764356,-55.5414230066052</v>
      </c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 ht="26.25" customHeight="1">
      <c r="A411" s="17" t="s">
        <v>826</v>
      </c>
      <c r="B411" s="18" t="s">
        <v>827</v>
      </c>
      <c r="C411" s="14">
        <v>1.0</v>
      </c>
      <c r="D411" s="15">
        <v>289.0</v>
      </c>
      <c r="E411" s="15">
        <v>5.0</v>
      </c>
      <c r="F411" s="16" t="str">
        <f t="array" ref="F411">"https://www.google.com/maps/search/?api=1&amp;query=" &amp; A411 &amp; "," &amp; B411</f>
        <v>https://www.google.com/maps/search/?api=1&amp;query=-30.9045895592694,-55.5411616354195</v>
      </c>
      <c r="G411" s="16" t="str">
        <f t="array" ref="G411">"https://earth.google.com/web/search/" &amp; A411 &amp; "," &amp; B411</f>
        <v>https://earth.google.com/web/search/-30.9045895592694,-55.5411616354195</v>
      </c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 ht="26.25" customHeight="1">
      <c r="A412" s="17" t="s">
        <v>828</v>
      </c>
      <c r="B412" s="18" t="s">
        <v>829</v>
      </c>
      <c r="C412" s="14">
        <v>1.0</v>
      </c>
      <c r="D412" s="15">
        <v>289.0</v>
      </c>
      <c r="E412" s="15">
        <v>6.0</v>
      </c>
      <c r="F412" s="16" t="str">
        <f t="array" ref="F412">"https://www.google.com/maps/search/?api=1&amp;query=" &amp; A412 &amp; "," &amp; B412</f>
        <v>https://www.google.com/maps/search/?api=1&amp;query=-30.9045937266384,-55.5407655377893</v>
      </c>
      <c r="G412" s="16" t="str">
        <f t="array" ref="G412">"https://earth.google.com/web/search/" &amp; A412 &amp; "," &amp; B412</f>
        <v>https://earth.google.com/web/search/-30.9045937266384,-55.5407655377893</v>
      </c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ht="26.25" customHeight="1">
      <c r="A413" s="17" t="s">
        <v>830</v>
      </c>
      <c r="B413" s="18" t="s">
        <v>831</v>
      </c>
      <c r="C413" s="14">
        <v>1.0</v>
      </c>
      <c r="D413" s="15">
        <v>289.0</v>
      </c>
      <c r="E413" s="15">
        <v>7.0</v>
      </c>
      <c r="F413" s="16" t="str">
        <f t="array" ref="F413">"https://www.google.com/maps/search/?api=1&amp;query=" &amp; A413 &amp; "," &amp; B413</f>
        <v>https://www.google.com/maps/search/?api=1&amp;query=-30.9043402400069,-55.5405891018383</v>
      </c>
      <c r="G413" s="16" t="str">
        <f t="array" ref="G413">"https://earth.google.com/web/search/" &amp; A413 &amp; "," &amp; B413</f>
        <v>https://earth.google.com/web/search/-30.9043402400069,-55.5405891018383</v>
      </c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ht="26.25" customHeight="1">
      <c r="A414" s="17" t="s">
        <v>832</v>
      </c>
      <c r="B414" s="18" t="s">
        <v>833</v>
      </c>
      <c r="C414" s="14">
        <v>1.0</v>
      </c>
      <c r="D414" s="15">
        <v>289.0</v>
      </c>
      <c r="E414" s="15">
        <v>8.0</v>
      </c>
      <c r="F414" s="16" t="str">
        <f t="array" ref="F414">"https://www.google.com/maps/search/?api=1&amp;query=" &amp; A414 &amp; "," &amp; B414</f>
        <v>https://www.google.com/maps/search/?api=1&amp;query=-30.9040864526718,-55.5403998651235</v>
      </c>
      <c r="G414" s="16" t="str">
        <f t="array" ref="G414">"https://earth.google.com/web/search/" &amp; A414 &amp; "," &amp; B414</f>
        <v>https://earth.google.com/web/search/-30.9040864526718,-55.5403998651235</v>
      </c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ht="26.25" customHeight="1">
      <c r="A415" s="17" t="s">
        <v>834</v>
      </c>
      <c r="B415" s="18" t="s">
        <v>835</v>
      </c>
      <c r="C415" s="14">
        <v>1.0</v>
      </c>
      <c r="D415" s="15">
        <v>289.0</v>
      </c>
      <c r="E415" s="15">
        <v>9.0</v>
      </c>
      <c r="F415" s="16" t="str">
        <f t="array" ref="F415">"https://www.google.com/maps/search/?api=1&amp;query=" &amp; A415 &amp; "," &amp; B415</f>
        <v>https://www.google.com/maps/search/?api=1&amp;query=-30.9039606279111,-55.5405192602538</v>
      </c>
      <c r="G415" s="16" t="str">
        <f t="array" ref="G415">"https://earth.google.com/web/search/" &amp; A415 &amp; "," &amp; B415</f>
        <v>https://earth.google.com/web/search/-30.9039606279111,-55.5405192602538</v>
      </c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ht="26.25" customHeight="1">
      <c r="A416" s="17" t="s">
        <v>836</v>
      </c>
      <c r="B416" s="18" t="s">
        <v>837</v>
      </c>
      <c r="C416" s="14">
        <v>1.0</v>
      </c>
      <c r="D416" s="15">
        <v>289.0</v>
      </c>
      <c r="E416" s="15">
        <v>10.0</v>
      </c>
      <c r="F416" s="16" t="str">
        <f t="array" ref="F416">"https://www.google.com/maps/search/?api=1&amp;query=" &amp; A416 &amp; "," &amp; B416</f>
        <v>https://www.google.com/maps/search/?api=1&amp;query=-30.9038553351549,-5.5540706262972</v>
      </c>
      <c r="G416" s="16" t="str">
        <f t="array" ref="G416">"https://earth.google.com/web/search/" &amp; A416 &amp; "," &amp; B416</f>
        <v>https://earth.google.com/web/search/-30.9038553351549,-5.5540706262972</v>
      </c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ht="26.25" customHeight="1">
      <c r="A417" s="17" t="s">
        <v>838</v>
      </c>
      <c r="B417" s="18" t="s">
        <v>839</v>
      </c>
      <c r="C417" s="14">
        <v>1.0</v>
      </c>
      <c r="D417" s="15">
        <v>289.0</v>
      </c>
      <c r="E417" s="15">
        <v>11.0</v>
      </c>
      <c r="F417" s="16" t="str">
        <f t="array" ref="F417">"https://www.google.com/maps/search/?api=1&amp;query=" &amp; A417 &amp; "," &amp; B417</f>
        <v>https://www.google.com/maps/search/?api=1&amp;query=-30.9037248774904,-5.5541271181173</v>
      </c>
      <c r="G417" s="16" t="str">
        <f t="array" ref="G417">"https://earth.google.com/web/search/" &amp; A417 &amp; "," &amp; B417</f>
        <v>https://earth.google.com/web/search/-30.9037248774904,-5.5541271181173</v>
      </c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ht="26.25" customHeight="1">
      <c r="A418" s="17" t="s">
        <v>840</v>
      </c>
      <c r="B418" s="18" t="s">
        <v>841</v>
      </c>
      <c r="C418" s="14">
        <v>1.0</v>
      </c>
      <c r="D418" s="15">
        <v>289.0</v>
      </c>
      <c r="E418" s="15">
        <v>12.0</v>
      </c>
      <c r="F418" s="16" t="str">
        <f t="array" ref="F418">"https://www.google.com/maps/search/?api=1&amp;query=" &amp; A418 &amp; "," &amp; B418</f>
        <v>https://www.google.com/maps/search/?api=1&amp;query=-30.9038290399571,-5.5541337883376</v>
      </c>
      <c r="G418" s="16" t="str">
        <f t="array" ref="G418">"https://earth.google.com/web/search/" &amp; A418 &amp; "," &amp; B418</f>
        <v>https://earth.google.com/web/search/-30.9038290399571,-5.5541337883376</v>
      </c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ht="26.25" customHeight="1">
      <c r="A419" s="17" t="s">
        <v>842</v>
      </c>
      <c r="B419" s="18" t="s">
        <v>843</v>
      </c>
      <c r="C419" s="14">
        <v>1.0</v>
      </c>
      <c r="D419" s="15">
        <v>289.0</v>
      </c>
      <c r="E419" s="15">
        <v>13.0</v>
      </c>
      <c r="F419" s="16" t="str">
        <f t="array" ref="F419">"https://www.google.com/maps/search/?api=1&amp;query=" &amp; A419 &amp; "," &amp; B419</f>
        <v>https://www.google.com/maps/search/?api=1&amp;query=-30.9041054929728,-5.5541538085413</v>
      </c>
      <c r="G419" s="16" t="str">
        <f t="array" ref="G419">"https://earth.google.com/web/search/" &amp; A419 &amp; "," &amp; B419</f>
        <v>https://earth.google.com/web/search/-30.9041054929728,-5.5541538085413</v>
      </c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ht="26.25" customHeight="1">
      <c r="A420" s="17" t="s">
        <v>844</v>
      </c>
      <c r="B420" s="18" t="s">
        <v>845</v>
      </c>
      <c r="C420" s="14">
        <v>1.0</v>
      </c>
      <c r="D420" s="15">
        <v>289.0</v>
      </c>
      <c r="E420" s="15">
        <v>14.0</v>
      </c>
      <c r="F420" s="16" t="str">
        <f t="array" ref="F420">"https://www.google.com/maps/search/?api=1&amp;query=" &amp; A420 &amp; "," &amp; B420</f>
        <v>https://www.google.com/maps/search/?api=1&amp;query=-30.9041754282199,-55.5415942573733</v>
      </c>
      <c r="G420" s="16" t="str">
        <f t="array" ref="G420">"https://earth.google.com/web/search/" &amp; A420 &amp; "," &amp; B420</f>
        <v>https://earth.google.com/web/search/-30.9041754282199,-55.5415942573733</v>
      </c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ht="26.25" customHeight="1">
      <c r="A421" s="17" t="s">
        <v>846</v>
      </c>
      <c r="B421" s="18" t="s">
        <v>847</v>
      </c>
      <c r="C421" s="14">
        <v>1.0</v>
      </c>
      <c r="D421" s="15">
        <v>289.0</v>
      </c>
      <c r="E421" s="15">
        <v>15.0</v>
      </c>
      <c r="F421" s="16" t="str">
        <f t="array" ref="F421">"https://www.google.com/maps/search/?api=1&amp;query=" &amp; A421 &amp; "," &amp; B421</f>
        <v>https://www.google.com/maps/search/?api=1&amp;query=-30.9042664648748,-55.5416518128623</v>
      </c>
      <c r="G421" s="16" t="str">
        <f t="array" ref="G421">"https://earth.google.com/web/search/" &amp; A421 &amp; "," &amp; B421</f>
        <v>https://earth.google.com/web/search/-30.9042664648748,-55.5416518128623</v>
      </c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ht="26.25" customHeight="1">
      <c r="A422" s="17" t="s">
        <v>848</v>
      </c>
      <c r="B422" s="18" t="s">
        <v>849</v>
      </c>
      <c r="C422" s="14">
        <v>1.0</v>
      </c>
      <c r="D422" s="15">
        <v>290.0</v>
      </c>
      <c r="E422" s="15">
        <v>1.0</v>
      </c>
      <c r="F422" s="16" t="str">
        <f t="array" ref="F422">"https://www.google.com/maps/search/?api=1&amp;query=" &amp; A422 &amp; "," &amp; B422</f>
        <v>https://www.google.com/maps/search/?api=1&amp;query=-30.9039481156916,-55.5423430920321</v>
      </c>
      <c r="G422" s="16" t="str">
        <f t="array" ref="G422">"https://earth.google.com/web/search/" &amp; A422 &amp; "," &amp; B422</f>
        <v>https://earth.google.com/web/search/-30.9039481156916,-55.5423430920321</v>
      </c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ht="26.25" customHeight="1">
      <c r="A423" s="17" t="s">
        <v>850</v>
      </c>
      <c r="B423" s="18" t="s">
        <v>851</v>
      </c>
      <c r="C423" s="14">
        <v>1.0</v>
      </c>
      <c r="D423" s="15">
        <v>290.0</v>
      </c>
      <c r="E423" s="15">
        <v>2.0</v>
      </c>
      <c r="F423" s="16" t="str">
        <f t="array" ref="F423">"https://www.google.com/maps/search/?api=1&amp;query=" &amp; A423 &amp; "," &amp; B423</f>
        <v>https://www.google.com/maps/search/?api=1&amp;query=-3.0903997770787,-55.5422482827677</v>
      </c>
      <c r="G423" s="16" t="str">
        <f t="array" ref="G423">"https://earth.google.com/web/search/" &amp; A423 &amp; "," &amp; B423</f>
        <v>https://earth.google.com/web/search/-3.0903997770787,-55.5422482827677</v>
      </c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ht="26.25" customHeight="1">
      <c r="A424" s="17" t="s">
        <v>852</v>
      </c>
      <c r="B424" s="18" t="s">
        <v>853</v>
      </c>
      <c r="C424" s="14">
        <v>1.0</v>
      </c>
      <c r="D424" s="15">
        <v>290.0</v>
      </c>
      <c r="E424" s="15">
        <v>3.0</v>
      </c>
      <c r="F424" s="16" t="str">
        <f t="array" ref="F424">"https://www.google.com/maps/search/?api=1&amp;query=" &amp; A424 &amp; "," &amp; B424</f>
        <v>https://www.google.com/maps/search/?api=1&amp;query=-30.9040835651218,-55.5421120713012</v>
      </c>
      <c r="G424" s="16" t="str">
        <f t="array" ref="G424">"https://earth.google.com/web/search/" &amp; A424 &amp; "," &amp; B424</f>
        <v>https://earth.google.com/web/search/-30.9040835651218,-55.5421120713012</v>
      </c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ht="26.25" customHeight="1">
      <c r="A425" s="17" t="s">
        <v>854</v>
      </c>
      <c r="B425" s="18" t="s">
        <v>855</v>
      </c>
      <c r="C425" s="14">
        <v>1.0</v>
      </c>
      <c r="D425" s="15">
        <v>290.0</v>
      </c>
      <c r="E425" s="15">
        <v>4.0</v>
      </c>
      <c r="F425" s="16" t="str">
        <f t="array" ref="F425">"https://www.google.com/maps/search/?api=1&amp;query=" &amp; A425 &amp; "," &amp; B425</f>
        <v>https://www.google.com/maps/search/?api=1&amp;query=-30.9041351641465,-55.5420231320605</v>
      </c>
      <c r="G425" s="16" t="str">
        <f t="array" ref="G425">"https://earth.google.com/web/search/" &amp; A425 &amp; "," &amp; B425</f>
        <v>https://earth.google.com/web/search/-30.9041351641465,-55.5420231320605</v>
      </c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 ht="26.25" customHeight="1">
      <c r="A426" s="17" t="s">
        <v>856</v>
      </c>
      <c r="B426" s="18" t="s">
        <v>857</v>
      </c>
      <c r="C426" s="14">
        <v>1.0</v>
      </c>
      <c r="D426" s="15">
        <v>290.0</v>
      </c>
      <c r="E426" s="15">
        <v>5.0</v>
      </c>
      <c r="F426" s="16" t="str">
        <f t="array" ref="F426">"https://www.google.com/maps/search/?api=1&amp;query=" &amp; A426 &amp; "," &amp; B426</f>
        <v>https://www.google.com/maps/search/?api=1&amp;query=-3.0904203989649,-55.5419010501337</v>
      </c>
      <c r="G426" s="16" t="str">
        <f t="array" ref="G426">"https://earth.google.com/web/search/" &amp; A426 &amp; "," &amp; B426</f>
        <v>https://earth.google.com/web/search/-3.0904203989649,-55.5419010501337</v>
      </c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ht="26.25" customHeight="1">
      <c r="A427" s="17" t="s">
        <v>858</v>
      </c>
      <c r="B427" s="18" t="s">
        <v>859</v>
      </c>
      <c r="C427" s="14">
        <v>1.0</v>
      </c>
      <c r="D427" s="15">
        <v>290.0</v>
      </c>
      <c r="E427" s="15">
        <v>6.0</v>
      </c>
      <c r="F427" s="16" t="str">
        <f t="array" ref="F427">"https://www.google.com/maps/search/?api=1&amp;query=" &amp; A427 &amp; "," &amp; B427</f>
        <v>https://www.google.com/maps/search/?api=1&amp;query=-30.9042557918236,-55.5418313205167</v>
      </c>
      <c r="G427" s="16" t="str">
        <f t="array" ref="G427">"https://earth.google.com/web/search/" &amp; A427 &amp; "," &amp; B427</f>
        <v>https://earth.google.com/web/search/-30.9042557918236,-55.5418313205167</v>
      </c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ht="26.25" customHeight="1">
      <c r="A428" s="17" t="s">
        <v>860</v>
      </c>
      <c r="B428" s="18" t="s">
        <v>861</v>
      </c>
      <c r="C428" s="14">
        <v>1.0</v>
      </c>
      <c r="D428" s="15">
        <v>290.0</v>
      </c>
      <c r="E428" s="15">
        <v>7.0</v>
      </c>
      <c r="F428" s="16" t="str">
        <f t="array" ref="F428">"https://www.google.com/maps/search/?api=1&amp;query=" &amp; A428 &amp; "," &amp; B428</f>
        <v>https://www.google.com/maps/search/?api=1&amp;query=-30.9042442539515,-55.5417476257556</v>
      </c>
      <c r="G428" s="16" t="str">
        <f t="array" ref="G428">"https://earth.google.com/web/search/" &amp; A428 &amp; "," &amp; B428</f>
        <v>https://earth.google.com/web/search/-30.9042442539515,-55.5417476257556</v>
      </c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ht="26.25" customHeight="1">
      <c r="A429" s="17" t="s">
        <v>862</v>
      </c>
      <c r="B429" s="18" t="s">
        <v>863</v>
      </c>
      <c r="C429" s="14">
        <v>1.0</v>
      </c>
      <c r="D429" s="15">
        <v>290.0</v>
      </c>
      <c r="E429" s="15">
        <v>8.0</v>
      </c>
      <c r="F429" s="16" t="str">
        <f t="array" ref="F429">"https://www.google.com/maps/search/?api=1&amp;query=" &amp; A429 &amp; "," &amp; B429</f>
        <v>https://www.google.com/maps/search/?api=1&amp;query=-30.9041888562651,-55.5417127752977</v>
      </c>
      <c r="G429" s="16" t="str">
        <f t="array" ref="G429">"https://earth.google.com/web/search/" &amp; A429 &amp; "," &amp; B429</f>
        <v>https://earth.google.com/web/search/-30.9041888562651,-55.5417127752977</v>
      </c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 ht="26.25" customHeight="1">
      <c r="A430" s="17" t="s">
        <v>864</v>
      </c>
      <c r="B430" s="18" t="s">
        <v>865</v>
      </c>
      <c r="C430" s="14">
        <v>1.0</v>
      </c>
      <c r="D430" s="15">
        <v>290.0</v>
      </c>
      <c r="E430" s="15">
        <v>9.0</v>
      </c>
      <c r="F430" s="16" t="str">
        <f t="array" ref="F430">"https://www.google.com/maps/search/?api=1&amp;query=" &amp; A430 &amp; "," &amp; B430</f>
        <v>https://www.google.com/maps/search/?api=1&amp;query=-3.0904078831548,-55.5416473023974</v>
      </c>
      <c r="G430" s="16" t="str">
        <f t="array" ref="G430">"https://earth.google.com/web/search/" &amp; A430 &amp; "," &amp; B430</f>
        <v>https://earth.google.com/web/search/-3.0904078831548,-55.5416473023974</v>
      </c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 ht="26.25" customHeight="1">
      <c r="A431" s="17" t="s">
        <v>866</v>
      </c>
      <c r="B431" s="18" t="s">
        <v>867</v>
      </c>
      <c r="C431" s="14">
        <v>1.0</v>
      </c>
      <c r="D431" s="15">
        <v>290.0</v>
      </c>
      <c r="E431" s="15">
        <v>10.0</v>
      </c>
      <c r="F431" s="16" t="str">
        <f t="array" ref="F431">"https://www.google.com/maps/search/?api=1&amp;query=" &amp; A431 &amp; "," &amp; B431</f>
        <v>https://www.google.com/maps/search/?api=1&amp;query=-30.9038214869356,-55.5414810763546</v>
      </c>
      <c r="G431" s="16" t="str">
        <f t="array" ref="G431">"https://earth.google.com/web/search/" &amp; A431 &amp; "," &amp; B431</f>
        <v>https://earth.google.com/web/search/-30.9038214869356,-55.5414810763546</v>
      </c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 ht="26.25" customHeight="1">
      <c r="A432" s="17" t="s">
        <v>868</v>
      </c>
      <c r="B432" s="18" t="s">
        <v>869</v>
      </c>
      <c r="C432" s="14">
        <v>1.0</v>
      </c>
      <c r="D432" s="15">
        <v>290.0</v>
      </c>
      <c r="E432" s="15">
        <v>11.0</v>
      </c>
      <c r="F432" s="16" t="str">
        <f t="array" ref="F432">"https://www.google.com/maps/search/?api=1&amp;query=" &amp; A432 &amp; "," &amp; B432</f>
        <v>https://www.google.com/maps/search/?api=1&amp;query=-30.9037634868338,-55.5414269704628</v>
      </c>
      <c r="G432" s="16" t="str">
        <f t="array" ref="G432">"https://earth.google.com/web/search/" &amp; A432 &amp; "," &amp; B432</f>
        <v>https://earth.google.com/web/search/-30.9037634868338,-55.5414269704628</v>
      </c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ht="26.25" customHeight="1">
      <c r="A433" s="17" t="s">
        <v>870</v>
      </c>
      <c r="B433" s="18" t="s">
        <v>871</v>
      </c>
      <c r="C433" s="14">
        <v>1.0</v>
      </c>
      <c r="D433" s="15">
        <v>290.0</v>
      </c>
      <c r="E433" s="15">
        <v>12.0</v>
      </c>
      <c r="F433" s="16" t="str">
        <f t="array" ref="F433">"https://www.google.com/maps/search/?api=1&amp;query=" &amp; A433 &amp; "," &amp; B433</f>
        <v>https://www.google.com/maps/search/?api=1&amp;query=-30.9033654018921,-55.5416136990112</v>
      </c>
      <c r="G433" s="16" t="str">
        <f t="array" ref="G433">"https://earth.google.com/web/search/" &amp; A433 &amp; "," &amp; B433</f>
        <v>https://earth.google.com/web/search/-30.9033654018921,-55.5416136990112</v>
      </c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ht="26.25" customHeight="1">
      <c r="A434" s="17" t="s">
        <v>872</v>
      </c>
      <c r="B434" s="18" t="s">
        <v>873</v>
      </c>
      <c r="C434" s="14">
        <v>1.0</v>
      </c>
      <c r="D434" s="15">
        <v>290.0</v>
      </c>
      <c r="E434" s="15">
        <v>13.0</v>
      </c>
      <c r="F434" s="16" t="str">
        <f t="array" ref="F434">"https://www.google.com/maps/search/?api=1&amp;query=" &amp; A434 &amp; "," &amp; B434</f>
        <v>https://www.google.com/maps/search/?api=1&amp;query=-30.9032015729671,-55.5419145040312</v>
      </c>
      <c r="G434" s="16" t="str">
        <f t="array" ref="G434">"https://earth.google.com/web/search/" &amp; A434 &amp; "," &amp; B434</f>
        <v>https://earth.google.com/web/search/-30.9032015729671,-55.5419145040312</v>
      </c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 ht="26.25" customHeight="1">
      <c r="A435" s="17" t="s">
        <v>874</v>
      </c>
      <c r="B435" s="18" t="s">
        <v>875</v>
      </c>
      <c r="C435" s="14">
        <v>1.0</v>
      </c>
      <c r="D435" s="15">
        <v>290.0</v>
      </c>
      <c r="E435" s="15">
        <v>14.0</v>
      </c>
      <c r="F435" s="16" t="str">
        <f t="array" ref="F435">"https://www.google.com/maps/search/?api=1&amp;query=" &amp; A435 &amp; "," &amp; B435</f>
        <v>https://www.google.com/maps/search/?api=1&amp;query=-3.0903211800722,-55.5421840349196</v>
      </c>
      <c r="G435" s="16" t="str">
        <f t="array" ref="G435">"https://earth.google.com/web/search/" &amp; A435 &amp; "," &amp; B435</f>
        <v>https://earth.google.com/web/search/-3.0903211800722,-55.5421840349196</v>
      </c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 ht="26.25" customHeight="1">
      <c r="A436" s="17" t="s">
        <v>876</v>
      </c>
      <c r="B436" s="18" t="s">
        <v>877</v>
      </c>
      <c r="C436" s="14">
        <v>1.0</v>
      </c>
      <c r="D436" s="15">
        <v>290.0</v>
      </c>
      <c r="E436" s="15">
        <v>15.0</v>
      </c>
      <c r="F436" s="16" t="str">
        <f t="array" ref="F436">"https://www.google.com/maps/search/?api=1&amp;query=" &amp; A436 &amp; "," &amp; B436</f>
        <v>https://www.google.com/maps/search/?api=1&amp;query=-30.9032944141527,-55.5422271366941</v>
      </c>
      <c r="G436" s="16" t="str">
        <f t="array" ref="G436">"https://earth.google.com/web/search/" &amp; A436 &amp; "," &amp; B436</f>
        <v>https://earth.google.com/web/search/-30.9032944141527,-55.5422271366941</v>
      </c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 ht="26.25" customHeight="1">
      <c r="A437" s="17" t="s">
        <v>878</v>
      </c>
      <c r="B437" s="18" t="s">
        <v>879</v>
      </c>
      <c r="C437" s="14">
        <v>1.0</v>
      </c>
      <c r="D437" s="15">
        <v>290.0</v>
      </c>
      <c r="E437" s="15">
        <v>16.0</v>
      </c>
      <c r="F437" s="16" t="str">
        <f t="array" ref="F437">"https://www.google.com/maps/search/?api=1&amp;query=" &amp; A437 &amp; "," &amp; B437</f>
        <v>https://www.google.com/maps/search/?api=1&amp;query=-30.9034087053907,-55.5422988902268</v>
      </c>
      <c r="G437" s="16" t="str">
        <f t="array" ref="G437">"https://earth.google.com/web/search/" &amp; A437 &amp; "," &amp; B437</f>
        <v>https://earth.google.com/web/search/-30.9034087053907,-55.5422988902268</v>
      </c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 ht="26.25" customHeight="1">
      <c r="A438" s="17" t="s">
        <v>880</v>
      </c>
      <c r="B438" s="18" t="s">
        <v>881</v>
      </c>
      <c r="C438" s="14">
        <v>1.0</v>
      </c>
      <c r="D438" s="15">
        <v>290.0</v>
      </c>
      <c r="E438" s="15">
        <v>17.0</v>
      </c>
      <c r="F438" s="16" t="str">
        <f t="array" ref="F438">"https://www.google.com/maps/search/?api=1&amp;query=" &amp; A438 &amp; "," &amp; B438</f>
        <v>https://www.google.com/maps/search/?api=1&amp;query=-30.9034503615007,-55.5423300417974</v>
      </c>
      <c r="G438" s="16" t="str">
        <f t="array" ref="G438">"https://earth.google.com/web/search/" &amp; A438 &amp; "," &amp; B438</f>
        <v>https://earth.google.com/web/search/-30.9034503615007,-55.5423300417974</v>
      </c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 ht="26.25" customHeight="1">
      <c r="A439" s="17" t="s">
        <v>882</v>
      </c>
      <c r="B439" s="18" t="s">
        <v>883</v>
      </c>
      <c r="C439" s="14">
        <v>1.0</v>
      </c>
      <c r="D439" s="15">
        <v>290.0</v>
      </c>
      <c r="E439" s="15">
        <v>18.0</v>
      </c>
      <c r="F439" s="16" t="str">
        <f t="array" ref="F439">"https://www.google.com/maps/search/?api=1&amp;query=" &amp; A439 &amp; "," &amp; B439</f>
        <v>https://www.google.com/maps/search/?api=1&amp;query=-3.0903514630312,-55.5423564587366</v>
      </c>
      <c r="G439" s="16" t="str">
        <f t="array" ref="G439">"https://earth.google.com/web/search/" &amp; A439 &amp; "," &amp; B439</f>
        <v>https://earth.google.com/web/search/-3.0903514630312,-55.5423564587366</v>
      </c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ht="26.25" customHeight="1">
      <c r="A440" s="17" t="s">
        <v>884</v>
      </c>
      <c r="B440" s="18" t="s">
        <v>885</v>
      </c>
      <c r="C440" s="14">
        <v>1.0</v>
      </c>
      <c r="D440" s="15">
        <v>290.0</v>
      </c>
      <c r="E440" s="15">
        <v>19.0</v>
      </c>
      <c r="F440" s="16" t="str">
        <f t="array" ref="F440">"https://www.google.com/maps/search/?api=1&amp;query=" &amp; A440 &amp; "," &amp; B440</f>
        <v>https://www.google.com/maps/search/?api=1&amp;query=-30.9036528915907,-55.5424753536404</v>
      </c>
      <c r="G440" s="16" t="str">
        <f t="array" ref="G440">"https://earth.google.com/web/search/" &amp; A440 &amp; "," &amp; B440</f>
        <v>https://earth.google.com/web/search/-30.9036528915907,-55.5424753536404</v>
      </c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ht="26.25" customHeight="1">
      <c r="A441" s="17" t="s">
        <v>886</v>
      </c>
      <c r="B441" s="18" t="s">
        <v>887</v>
      </c>
      <c r="C441" s="14">
        <v>1.0</v>
      </c>
      <c r="D441" s="15">
        <v>290.0</v>
      </c>
      <c r="E441" s="15">
        <v>20.0</v>
      </c>
      <c r="F441" s="16" t="str">
        <f t="array" ref="F441">"https://www.google.com/maps/search/?api=1&amp;query=" &amp; A441 &amp; "," &amp; B441</f>
        <v>https://www.google.com/maps/search/?api=1&amp;query=-30.9037205747196,-55.5425106875653</v>
      </c>
      <c r="G441" s="16" t="str">
        <f t="array" ref="G441">"https://earth.google.com/web/search/" &amp; A441 &amp; "," &amp; B441</f>
        <v>https://earth.google.com/web/search/-30.9037205747196,-55.5425106875653</v>
      </c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 ht="26.25" customHeight="1">
      <c r="A442" s="17" t="s">
        <v>888</v>
      </c>
      <c r="B442" s="18" t="s">
        <v>889</v>
      </c>
      <c r="C442" s="14">
        <v>1.0</v>
      </c>
      <c r="D442" s="15">
        <v>291.0</v>
      </c>
      <c r="E442" s="15">
        <v>1.0</v>
      </c>
      <c r="F442" s="16" t="str">
        <f t="array" ref="F442">"https://www.google.com/maps/search/?api=1&amp;query=" &amp; A442 &amp; "," &amp; B442</f>
        <v>https://www.google.com/maps/search/?api=1&amp;query=-30.9033521050337,-55.5434835535927</v>
      </c>
      <c r="G442" s="16" t="str">
        <f t="array" ref="G442">"https://earth.google.com/web/search/" &amp; A442 &amp; "," &amp; B442</f>
        <v>https://earth.google.com/web/search/-30.9033521050337,-55.5434835535927</v>
      </c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ht="26.25" customHeight="1">
      <c r="A443" s="17" t="s">
        <v>890</v>
      </c>
      <c r="B443" s="18" t="s">
        <v>891</v>
      </c>
      <c r="C443" s="14">
        <v>1.0</v>
      </c>
      <c r="D443" s="15">
        <v>291.0</v>
      </c>
      <c r="E443" s="15">
        <v>2.0</v>
      </c>
      <c r="F443" s="16" t="str">
        <f t="array" ref="F443">"https://www.google.com/maps/search/?api=1&amp;query=" &amp; A443 &amp; "," &amp; B443</f>
        <v>https://www.google.com/maps/search/?api=1&amp;query=-30.9034063792362,-55.5433748923063</v>
      </c>
      <c r="G443" s="16" t="str">
        <f t="array" ref="G443">"https://earth.google.com/web/search/" &amp; A443 &amp; "," &amp; B443</f>
        <v>https://earth.google.com/web/search/-30.9034063792362,-55.5433748923063</v>
      </c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 ht="26.25" customHeight="1">
      <c r="A444" s="17" t="s">
        <v>892</v>
      </c>
      <c r="B444" s="18" t="s">
        <v>893</v>
      </c>
      <c r="C444" s="14">
        <v>1.0</v>
      </c>
      <c r="D444" s="15">
        <v>291.0</v>
      </c>
      <c r="E444" s="15">
        <v>3.0</v>
      </c>
      <c r="F444" s="16" t="str">
        <f t="array" ref="F444">"https://www.google.com/maps/search/?api=1&amp;query=" &amp; A444 &amp; "," &amp; B444</f>
        <v>https://www.google.com/maps/search/?api=1&amp;query=-30.9035173110155,-55.5431985528175</v>
      </c>
      <c r="G444" s="16" t="str">
        <f t="array" ref="G444">"https://earth.google.com/web/search/" &amp; A444 &amp; "," &amp; B444</f>
        <v>https://earth.google.com/web/search/-30.9035173110155,-55.5431985528175</v>
      </c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ht="26.25" customHeight="1">
      <c r="A445" s="17" t="s">
        <v>894</v>
      </c>
      <c r="B445" s="18" t="s">
        <v>895</v>
      </c>
      <c r="C445" s="14">
        <v>1.0</v>
      </c>
      <c r="D445" s="15">
        <v>291.0</v>
      </c>
      <c r="E445" s="15">
        <v>4.0</v>
      </c>
      <c r="F445" s="16" t="str">
        <f t="array" ref="F445">"https://www.google.com/maps/search/?api=1&amp;query=" &amp; A445 &amp; "," &amp; B445</f>
        <v>https://www.google.com/maps/search/?api=1&amp;query=-30.9037218083958,-5.5542798257938</v>
      </c>
      <c r="G445" s="16" t="str">
        <f t="array" ref="G445">"https://earth.google.com/web/search/" &amp; A445 &amp; "," &amp; B445</f>
        <v>https://earth.google.com/web/search/-30.9037218083958,-5.5542798257938</v>
      </c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 ht="26.25" customHeight="1">
      <c r="A446" s="17" t="s">
        <v>896</v>
      </c>
      <c r="B446" s="18" t="s">
        <v>897</v>
      </c>
      <c r="C446" s="14">
        <v>1.0</v>
      </c>
      <c r="D446" s="15">
        <v>291.0</v>
      </c>
      <c r="E446" s="15">
        <v>5.0</v>
      </c>
      <c r="F446" s="16" t="str">
        <f t="array" ref="F446">"https://www.google.com/maps/search/?api=1&amp;query=" &amp; A446 &amp; "," &amp; B446</f>
        <v>https://www.google.com/maps/search/?api=1&amp;query=-30.9030163010041,-55.5422931459431</v>
      </c>
      <c r="G446" s="16" t="str">
        <f t="array" ref="G446">"https://earth.google.com/web/search/" &amp; A446 &amp; "," &amp; B446</f>
        <v>https://earth.google.com/web/search/-30.9030163010041,-55.5422931459431</v>
      </c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 ht="26.25" customHeight="1">
      <c r="A447" s="17" t="s">
        <v>898</v>
      </c>
      <c r="B447" s="18" t="s">
        <v>899</v>
      </c>
      <c r="C447" s="14">
        <v>1.0</v>
      </c>
      <c r="D447" s="15">
        <v>291.0</v>
      </c>
      <c r="E447" s="15">
        <v>6.0</v>
      </c>
      <c r="F447" s="16" t="str">
        <f t="array" ref="F447">"https://www.google.com/maps/search/?api=1&amp;query=" &amp; A447 &amp; "," &amp; B447</f>
        <v>https://www.google.com/maps/search/?api=1&amp;query=-30.9029778047813,-55.5423618335823</v>
      </c>
      <c r="G447" s="16" t="str">
        <f t="array" ref="G447">"https://earth.google.com/web/search/" &amp; A447 &amp; "," &amp; B447</f>
        <v>https://earth.google.com/web/search/-30.9029778047813,-55.5423618335823</v>
      </c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ht="26.25" customHeight="1">
      <c r="A448" s="17" t="s">
        <v>900</v>
      </c>
      <c r="B448" s="18" t="s">
        <v>901</v>
      </c>
      <c r="C448" s="14">
        <v>1.0</v>
      </c>
      <c r="D448" s="15">
        <v>291.0</v>
      </c>
      <c r="E448" s="15">
        <v>7.0</v>
      </c>
      <c r="F448" s="16" t="str">
        <f t="array" ref="F448">"https://www.google.com/maps/search/?api=1&amp;query=" &amp; A448 &amp; "," &amp; B448</f>
        <v>https://www.google.com/maps/search/?api=1&amp;query=-30.9028159883525,-55.5426767753358</v>
      </c>
      <c r="G448" s="16" t="str">
        <f t="array" ref="G448">"https://earth.google.com/web/search/" &amp; A448 &amp; "," &amp; B448</f>
        <v>https://earth.google.com/web/search/-30.9028159883525,-55.5426767753358</v>
      </c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ht="26.25" customHeight="1">
      <c r="A449" s="17" t="s">
        <v>902</v>
      </c>
      <c r="B449" s="18" t="s">
        <v>903</v>
      </c>
      <c r="C449" s="14">
        <v>1.0</v>
      </c>
      <c r="D449" s="15">
        <v>291.0</v>
      </c>
      <c r="E449" s="15">
        <v>8.0</v>
      </c>
      <c r="F449" s="16" t="str">
        <f t="array" ref="F449">"https://www.google.com/maps/search/?api=1&amp;query=" &amp; A449 &amp; "," &amp; B449</f>
        <v>https://www.google.com/maps/search/?api=1&amp;query=-30.9026834467219,-55.5428944539438</v>
      </c>
      <c r="G449" s="16" t="str">
        <f t="array" ref="G449">"https://earth.google.com/web/search/" &amp; A449 &amp; "," &amp; B449</f>
        <v>https://earth.google.com/web/search/-30.9026834467219,-55.5428944539438</v>
      </c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ht="26.25" customHeight="1">
      <c r="A450" s="17" t="s">
        <v>904</v>
      </c>
      <c r="B450" s="18" t="s">
        <v>905</v>
      </c>
      <c r="C450" s="14">
        <v>1.0</v>
      </c>
      <c r="D450" s="15">
        <v>291.0</v>
      </c>
      <c r="E450" s="15">
        <v>9.0</v>
      </c>
      <c r="F450" s="16" t="str">
        <f t="array" ref="F450">"https://www.google.com/maps/search/?api=1&amp;query=" &amp; A450 &amp; "," &amp; B450</f>
        <v>https://www.google.com/maps/search/?api=1&amp;query=-30.9026435776479,-55.5429587551105</v>
      </c>
      <c r="G450" s="16" t="str">
        <f t="array" ref="G450">"https://earth.google.com/web/search/" &amp; A450 &amp; "," &amp; B450</f>
        <v>https://earth.google.com/web/search/-30.9026435776479,-55.5429587551105</v>
      </c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ht="26.25" customHeight="1">
      <c r="A451" s="17" t="s">
        <v>906</v>
      </c>
      <c r="B451" s="18" t="s">
        <v>907</v>
      </c>
      <c r="C451" s="14">
        <v>1.0</v>
      </c>
      <c r="D451" s="15">
        <v>291.0</v>
      </c>
      <c r="E451" s="15">
        <v>10.0</v>
      </c>
      <c r="F451" s="16" t="str">
        <f t="array" ref="F451">"https://www.google.com/maps/search/?api=1&amp;query=" &amp; A451 &amp; "," &amp; B451</f>
        <v>https://www.google.com/maps/search/?api=1&amp;query=-30.9026481578459,-55.5430628643197</v>
      </c>
      <c r="G451" s="16" t="str">
        <f t="array" ref="G451">"https://earth.google.com/web/search/" &amp; A451 &amp; "," &amp; B451</f>
        <v>https://earth.google.com/web/search/-30.9026481578459,-55.5430628643197</v>
      </c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ht="26.25" customHeight="1">
      <c r="A452" s="17" t="s">
        <v>908</v>
      </c>
      <c r="B452" s="18" t="s">
        <v>909</v>
      </c>
      <c r="C452" s="14">
        <v>1.0</v>
      </c>
      <c r="D452" s="15">
        <v>291.0</v>
      </c>
      <c r="E452" s="15">
        <v>11.0</v>
      </c>
      <c r="F452" s="16" t="str">
        <f t="array" ref="F452">"https://www.google.com/maps/search/?api=1&amp;query=" &amp; A452 &amp; "," &amp; B452</f>
        <v>https://www.google.com/maps/search/?api=1&amp;query=-3.0902685668526,-5.5543087000884</v>
      </c>
      <c r="G452" s="16" t="str">
        <f t="array" ref="G452">"https://earth.google.com/web/search/" &amp; A452 &amp; "," &amp; B452</f>
        <v>https://earth.google.com/web/search/-3.0902685668526,-5.5543087000884</v>
      </c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 ht="26.25" customHeight="1">
      <c r="A453" s="17" t="s">
        <v>910</v>
      </c>
      <c r="B453" s="18" t="s">
        <v>911</v>
      </c>
      <c r="C453" s="14">
        <v>1.0</v>
      </c>
      <c r="D453" s="15">
        <v>291.0</v>
      </c>
      <c r="E453" s="15">
        <v>12.0</v>
      </c>
      <c r="F453" s="16" t="str">
        <f t="array" ref="F453">"https://www.google.com/maps/search/?api=1&amp;query=" &amp; A453 &amp; "," &amp; B453</f>
        <v>https://www.google.com/maps/search/?api=1&amp;query=-30.9027330778345,-55.5431221291269</v>
      </c>
      <c r="G453" s="16" t="str">
        <f t="array" ref="G453">"https://earth.google.com/web/search/" &amp; A453 &amp; "," &amp; B453</f>
        <v>https://earth.google.com/web/search/-30.9027330778345,-55.5431221291269</v>
      </c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 ht="26.25" customHeight="1">
      <c r="A454" s="17" t="s">
        <v>912</v>
      </c>
      <c r="B454" s="18" t="s">
        <v>913</v>
      </c>
      <c r="C454" s="14">
        <v>1.0</v>
      </c>
      <c r="D454" s="15">
        <v>291.0</v>
      </c>
      <c r="E454" s="15">
        <v>13.0</v>
      </c>
      <c r="F454" s="16" t="str">
        <f t="array" ref="F454">"https://www.google.com/maps/search/?api=1&amp;query=" &amp; A454 &amp; "," &amp; B454</f>
        <v>https://www.google.com/maps/search/?api=1&amp;query=-30.9027753958771,-55.5431570589019</v>
      </c>
      <c r="G454" s="16" t="str">
        <f t="array" ref="G454">"https://earth.google.com/web/search/" &amp; A454 &amp; "," &amp; B454</f>
        <v>https://earth.google.com/web/search/-30.9027753958771,-55.5431570589019</v>
      </c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 ht="26.25" customHeight="1">
      <c r="A455" s="17" t="s">
        <v>914</v>
      </c>
      <c r="B455" s="18" t="s">
        <v>915</v>
      </c>
      <c r="C455" s="14">
        <v>1.0</v>
      </c>
      <c r="D455" s="15">
        <v>291.0</v>
      </c>
      <c r="E455" s="15">
        <v>14.0</v>
      </c>
      <c r="F455" s="16" t="str">
        <f t="array" ref="F455">"https://www.google.com/maps/search/?api=1&amp;query=" &amp; A455 &amp; "," &amp; B455</f>
        <v>https://www.google.com/maps/search/?api=1&amp;query=-30.9028259116762,-55.5431848179794</v>
      </c>
      <c r="G455" s="16" t="str">
        <f t="array" ref="G455">"https://earth.google.com/web/search/" &amp; A455 &amp; "," &amp; B455</f>
        <v>https://earth.google.com/web/search/-30.9028259116762,-55.5431848179794</v>
      </c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 ht="26.25" customHeight="1">
      <c r="A456" s="17" t="s">
        <v>916</v>
      </c>
      <c r="B456" s="18" t="s">
        <v>917</v>
      </c>
      <c r="C456" s="14">
        <v>1.0</v>
      </c>
      <c r="D456" s="15">
        <v>291.0</v>
      </c>
      <c r="E456" s="15">
        <v>15.0</v>
      </c>
      <c r="F456" s="16" t="str">
        <f t="array" ref="F456">"https://www.google.com/maps/search/?api=1&amp;query=" &amp; A456 &amp; "," &amp; B456</f>
        <v>https://www.google.com/maps/search/?api=1&amp;query=-30.9029416301144,-55.5432624683374</v>
      </c>
      <c r="G456" s="16" t="str">
        <f t="array" ref="G456">"https://earth.google.com/web/search/" &amp; A456 &amp; "," &amp; B456</f>
        <v>https://earth.google.com/web/search/-30.9029416301144,-55.5432624683374</v>
      </c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 ht="26.25" customHeight="1">
      <c r="A457" s="17" t="s">
        <v>918</v>
      </c>
      <c r="B457" s="18" t="s">
        <v>919</v>
      </c>
      <c r="C457" s="14">
        <v>1.0</v>
      </c>
      <c r="D457" s="15">
        <v>291.0</v>
      </c>
      <c r="E457" s="15">
        <v>16.0</v>
      </c>
      <c r="F457" s="16" t="str">
        <f t="array" ref="F457">"https://www.google.com/maps/search/?api=1&amp;query=" &amp; A457 &amp; "," &amp; B457</f>
        <v>https://www.google.com/maps/search/?api=1&amp;query=-30.9030455400482,-55.5433245388036</v>
      </c>
      <c r="G457" s="16" t="str">
        <f t="array" ref="G457">"https://earth.google.com/web/search/" &amp; A457 &amp; "," &amp; B457</f>
        <v>https://earth.google.com/web/search/-30.9030455400482,-55.5433245388036</v>
      </c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 ht="26.25" customHeight="1">
      <c r="A458" s="17" t="s">
        <v>920</v>
      </c>
      <c r="B458" s="18" t="s">
        <v>921</v>
      </c>
      <c r="C458" s="14">
        <v>1.0</v>
      </c>
      <c r="D458" s="15">
        <v>291.0</v>
      </c>
      <c r="E458" s="15">
        <v>17.0</v>
      </c>
      <c r="F458" s="16" t="str">
        <f t="array" ref="F458">"https://www.google.com/maps/search/?api=1&amp;query=" &amp; A458 &amp; "," &amp; B458</f>
        <v>https://www.google.com/maps/search/?api=1&amp;query=-30.9031238067988,-55.5433795381298</v>
      </c>
      <c r="G458" s="16" t="str">
        <f t="array" ref="G458">"https://earth.google.com/web/search/" &amp; A458 &amp; "," &amp; B458</f>
        <v>https://earth.google.com/web/search/-30.9031238067988,-55.5433795381298</v>
      </c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ht="26.25" customHeight="1">
      <c r="A459" s="17" t="s">
        <v>922</v>
      </c>
      <c r="B459" s="18" t="s">
        <v>923</v>
      </c>
      <c r="C459" s="14">
        <v>1.0</v>
      </c>
      <c r="D459" s="15">
        <v>291.0</v>
      </c>
      <c r="E459" s="15">
        <v>18.0</v>
      </c>
      <c r="F459" s="16" t="str">
        <f t="array" ref="F459">"https://www.google.com/maps/search/?api=1&amp;query=" &amp; A459 &amp; "," &amp; B459</f>
        <v>https://www.google.com/maps/search/?api=1&amp;query=-30.9032912492092,-55.5435087534884</v>
      </c>
      <c r="G459" s="16" t="str">
        <f t="array" ref="G459">"https://earth.google.com/web/search/" &amp; A459 &amp; "," &amp; B459</f>
        <v>https://earth.google.com/web/search/-30.9032912492092,-55.5435087534884</v>
      </c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ht="26.25" customHeight="1">
      <c r="A460" s="17" t="s">
        <v>924</v>
      </c>
      <c r="B460" s="18" t="s">
        <v>925</v>
      </c>
      <c r="C460" s="14">
        <v>1.0</v>
      </c>
      <c r="D460" s="15">
        <v>292.0</v>
      </c>
      <c r="E460" s="15">
        <v>1.0</v>
      </c>
      <c r="F460" s="16" t="str">
        <f t="array" ref="F460">"https://www.google.com/maps/search/?api=1&amp;query=" &amp; A460 &amp; "," &amp; B460</f>
        <v>https://www.google.com/maps/search/?api=1&amp;query=-30.9031982263258,-55.5435745131138</v>
      </c>
      <c r="G460" s="16" t="str">
        <f t="array" ref="G460">"https://earth.google.com/web/search/" &amp; A460 &amp; "," &amp; B460</f>
        <v>https://earth.google.com/web/search/-30.9031982263258,-55.5435745131138</v>
      </c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ht="26.25" customHeight="1">
      <c r="A461" s="17" t="s">
        <v>926</v>
      </c>
      <c r="B461" s="18" t="s">
        <v>927</v>
      </c>
      <c r="C461" s="14">
        <v>1.0</v>
      </c>
      <c r="D461" s="15">
        <v>292.0</v>
      </c>
      <c r="E461" s="15">
        <v>2.0</v>
      </c>
      <c r="F461" s="16" t="str">
        <f t="array" ref="F461">"https://www.google.com/maps/search/?api=1&amp;query=" &amp; A461 &amp; "," &amp; B461</f>
        <v>https://www.google.com/maps/search/?api=1&amp;query=-30.9030103238033,-55.5434406065449</v>
      </c>
      <c r="G461" s="16" t="str">
        <f t="array" ref="G461">"https://earth.google.com/web/search/" &amp; A461 &amp; "," &amp; B461</f>
        <v>https://earth.google.com/web/search/-30.9030103238033,-55.5434406065449</v>
      </c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 ht="26.25" customHeight="1">
      <c r="A462" s="17" t="s">
        <v>928</v>
      </c>
      <c r="B462" s="18" t="s">
        <v>929</v>
      </c>
      <c r="C462" s="14">
        <v>1.0</v>
      </c>
      <c r="D462" s="15">
        <v>292.0</v>
      </c>
      <c r="E462" s="15">
        <v>3.0</v>
      </c>
      <c r="F462" s="16" t="str">
        <f t="array" ref="F462">"https://www.google.com/maps/search/?api=1&amp;query=" &amp; A462 &amp; "," &amp; B462</f>
        <v>https://www.google.com/maps/search/?api=1&amp;query=-30.9029486963701,-55.5433857222129</v>
      </c>
      <c r="G462" s="16" t="str">
        <f t="array" ref="G462">"https://earth.google.com/web/search/" &amp; A462 &amp; "," &amp; B462</f>
        <v>https://earth.google.com/web/search/-30.9029486963701,-55.5433857222129</v>
      </c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ht="26.25" customHeight="1">
      <c r="A463" s="17" t="s">
        <v>930</v>
      </c>
      <c r="B463" s="18" t="s">
        <v>931</v>
      </c>
      <c r="C463" s="14">
        <v>1.0</v>
      </c>
      <c r="D463" s="15">
        <v>292.0</v>
      </c>
      <c r="E463" s="15">
        <v>4.0</v>
      </c>
      <c r="F463" s="16" t="str">
        <f t="array" ref="F463">"https://www.google.com/maps/search/?api=1&amp;query=" &amp; A463 &amp; "," &amp; B463</f>
        <v>https://www.google.com/maps/search/?api=1&amp;query=-30.9027896611826,-55.5432685392315</v>
      </c>
      <c r="G463" s="16" t="str">
        <f t="array" ref="G463">"https://earth.google.com/web/search/" &amp; A463 &amp; "," &amp; B463</f>
        <v>https://earth.google.com/web/search/-30.9027896611826,-55.5432685392315</v>
      </c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 ht="26.25" customHeight="1">
      <c r="A464" s="17" t="s">
        <v>932</v>
      </c>
      <c r="B464" s="18" t="s">
        <v>933</v>
      </c>
      <c r="C464" s="14">
        <v>1.0</v>
      </c>
      <c r="D464" s="15">
        <v>292.0</v>
      </c>
      <c r="E464" s="15">
        <v>5.0</v>
      </c>
      <c r="F464" s="16" t="str">
        <f t="array" ref="F464">"https://www.google.com/maps/search/?api=1&amp;query=" &amp; A464 &amp; "," &amp; B464</f>
        <v>https://www.google.com/maps/search/?api=1&amp;query=-30.9024964443423,-55.5432698290881</v>
      </c>
      <c r="G464" s="16" t="str">
        <f t="array" ref="G464">"https://earth.google.com/web/search/" &amp; A464 &amp; "," &amp; B464</f>
        <v>https://earth.google.com/web/search/-30.9024964443423,-55.5432698290881</v>
      </c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ht="26.25" customHeight="1">
      <c r="A465" s="17" t="s">
        <v>934</v>
      </c>
      <c r="B465" s="18" t="s">
        <v>935</v>
      </c>
      <c r="C465" s="14">
        <v>1.0</v>
      </c>
      <c r="D465" s="15">
        <v>292.0</v>
      </c>
      <c r="E465" s="15">
        <v>6.0</v>
      </c>
      <c r="F465" s="16" t="str">
        <f t="array" ref="F465">"https://www.google.com/maps/search/?api=1&amp;query=" &amp; A465 &amp; "," &amp; B465</f>
        <v>https://www.google.com/maps/search/?api=1&amp;query=-30.9024451821033,-55.5433474161151</v>
      </c>
      <c r="G465" s="16" t="str">
        <f t="array" ref="G465">"https://earth.google.com/web/search/" &amp; A465 &amp; "," &amp; B465</f>
        <v>https://earth.google.com/web/search/-30.9024451821033,-55.5433474161151</v>
      </c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 ht="26.25" customHeight="1">
      <c r="A466" s="17" t="s">
        <v>936</v>
      </c>
      <c r="B466" s="18" t="s">
        <v>937</v>
      </c>
      <c r="C466" s="14">
        <v>1.0</v>
      </c>
      <c r="D466" s="15">
        <v>292.0</v>
      </c>
      <c r="E466" s="15">
        <v>7.0</v>
      </c>
      <c r="F466" s="16" t="str">
        <f t="array" ref="F466">"https://www.google.com/maps/search/?api=1&amp;query=" &amp; A466 &amp; "," &amp; B466</f>
        <v>https://www.google.com/maps/search/?api=1&amp;query=-30.9023399611837,-55.5435735583197</v>
      </c>
      <c r="G466" s="16" t="str">
        <f t="array" ref="G466">"https://earth.google.com/web/search/" &amp; A466 &amp; "," &amp; B466</f>
        <v>https://earth.google.com/web/search/-30.9023399611837,-55.5435735583197</v>
      </c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 ht="26.25" customHeight="1">
      <c r="A467" s="17" t="s">
        <v>938</v>
      </c>
      <c r="B467" s="18" t="s">
        <v>939</v>
      </c>
      <c r="C467" s="14">
        <v>1.0</v>
      </c>
      <c r="D467" s="15">
        <v>292.0</v>
      </c>
      <c r="E467" s="15">
        <v>8.0</v>
      </c>
      <c r="F467" s="16" t="str">
        <f t="array" ref="F467">"https://www.google.com/maps/search/?api=1&amp;query=" &amp; A467 &amp; "," &amp; B467</f>
        <v>https://www.google.com/maps/search/?api=1&amp;query=-30.9022474492314,-55.5437447859891</v>
      </c>
      <c r="G467" s="16" t="str">
        <f t="array" ref="G467">"https://earth.google.com/web/search/" &amp; A467 &amp; "," &amp; B467</f>
        <v>https://earth.google.com/web/search/-30.9022474492314,-55.5437447859891</v>
      </c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 ht="26.25" customHeight="1">
      <c r="A468" s="17" t="s">
        <v>940</v>
      </c>
      <c r="B468" s="18" t="s">
        <v>941</v>
      </c>
      <c r="C468" s="14">
        <v>1.0</v>
      </c>
      <c r="D468" s="15">
        <v>292.0</v>
      </c>
      <c r="E468" s="15">
        <v>9.0</v>
      </c>
      <c r="F468" s="16" t="str">
        <f t="array" ref="F468">"https://www.google.com/maps/search/?api=1&amp;query=" &amp; A468 &amp; "," &amp; B468</f>
        <v>https://www.google.com/maps/search/?api=1&amp;query=-30.9022174004591,-55.5437861237448</v>
      </c>
      <c r="G468" s="16" t="str">
        <f t="array" ref="G468">"https://earth.google.com/web/search/" &amp; A468 &amp; "," &amp; B468</f>
        <v>https://earth.google.com/web/search/-30.9022174004591,-55.5437861237448</v>
      </c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ht="26.25" customHeight="1">
      <c r="A469" s="17" t="s">
        <v>942</v>
      </c>
      <c r="B469" s="18" t="s">
        <v>943</v>
      </c>
      <c r="C469" s="14">
        <v>1.0</v>
      </c>
      <c r="D469" s="15">
        <v>292.0</v>
      </c>
      <c r="E469" s="15">
        <v>10.0</v>
      </c>
      <c r="F469" s="16" t="str">
        <f t="array" ref="F469">"https://www.google.com/maps/search/?api=1&amp;query=" &amp; A469 &amp; "," &amp; B469</f>
        <v>https://www.google.com/maps/search/?api=1&amp;query=-30.9021764617787,-55.5438510078228</v>
      </c>
      <c r="G469" s="16" t="str">
        <f t="array" ref="G469">"https://earth.google.com/web/search/" &amp; A469 &amp; "," &amp; B469</f>
        <v>https://earth.google.com/web/search/-30.9021764617787,-55.5438510078228</v>
      </c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ht="26.25" customHeight="1">
      <c r="A470" s="17" t="s">
        <v>944</v>
      </c>
      <c r="B470" s="18" t="s">
        <v>945</v>
      </c>
      <c r="C470" s="14">
        <v>1.0</v>
      </c>
      <c r="D470" s="15">
        <v>292.0</v>
      </c>
      <c r="E470" s="15">
        <v>11.0</v>
      </c>
      <c r="F470" s="16" t="str">
        <f t="array" ref="F470">"https://www.google.com/maps/search/?api=1&amp;query=" &amp; A470 &amp; "," &amp; B470</f>
        <v>https://www.google.com/maps/search/?api=1&amp;query=-30.9021714819084,-55.5439555476467</v>
      </c>
      <c r="G470" s="16" t="str">
        <f t="array" ref="G470">"https://earth.google.com/web/search/" &amp; A470 &amp; "," &amp; B470</f>
        <v>https://earth.google.com/web/search/-30.9021714819084,-55.5439555476467</v>
      </c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ht="26.25" customHeight="1">
      <c r="A471" s="17" t="s">
        <v>946</v>
      </c>
      <c r="B471" s="18" t="s">
        <v>947</v>
      </c>
      <c r="C471" s="14">
        <v>1.0</v>
      </c>
      <c r="D471" s="15">
        <v>292.0</v>
      </c>
      <c r="E471" s="15">
        <v>11.0</v>
      </c>
      <c r="F471" s="16" t="str">
        <f t="array" ref="F471">"https://www.google.com/maps/search/?api=1&amp;query=" &amp; A471 &amp; "," &amp; B471</f>
        <v>https://www.google.com/maps/search/?api=1&amp;query=-30.9022773217732,-55.5440534751683</v>
      </c>
      <c r="G471" s="16" t="str">
        <f t="array" ref="G471">"https://earth.google.com/web/search/" &amp; A471 &amp; "," &amp; B471</f>
        <v>https://earth.google.com/web/search/-30.9022773217732,-55.5440534751683</v>
      </c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ht="26.25" customHeight="1">
      <c r="A472" s="17" t="s">
        <v>948</v>
      </c>
      <c r="B472" s="18" t="s">
        <v>949</v>
      </c>
      <c r="C472" s="14">
        <v>1.0</v>
      </c>
      <c r="D472" s="15">
        <v>292.0</v>
      </c>
      <c r="E472" s="15">
        <v>12.0</v>
      </c>
      <c r="F472" s="16" t="str">
        <f t="array" ref="F472">"https://www.google.com/maps/search/?api=1&amp;query=" &amp; A472 &amp; "," &amp; B472</f>
        <v>https://www.google.com/maps/search/?api=1&amp;query=-30.9023417962279,-55.5440935120504</v>
      </c>
      <c r="G472" s="16" t="str">
        <f t="array" ref="G472">"https://earth.google.com/web/search/" &amp; A472 &amp; "," &amp; B472</f>
        <v>https://earth.google.com/web/search/-30.9023417962279,-55.5440935120504</v>
      </c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ht="26.25" customHeight="1">
      <c r="A473" s="17" t="s">
        <v>950</v>
      </c>
      <c r="B473" s="18" t="s">
        <v>951</v>
      </c>
      <c r="C473" s="14">
        <v>1.0</v>
      </c>
      <c r="D473" s="15">
        <v>293.0</v>
      </c>
      <c r="E473" s="15">
        <v>1.0</v>
      </c>
      <c r="F473" s="16" t="str">
        <f t="array" ref="F473">"https://www.google.com/maps/search/?api=1&amp;query=" &amp; A473 &amp; "," &amp; B473</f>
        <v>https://www.google.com/maps/search/?api=1&amp;query=-30.9026982103171,-5.5544743986383</v>
      </c>
      <c r="G473" s="16" t="str">
        <f t="array" ref="G473">"https://earth.google.com/web/search/" &amp; A473 &amp; "," &amp; B473</f>
        <v>https://earth.google.com/web/search/-30.9026982103171,-5.5544743986383</v>
      </c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ht="26.25" customHeight="1">
      <c r="A474" s="17" t="s">
        <v>952</v>
      </c>
      <c r="B474" s="18" t="s">
        <v>953</v>
      </c>
      <c r="C474" s="14">
        <v>1.0</v>
      </c>
      <c r="D474" s="15">
        <v>293.0</v>
      </c>
      <c r="E474" s="15">
        <v>2.0</v>
      </c>
      <c r="F474" s="16" t="str">
        <f t="array" ref="F474">"https://www.google.com/maps/search/?api=1&amp;query=" &amp; A474 &amp; "," &amp; B474</f>
        <v>https://www.google.com/maps/search/?api=1&amp;query=-30.9027198734165,-55.5446667316024</v>
      </c>
      <c r="G474" s="16" t="str">
        <f t="array" ref="G474">"https://earth.google.com/web/search/" &amp; A474 &amp; "," &amp; B474</f>
        <v>https://earth.google.com/web/search/-30.9027198734165,-55.5446667316024</v>
      </c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ht="26.25" customHeight="1">
      <c r="A475" s="17" t="s">
        <v>954</v>
      </c>
      <c r="B475" s="18" t="s">
        <v>955</v>
      </c>
      <c r="C475" s="14">
        <v>1.0</v>
      </c>
      <c r="D475" s="15">
        <v>293.0</v>
      </c>
      <c r="E475" s="15">
        <v>3.0</v>
      </c>
      <c r="F475" s="16" t="str">
        <f t="array" ref="F475">"https://www.google.com/maps/search/?api=1&amp;query=" &amp; A475 &amp; "," &amp; B475</f>
        <v>https://www.google.com/maps/search/?api=1&amp;query=-3.0902763453827,-55.5446079801904</v>
      </c>
      <c r="G475" s="16" t="str">
        <f t="array" ref="G475">"https://earth.google.com/web/search/" &amp; A475 &amp; "," &amp; B475</f>
        <v>https://earth.google.com/web/search/-3.0902763453827,-55.5446079801904</v>
      </c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ht="26.25" customHeight="1">
      <c r="A476" s="17" t="s">
        <v>956</v>
      </c>
      <c r="B476" s="18" t="s">
        <v>957</v>
      </c>
      <c r="C476" s="14">
        <v>1.0</v>
      </c>
      <c r="D476" s="15">
        <v>293.0</v>
      </c>
      <c r="E476" s="15">
        <v>4.0</v>
      </c>
      <c r="F476" s="16" t="str">
        <f t="array" ref="F476">"https://www.google.com/maps/search/?api=1&amp;query=" &amp; A476 &amp; "," &amp; B476</f>
        <v>https://www.google.com/maps/search/?api=1&amp;query=-3.0902349223211,-55.5442005421021</v>
      </c>
      <c r="G476" s="16" t="str">
        <f t="array" ref="G476">"https://earth.google.com/web/search/" &amp; A476 &amp; "," &amp; B476</f>
        <v>https://earth.google.com/web/search/-3.0902349223211,-55.5442005421021</v>
      </c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ht="26.25" customHeight="1">
      <c r="A477" s="17" t="s">
        <v>958</v>
      </c>
      <c r="B477" s="18" t="s">
        <v>959</v>
      </c>
      <c r="C477" s="14">
        <v>1.0</v>
      </c>
      <c r="D477" s="15">
        <v>293.0</v>
      </c>
      <c r="E477" s="15">
        <v>5.0</v>
      </c>
      <c r="F477" s="16" t="str">
        <f t="array" ref="F477">"https://www.google.com/maps/search/?api=1&amp;query=" &amp; A477 &amp; "," &amp; B477</f>
        <v>https://www.google.com/maps/search/?api=1&amp;query=-30.9021901356545,-55.5440993357623</v>
      </c>
      <c r="G477" s="16" t="str">
        <f t="array" ref="G477">"https://earth.google.com/web/search/" &amp; A477 &amp; "," &amp; B477</f>
        <v>https://earth.google.com/web/search/-30.9021901356545,-55.5440993357623</v>
      </c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ht="26.25" customHeight="1">
      <c r="A478" s="17" t="s">
        <v>960</v>
      </c>
      <c r="B478" s="18" t="s">
        <v>961</v>
      </c>
      <c r="C478" s="14">
        <v>1.0</v>
      </c>
      <c r="D478" s="15">
        <v>284.0</v>
      </c>
      <c r="E478" s="15">
        <v>1.0</v>
      </c>
      <c r="F478" s="16" t="str">
        <f t="array" ref="F478">"https://www.google.com/maps/search/?api=1&amp;query=" &amp; A478 &amp; "," &amp; B478</f>
        <v>https://www.google.com/maps/search/?api=1&amp;query=-30.9047594333469,-55.5387665487494</v>
      </c>
      <c r="G478" s="16" t="str">
        <f t="array" ref="G478">"https://earth.google.com/web/search/" &amp; A478 &amp; "," &amp; B478</f>
        <v>https://earth.google.com/web/search/-30.9047594333469,-55.5387665487494</v>
      </c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ht="26.25" customHeight="1">
      <c r="A479" s="17" t="s">
        <v>962</v>
      </c>
      <c r="B479" s="18" t="s">
        <v>963</v>
      </c>
      <c r="C479" s="14">
        <v>1.0</v>
      </c>
      <c r="D479" s="15">
        <v>284.0</v>
      </c>
      <c r="E479" s="15">
        <v>2.0</v>
      </c>
      <c r="F479" s="16" t="str">
        <f t="array" ref="F479">"https://www.google.com/maps/search/?api=1&amp;query=" &amp; A479 &amp; "," &amp; B479</f>
        <v>https://www.google.com/maps/search/?api=1&amp;query=-30.9048718650363,-55.5386133596576</v>
      </c>
      <c r="G479" s="16" t="str">
        <f t="array" ref="G479">"https://earth.google.com/web/search/" &amp; A479 &amp; "," &amp; B479</f>
        <v>https://earth.google.com/web/search/-30.9048718650363,-55.5386133596576</v>
      </c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ht="26.25" customHeight="1">
      <c r="A480" s="17" t="s">
        <v>964</v>
      </c>
      <c r="B480" s="18" t="s">
        <v>965</v>
      </c>
      <c r="C480" s="14">
        <v>1.0</v>
      </c>
      <c r="D480" s="15">
        <v>284.0</v>
      </c>
      <c r="E480" s="15">
        <v>3.0</v>
      </c>
      <c r="F480" s="16" t="str">
        <f t="array" ref="F480">"https://www.google.com/maps/search/?api=1&amp;query=" &amp; A480 &amp; "," &amp; B480</f>
        <v>https://www.google.com/maps/search/?api=1&amp;query=-30.9048877631886,-55.5384739530947</v>
      </c>
      <c r="G480" s="16" t="str">
        <f t="array" ref="G480">"https://earth.google.com/web/search/" &amp; A480 &amp; "," &amp; B480</f>
        <v>https://earth.google.com/web/search/-30.9048877631886,-55.5384739530947</v>
      </c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ht="26.25" customHeight="1">
      <c r="A481" s="17" t="s">
        <v>966</v>
      </c>
      <c r="B481" s="18" t="s">
        <v>967</v>
      </c>
      <c r="C481" s="14">
        <v>1.0</v>
      </c>
      <c r="D481" s="15">
        <v>284.0</v>
      </c>
      <c r="E481" s="15">
        <v>4.0</v>
      </c>
      <c r="F481" s="16" t="str">
        <f t="array" ref="F481">"https://www.google.com/maps/search/?api=1&amp;query=" &amp; A481 &amp; "," &amp; B481</f>
        <v>https://www.google.com/maps/search/?api=1&amp;query=-30.9048198510127,-55.5384180866443</v>
      </c>
      <c r="G481" s="16" t="str">
        <f t="array" ref="G481">"https://earth.google.com/web/search/" &amp; A481 &amp; "," &amp; B481</f>
        <v>https://earth.google.com/web/search/-30.9048198510127,-55.5384180866443</v>
      </c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 ht="26.25" customHeight="1">
      <c r="A482" s="17" t="s">
        <v>968</v>
      </c>
      <c r="B482" s="18" t="s">
        <v>969</v>
      </c>
      <c r="C482" s="14">
        <v>1.0</v>
      </c>
      <c r="D482" s="15">
        <v>284.0</v>
      </c>
      <c r="E482" s="15">
        <v>5.0</v>
      </c>
      <c r="F482" s="16" t="str">
        <f t="array" ref="F482">"https://www.google.com/maps/search/?api=1&amp;query=" &amp; A482 &amp; "," &amp; B482</f>
        <v>https://www.google.com/maps/search/?api=1&amp;query=-30.9045082544073,-55.5382104694265</v>
      </c>
      <c r="G482" s="16" t="str">
        <f t="array" ref="G482">"https://earth.google.com/web/search/" &amp; A482 &amp; "," &amp; B482</f>
        <v>https://earth.google.com/web/search/-30.9045082544073,-55.5382104694265</v>
      </c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ht="26.25" customHeight="1">
      <c r="A483" s="17" t="s">
        <v>970</v>
      </c>
      <c r="B483" s="18" t="s">
        <v>971</v>
      </c>
      <c r="C483" s="14">
        <v>1.0</v>
      </c>
      <c r="D483" s="15">
        <v>284.0</v>
      </c>
      <c r="E483" s="15">
        <v>6.0</v>
      </c>
      <c r="F483" s="16" t="str">
        <f t="array" ref="F483">"https://www.google.com/maps/search/?api=1&amp;query=" &amp; A483 &amp; "," &amp; B483</f>
        <v>https://www.google.com/maps/search/?api=1&amp;query=-3.0904419743296,-55.5381491820805</v>
      </c>
      <c r="G483" s="16" t="str">
        <f t="array" ref="G483">"https://earth.google.com/web/search/" &amp; A483 &amp; "," &amp; B483</f>
        <v>https://earth.google.com/web/search/-3.0904419743296,-55.5381491820805</v>
      </c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 ht="26.25" customHeight="1">
      <c r="A484" s="17" t="s">
        <v>972</v>
      </c>
      <c r="B484" s="18" t="s">
        <v>973</v>
      </c>
      <c r="C484" s="14">
        <v>1.0</v>
      </c>
      <c r="D484" s="15">
        <v>284.0</v>
      </c>
      <c r="E484" s="15">
        <v>7.0</v>
      </c>
      <c r="F484" s="16" t="str">
        <f t="array" ref="F484">"https://www.google.com/maps/search/?api=1&amp;query=" &amp; A484 &amp; "," &amp; B484</f>
        <v>https://www.google.com/maps/search/?api=1&amp;query=-30.9043710895315,-55.5381032049806</v>
      </c>
      <c r="G484" s="16" t="str">
        <f t="array" ref="G484">"https://earth.google.com/web/search/" &amp; A484 &amp; "," &amp; B484</f>
        <v>https://earth.google.com/web/search/-30.9043710895315,-55.5381032049806</v>
      </c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ht="26.25" customHeight="1">
      <c r="A485" s="17" t="s">
        <v>974</v>
      </c>
      <c r="B485" s="18" t="s">
        <v>975</v>
      </c>
      <c r="C485" s="14">
        <v>1.0</v>
      </c>
      <c r="D485" s="15">
        <v>284.0</v>
      </c>
      <c r="E485" s="15">
        <v>8.0</v>
      </c>
      <c r="F485" s="16" t="str">
        <f t="array" ref="F485">"https://www.google.com/maps/search/?api=1&amp;query=" &amp; A485 &amp; "," &amp; B485</f>
        <v>https://www.google.com/maps/search/?api=1&amp;query=-30.9043063964064,-55.5380707180625</v>
      </c>
      <c r="G485" s="16" t="str">
        <f t="array" ref="G485">"https://earth.google.com/web/search/" &amp; A485 &amp; "," &amp; B485</f>
        <v>https://earth.google.com/web/search/-30.9043063964064,-55.5380707180625</v>
      </c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ht="26.25" customHeight="1">
      <c r="A486" s="17" t="s">
        <v>976</v>
      </c>
      <c r="B486" s="18" t="s">
        <v>977</v>
      </c>
      <c r="C486" s="14">
        <v>1.0</v>
      </c>
      <c r="D486" s="15">
        <v>284.0</v>
      </c>
      <c r="E486" s="15">
        <v>9.0</v>
      </c>
      <c r="F486" s="16" t="str">
        <f t="array" ref="F486">"https://www.google.com/maps/search/?api=1&amp;query=" &amp; A486 &amp; "," &amp; B486</f>
        <v>https://www.google.com/maps/search/?api=1&amp;query=-30.9041551190189,-55.5381309769155</v>
      </c>
      <c r="G486" s="16" t="str">
        <f t="array" ref="G486">"https://earth.google.com/web/search/" &amp; A486 &amp; "," &amp; B486</f>
        <v>https://earth.google.com/web/search/-30.9041551190189,-55.5381309769155</v>
      </c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ht="26.25" customHeight="1">
      <c r="A487" s="17" t="s">
        <v>978</v>
      </c>
      <c r="B487" s="18" t="s">
        <v>979</v>
      </c>
      <c r="C487" s="14">
        <v>1.0</v>
      </c>
      <c r="D487" s="15">
        <v>284.0</v>
      </c>
      <c r="E487" s="15">
        <v>10.0</v>
      </c>
      <c r="F487" s="16" t="str">
        <f t="array" ref="F487">"https://www.google.com/maps/search/?api=1&amp;query=" &amp; A487 &amp; "," &amp; B487</f>
        <v>https://www.google.com/maps/search/?api=1&amp;query=-30.9040319285188,-55.5383318802582</v>
      </c>
      <c r="G487" s="16" t="str">
        <f t="array" ref="G487">"https://earth.google.com/web/search/" &amp; A487 &amp; "," &amp; B487</f>
        <v>https://earth.google.com/web/search/-30.9040319285188,-55.5383318802582</v>
      </c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 ht="26.25" customHeight="1">
      <c r="A488" s="17" t="s">
        <v>980</v>
      </c>
      <c r="B488" s="18" t="s">
        <v>981</v>
      </c>
      <c r="C488" s="14">
        <v>1.0</v>
      </c>
      <c r="D488" s="15">
        <v>284.0</v>
      </c>
      <c r="E488" s="15">
        <v>11.0</v>
      </c>
      <c r="F488" s="16" t="str">
        <f t="array" ref="F488">"https://www.google.com/maps/search/?api=1&amp;query=" &amp; A488 &amp; "," &amp; B488</f>
        <v>https://www.google.com/maps/search/?api=1&amp;query=-30.9039823537806,-55.5383717159934</v>
      </c>
      <c r="G488" s="16" t="str">
        <f t="array" ref="G488">"https://earth.google.com/web/search/" &amp; A488 &amp; "," &amp; B488</f>
        <v>https://earth.google.com/web/search/-30.9039823537806,-55.5383717159934</v>
      </c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ht="26.25" customHeight="1">
      <c r="A489" s="17" t="s">
        <v>982</v>
      </c>
      <c r="B489" s="18" t="s">
        <v>983</v>
      </c>
      <c r="C489" s="14">
        <v>1.0</v>
      </c>
      <c r="D489" s="15">
        <v>284.0</v>
      </c>
      <c r="E489" s="15">
        <v>12.0</v>
      </c>
      <c r="F489" s="16" t="str">
        <f t="array" ref="F489">"https://www.google.com/maps/search/?api=1&amp;query=" &amp; A489 &amp; "," &amp; B489</f>
        <v>https://www.google.com/maps/search/?api=1&amp;query=-30.9038678934465,-55.5386231734106</v>
      </c>
      <c r="G489" s="16" t="str">
        <f t="array" ref="G489">"https://earth.google.com/web/search/" &amp; A489 &amp; "," &amp; B489</f>
        <v>https://earth.google.com/web/search/-30.9038678934465,-55.5386231734106</v>
      </c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ht="26.25" customHeight="1">
      <c r="A490" s="17" t="s">
        <v>984</v>
      </c>
      <c r="B490" s="18" t="s">
        <v>985</v>
      </c>
      <c r="C490" s="14">
        <v>1.0</v>
      </c>
      <c r="D490" s="15">
        <v>284.0</v>
      </c>
      <c r="E490" s="15">
        <v>13.0</v>
      </c>
      <c r="F490" s="16" t="str">
        <f t="array" ref="F490">"https://www.google.com/maps/search/?api=1&amp;query=" &amp; A490 &amp; "," &amp; B490</f>
        <v>https://www.google.com/maps/search/?api=1&amp;query=-30.9040380300183,-55.5389867621223</v>
      </c>
      <c r="G490" s="16" t="str">
        <f t="array" ref="G490">"https://earth.google.com/web/search/" &amp; A490 &amp; "," &amp; B490</f>
        <v>https://earth.google.com/web/search/-30.9040380300183,-55.5389867621223</v>
      </c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ht="26.25" customHeight="1">
      <c r="A491" s="17" t="s">
        <v>986</v>
      </c>
      <c r="B491" s="18" t="s">
        <v>987</v>
      </c>
      <c r="C491" s="14">
        <v>1.0</v>
      </c>
      <c r="D491" s="15">
        <v>284.0</v>
      </c>
      <c r="E491" s="15">
        <v>14.0</v>
      </c>
      <c r="F491" s="16" t="str">
        <f t="array" ref="F491">"https://www.google.com/maps/search/?api=1&amp;query=" &amp; A491 &amp; "," &amp; B491</f>
        <v>https://www.google.com/maps/search/?api=1&amp;query=-30.9041533750787,-55.5390872035305</v>
      </c>
      <c r="G491" s="16" t="str">
        <f t="array" ref="G491">"https://earth.google.com/web/search/" &amp; A491 &amp; "," &amp; B491</f>
        <v>https://earth.google.com/web/search/-30.9041533750787,-55.5390872035305</v>
      </c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 ht="26.25" customHeight="1">
      <c r="A492" s="17" t="s">
        <v>988</v>
      </c>
      <c r="B492" s="18" t="s">
        <v>989</v>
      </c>
      <c r="C492" s="14">
        <v>1.0</v>
      </c>
      <c r="D492" s="15">
        <v>284.0</v>
      </c>
      <c r="E492" s="15">
        <v>15.0</v>
      </c>
      <c r="F492" s="16" t="str">
        <f t="array" ref="F492">"https://www.google.com/maps/search/?api=1&amp;query=" &amp; A492 &amp; "," &amp; B492</f>
        <v>https://www.google.com/maps/search/?api=1&amp;query=-30.9042741130955,-55.5391494742533</v>
      </c>
      <c r="G492" s="16" t="str">
        <f t="array" ref="G492">"https://earth.google.com/web/search/" &amp; A492 &amp; "," &amp; B492</f>
        <v>https://earth.google.com/web/search/-30.9042741130955,-55.5391494742533</v>
      </c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ht="26.25" customHeight="1">
      <c r="A493" s="17" t="s">
        <v>990</v>
      </c>
      <c r="B493" s="18" t="s">
        <v>991</v>
      </c>
      <c r="C493" s="14">
        <v>1.0</v>
      </c>
      <c r="D493" s="15">
        <v>284.0</v>
      </c>
      <c r="E493" s="15">
        <v>16.0</v>
      </c>
      <c r="F493" s="16" t="str">
        <f t="array" ref="F493">"https://www.google.com/maps/search/?api=1&amp;query=" &amp; A493 &amp; "," &amp; B493</f>
        <v>https://www.google.com/maps/search/?api=1&amp;query=-30.9043858963054,-55.5392390774177</v>
      </c>
      <c r="G493" s="16" t="str">
        <f t="array" ref="G493">"https://earth.google.com/web/search/" &amp; A493 &amp; "," &amp; B493</f>
        <v>https://earth.google.com/web/search/-30.9043858963054,-55.5392390774177</v>
      </c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 ht="26.25" customHeight="1">
      <c r="A494" s="17" t="s">
        <v>992</v>
      </c>
      <c r="B494" s="18" t="s">
        <v>993</v>
      </c>
      <c r="C494" s="14">
        <v>1.0</v>
      </c>
      <c r="D494" s="15">
        <v>283.0</v>
      </c>
      <c r="E494" s="15">
        <v>1.0</v>
      </c>
      <c r="F494" s="16" t="str">
        <f t="array" ref="F494">"https://www.google.com/maps/search/?api=1&amp;query=" &amp; A494 &amp; "," &amp; B494</f>
        <v>https://www.google.com/maps/search/?api=1&amp;query=-30.9041940719613,-55.5398918653551</v>
      </c>
      <c r="G494" s="16" t="str">
        <f t="array" ref="G494">"https://earth.google.com/web/search/" &amp; A494 &amp; "," &amp; B494</f>
        <v>https://earth.google.com/web/search/-30.9041940719613,-55.5398918653551</v>
      </c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ht="26.25" customHeight="1">
      <c r="A495" s="17" t="s">
        <v>994</v>
      </c>
      <c r="B495" s="18" t="s">
        <v>995</v>
      </c>
      <c r="C495" s="14">
        <v>1.0</v>
      </c>
      <c r="D495" s="15">
        <v>283.0</v>
      </c>
      <c r="E495" s="15">
        <v>2.0</v>
      </c>
      <c r="F495" s="16" t="str">
        <f t="array" ref="F495">"https://www.google.com/maps/search/?api=1&amp;query=" &amp; A495 &amp; "," &amp; B495</f>
        <v>https://www.google.com/maps/search/?api=1&amp;query=-30.9043480880134,-55.5395820929481</v>
      </c>
      <c r="G495" s="16" t="str">
        <f t="array" ref="G495">"https://earth.google.com/web/search/" &amp; A495 &amp; "," &amp; B495</f>
        <v>https://earth.google.com/web/search/-30.9043480880134,-55.5395820929481</v>
      </c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 ht="26.25" customHeight="1">
      <c r="A496" s="17" t="s">
        <v>996</v>
      </c>
      <c r="B496" s="18" t="s">
        <v>997</v>
      </c>
      <c r="C496" s="14">
        <v>1.0</v>
      </c>
      <c r="D496" s="15">
        <v>283.0</v>
      </c>
      <c r="E496" s="15">
        <v>3.0</v>
      </c>
      <c r="F496" s="16" t="str">
        <f t="array" ref="F496">"https://www.google.com/maps/search/?api=1&amp;query=" &amp; A496 &amp; "," &amp; B496</f>
        <v>https://www.google.com/maps/search/?api=1&amp;query=-30.9042555582107,-5.5539253114277</v>
      </c>
      <c r="G496" s="16" t="str">
        <f t="array" ref="G496">"https://earth.google.com/web/search/" &amp; A496 &amp; "," &amp; B496</f>
        <v>https://earth.google.com/web/search/-30.9042555582107,-5.5539253114277</v>
      </c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ht="26.25" customHeight="1">
      <c r="A497" s="17" t="s">
        <v>998</v>
      </c>
      <c r="B497" s="18" t="s">
        <v>999</v>
      </c>
      <c r="C497" s="14">
        <v>1.0</v>
      </c>
      <c r="D497" s="15">
        <v>283.0</v>
      </c>
      <c r="E497" s="15">
        <v>4.0</v>
      </c>
      <c r="F497" s="16" t="str">
        <f t="array" ref="F497">"https://www.google.com/maps/search/?api=1&amp;query=" &amp; A497 &amp; "," &amp; B497</f>
        <v>https://www.google.com/maps/search/?api=1&amp;query=-30.9040474449771,-55.5391014673086</v>
      </c>
      <c r="G497" s="16" t="str">
        <f t="array" ref="G497">"https://earth.google.com/web/search/" &amp; A497 &amp; "," &amp; B497</f>
        <v>https://earth.google.com/web/search/-30.9040474449771,-55.5391014673086</v>
      </c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ht="26.25" customHeight="1">
      <c r="A498" s="17" t="s">
        <v>1000</v>
      </c>
      <c r="B498" s="18" t="s">
        <v>1001</v>
      </c>
      <c r="C498" s="14">
        <v>1.0</v>
      </c>
      <c r="D498" s="15">
        <v>283.0</v>
      </c>
      <c r="E498" s="15">
        <v>5.0</v>
      </c>
      <c r="F498" s="16" t="str">
        <f t="array" ref="F498">"https://www.google.com/maps/search/?api=1&amp;query=" &amp; A498 &amp; "," &amp; B498</f>
        <v>https://www.google.com/maps/search/?api=1&amp;query=-30.9039146088045,-55.5390026370184</v>
      </c>
      <c r="G498" s="16" t="str">
        <f t="array" ref="G498">"https://earth.google.com/web/search/" &amp; A498 &amp; "," &amp; B498</f>
        <v>https://earth.google.com/web/search/-30.9039146088045,-55.5390026370184</v>
      </c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ht="26.25" customHeight="1">
      <c r="A499" s="17" t="s">
        <v>1002</v>
      </c>
      <c r="B499" s="18" t="s">
        <v>1003</v>
      </c>
      <c r="C499" s="14">
        <v>1.0</v>
      </c>
      <c r="D499" s="15">
        <v>283.0</v>
      </c>
      <c r="E499" s="15">
        <v>6.0</v>
      </c>
      <c r="F499" s="16" t="str">
        <f t="array" ref="F499">"https://www.google.com/maps/search/?api=1&amp;query=" &amp; A499 &amp; "," &amp; B499</f>
        <v>https://www.google.com/maps/search/?api=1&amp;query=-30.9034256259568,-5.5539484302353</v>
      </c>
      <c r="G499" s="16" t="str">
        <f t="array" ref="G499">"https://earth.google.com/web/search/" &amp; A499 &amp; "," &amp; B499</f>
        <v>https://earth.google.com/web/search/-30.9034256259568,-5.5539484302353</v>
      </c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ht="26.25" customHeight="1">
      <c r="A500" s="17" t="s">
        <v>1004</v>
      </c>
      <c r="B500" s="18" t="s">
        <v>1005</v>
      </c>
      <c r="C500" s="14">
        <v>1.0</v>
      </c>
      <c r="D500" s="15">
        <v>283.0</v>
      </c>
      <c r="E500" s="15">
        <v>7.0</v>
      </c>
      <c r="F500" s="16" t="str">
        <f t="array" ref="F500">"https://www.google.com/maps/search/?api=1&amp;query=" &amp; A500 &amp; "," &amp; B500</f>
        <v>https://www.google.com/maps/search/?api=1&amp;query=-30.9033477135695,-55.5396472506684</v>
      </c>
      <c r="G500" s="16" t="str">
        <f t="array" ref="G500">"https://earth.google.com/web/search/" &amp; A500 &amp; "," &amp; B500</f>
        <v>https://earth.google.com/web/search/-30.9033477135695,-55.5396472506684</v>
      </c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ht="26.25" customHeight="1">
      <c r="A501" s="17" t="s">
        <v>1006</v>
      </c>
      <c r="B501" s="18" t="s">
        <v>1007</v>
      </c>
      <c r="C501" s="14">
        <v>1.0</v>
      </c>
      <c r="D501" s="15">
        <v>283.0</v>
      </c>
      <c r="E501" s="15">
        <v>8.0</v>
      </c>
      <c r="F501" s="16" t="str">
        <f t="array" ref="F501">"https://www.google.com/maps/search/?api=1&amp;query=" &amp; A501 &amp; "," &amp; B501</f>
        <v>https://www.google.com/maps/search/?api=1&amp;query=-30.9033977785875,-55.5397947826143</v>
      </c>
      <c r="G501" s="16" t="str">
        <f t="array" ref="G501">"https://earth.google.com/web/search/" &amp; A501 &amp; "," &amp; B501</f>
        <v>https://earth.google.com/web/search/-30.9033977785875,-55.5397947826143</v>
      </c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ht="26.25" customHeight="1">
      <c r="A502" s="17" t="s">
        <v>1008</v>
      </c>
      <c r="B502" s="18" t="s">
        <v>1009</v>
      </c>
      <c r="C502" s="14">
        <v>1.0</v>
      </c>
      <c r="D502" s="15">
        <v>283.0</v>
      </c>
      <c r="E502" s="15">
        <v>9.0</v>
      </c>
      <c r="F502" s="16" t="str">
        <f t="array" ref="F502">"https://www.google.com/maps/search/?api=1&amp;query=" &amp; A502 &amp; "," &amp; B502</f>
        <v>https://www.google.com/maps/search/?api=1&amp;query=-30.9035298570783,-55.5398647275713</v>
      </c>
      <c r="G502" s="16" t="str">
        <f t="array" ref="G502">"https://earth.google.com/web/search/" &amp; A502 &amp; "," &amp; B502</f>
        <v>https://earth.google.com/web/search/-30.9035298570783,-55.5398647275713</v>
      </c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ht="26.25" customHeight="1">
      <c r="A503" s="17" t="s">
        <v>1010</v>
      </c>
      <c r="B503" s="18" t="s">
        <v>1011</v>
      </c>
      <c r="C503" s="14">
        <v>1.0</v>
      </c>
      <c r="D503" s="15">
        <v>283.0</v>
      </c>
      <c r="E503" s="15">
        <v>10.0</v>
      </c>
      <c r="F503" s="16" t="str">
        <f t="array" ref="F503">"https://www.google.com/maps/search/?api=1&amp;query=" &amp; A503 &amp; "," &amp; B503</f>
        <v>https://www.google.com/maps/search/?api=1&amp;query=-30.9036922170269,-55.5400048831511</v>
      </c>
      <c r="G503" s="16" t="str">
        <f t="array" ref="G503">"https://earth.google.com/web/search/" &amp; A503 &amp; "," &amp; B503</f>
        <v>https://earth.google.com/web/search/-30.9036922170269,-55.5400048831511</v>
      </c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ht="26.25" customHeight="1">
      <c r="A504" s="17" t="s">
        <v>1012</v>
      </c>
      <c r="B504" s="18" t="s">
        <v>1013</v>
      </c>
      <c r="C504" s="14">
        <v>1.0</v>
      </c>
      <c r="D504" s="15">
        <v>283.0</v>
      </c>
      <c r="E504" s="15">
        <v>11.0</v>
      </c>
      <c r="F504" s="16" t="str">
        <f t="array" ref="F504">"https://www.google.com/maps/search/?api=1&amp;query=" &amp; A504 &amp; "," &amp; B504</f>
        <v>https://www.google.com/maps/search/?api=1&amp;query=-30.9037687144042,-55.5400540231878</v>
      </c>
      <c r="G504" s="16" t="str">
        <f t="array" ref="G504">"https://earth.google.com/web/search/" &amp; A504 &amp; "," &amp; B504</f>
        <v>https://earth.google.com/web/search/-30.9037687144042,-55.5400540231878</v>
      </c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ht="26.25" customHeight="1">
      <c r="A505" s="17" t="s">
        <v>1014</v>
      </c>
      <c r="B505" s="18" t="s">
        <v>1015</v>
      </c>
      <c r="C505" s="14">
        <v>1.0</v>
      </c>
      <c r="D505" s="15">
        <v>283.0</v>
      </c>
      <c r="E505" s="15">
        <v>12.0</v>
      </c>
      <c r="F505" s="16" t="str">
        <f t="array" ref="F505">"https://www.google.com/maps/search/?api=1&amp;query=" &amp; A505 &amp; "," &amp; B505</f>
        <v>https://www.google.com/maps/search/?api=1&amp;query=-30.9039722632113,-55.5401894585791</v>
      </c>
      <c r="G505" s="16" t="str">
        <f t="array" ref="G505">"https://earth.google.com/web/search/" &amp; A505 &amp; "," &amp; B505</f>
        <v>https://earth.google.com/web/search/-30.9039722632113,-55.5401894585791</v>
      </c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ht="26.25" customHeight="1">
      <c r="A506" s="17" t="s">
        <v>1016</v>
      </c>
      <c r="B506" s="18" t="s">
        <v>1017</v>
      </c>
      <c r="C506" s="14">
        <v>1.0</v>
      </c>
      <c r="D506" s="15">
        <v>282.0</v>
      </c>
      <c r="E506" s="15">
        <v>1.0</v>
      </c>
      <c r="F506" s="16" t="str">
        <f t="array" ref="F506">"https://www.google.com/maps/search/?api=1&amp;query=" &amp; A506 &amp; "," &amp; B506</f>
        <v>https://www.google.com/maps/search/?api=1&amp;query=-30.9035755751228,-55.5410598382624</v>
      </c>
      <c r="G506" s="16" t="str">
        <f t="array" ref="G506">"https://earth.google.com/web/search/" &amp; A506 &amp; "," &amp; B506</f>
        <v>https://earth.google.com/web/search/-30.9035755751228,-55.5410598382624</v>
      </c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ht="26.25" customHeight="1">
      <c r="A507" s="17" t="s">
        <v>1018</v>
      </c>
      <c r="B507" s="18" t="s">
        <v>1019</v>
      </c>
      <c r="C507" s="14">
        <v>1.0</v>
      </c>
      <c r="D507" s="15">
        <v>282.0</v>
      </c>
      <c r="E507" s="15">
        <v>2.0</v>
      </c>
      <c r="F507" s="16" t="str">
        <f t="array" ref="F507">"https://www.google.com/maps/search/?api=1&amp;query=" &amp; A507 &amp; "," &amp; B507</f>
        <v>https://www.google.com/maps/search/?api=1&amp;query=-30.9036796872359,-55.5408434672363</v>
      </c>
      <c r="G507" s="16" t="str">
        <f t="array" ref="G507">"https://earth.google.com/web/search/" &amp; A507 &amp; "," &amp; B507</f>
        <v>https://earth.google.com/web/search/-30.9036796872359,-55.5408434672363</v>
      </c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ht="26.25" customHeight="1">
      <c r="A508" s="17" t="s">
        <v>1020</v>
      </c>
      <c r="B508" s="18" t="s">
        <v>1021</v>
      </c>
      <c r="C508" s="14">
        <v>1.0</v>
      </c>
      <c r="D508" s="15">
        <v>282.0</v>
      </c>
      <c r="E508" s="15">
        <v>3.0</v>
      </c>
      <c r="F508" s="16" t="str">
        <f t="array" ref="F508">"https://www.google.com/maps/search/?api=1&amp;query=" &amp; A508 &amp; "," &amp; B508</f>
        <v>https://www.google.com/maps/search/?api=1&amp;query=-3.0903733406014,-5.5540761634766</v>
      </c>
      <c r="G508" s="16" t="str">
        <f t="array" ref="G508">"https://earth.google.com/web/search/" &amp; A508 &amp; "," &amp; B508</f>
        <v>https://earth.google.com/web/search/-3.0903733406014,-5.5540761634766</v>
      </c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ht="26.25" customHeight="1">
      <c r="A509" s="17" t="s">
        <v>1022</v>
      </c>
      <c r="B509" s="18" t="s">
        <v>1023</v>
      </c>
      <c r="C509" s="14">
        <v>1.0</v>
      </c>
      <c r="D509" s="15">
        <v>282.0</v>
      </c>
      <c r="E509" s="15">
        <v>4.0</v>
      </c>
      <c r="F509" s="16" t="str">
        <f t="array" ref="F509">"https://www.google.com/maps/search/?api=1&amp;query=" &amp; A509 &amp; "," &amp; B509</f>
        <v>https://www.google.com/maps/search/?api=1&amp;query=-3.0903801809394,-55.5406105990454</v>
      </c>
      <c r="G509" s="16" t="str">
        <f t="array" ref="G509">"https://earth.google.com/web/search/" &amp; A509 &amp; "," &amp; B509</f>
        <v>https://earth.google.com/web/search/-3.0903801809394,-55.5406105990454</v>
      </c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ht="26.25" customHeight="1">
      <c r="A510" s="17" t="s">
        <v>1024</v>
      </c>
      <c r="B510" s="18" t="s">
        <v>1025</v>
      </c>
      <c r="C510" s="14">
        <v>1.0</v>
      </c>
      <c r="D510" s="15">
        <v>282.0</v>
      </c>
      <c r="E510" s="15">
        <v>5.0</v>
      </c>
      <c r="F510" s="16" t="str">
        <f t="array" ref="F510">"https://www.google.com/maps/search/?api=1&amp;query=" &amp; A510 &amp; "," &amp; B510</f>
        <v>https://www.google.com/maps/search/?api=1&amp;query=-3.0903736928207,-55.5401578234296</v>
      </c>
      <c r="G510" s="16" t="str">
        <f t="array" ref="G510">"https://earth.google.com/web/search/" &amp; A510 &amp; "," &amp; B510</f>
        <v>https://earth.google.com/web/search/-3.0903736928207,-55.5401578234296</v>
      </c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ht="26.25" customHeight="1">
      <c r="A511" s="17" t="s">
        <v>1026</v>
      </c>
      <c r="B511" s="18" t="s">
        <v>1027</v>
      </c>
      <c r="C511" s="14">
        <v>1.0</v>
      </c>
      <c r="D511" s="15">
        <v>282.0</v>
      </c>
      <c r="E511" s="15">
        <v>6.0</v>
      </c>
      <c r="F511" s="16" t="str">
        <f t="array" ref="F511">"https://www.google.com/maps/search/?api=1&amp;query=" &amp; A511 &amp; "," &amp; B511</f>
        <v>https://www.google.com/maps/search/?api=1&amp;query=-30.9035803907235,-55.5400592483037</v>
      </c>
      <c r="G511" s="16" t="str">
        <f t="array" ref="G511">"https://earth.google.com/web/search/" &amp; A511 &amp; "," &amp; B511</f>
        <v>https://earth.google.com/web/search/-30.9035803907235,-55.5400592483037</v>
      </c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ht="26.25" customHeight="1">
      <c r="A512" s="17" t="s">
        <v>1028</v>
      </c>
      <c r="B512" s="18" t="s">
        <v>1029</v>
      </c>
      <c r="C512" s="14">
        <v>1.0</v>
      </c>
      <c r="D512" s="15">
        <v>282.0</v>
      </c>
      <c r="E512" s="15">
        <v>7.0</v>
      </c>
      <c r="F512" s="16" t="str">
        <f t="array" ref="F512">"https://www.google.com/maps/search/?api=1&amp;query=" &amp; A512 &amp; "," &amp; B512</f>
        <v>https://www.google.com/maps/search/?api=1&amp;query=-30.9034730285332,-55.5399916402168</v>
      </c>
      <c r="G512" s="16" t="str">
        <f t="array" ref="G512">"https://earth.google.com/web/search/" &amp; A512 &amp; "," &amp; B512</f>
        <v>https://earth.google.com/web/search/-30.9034730285332,-55.5399916402168</v>
      </c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ht="26.25" customHeight="1">
      <c r="A513" s="17" t="s">
        <v>1030</v>
      </c>
      <c r="B513" s="18" t="s">
        <v>1031</v>
      </c>
      <c r="C513" s="14">
        <v>1.0</v>
      </c>
      <c r="D513" s="15">
        <v>282.0</v>
      </c>
      <c r="E513" s="15">
        <v>8.0</v>
      </c>
      <c r="F513" s="16" t="str">
        <f t="array" ref="F513">"https://www.google.com/maps/search/?api=1&amp;query=" &amp; A513 &amp; "," &amp; B513</f>
        <v>https://www.google.com/maps/search/?api=1&amp;query=-30.9033373521162,-55.5398665485639</v>
      </c>
      <c r="G513" s="16" t="str">
        <f t="array" ref="G513">"https://earth.google.com/web/search/" &amp; A513 &amp; "," &amp; B513</f>
        <v>https://earth.google.com/web/search/-30.9033373521162,-55.5398665485639</v>
      </c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 ht="26.25" customHeight="1">
      <c r="A514" s="17" t="s">
        <v>1032</v>
      </c>
      <c r="B514" s="18" t="s">
        <v>1033</v>
      </c>
      <c r="C514" s="14">
        <v>1.0</v>
      </c>
      <c r="D514" s="15">
        <v>282.0</v>
      </c>
      <c r="E514" s="15">
        <v>9.0</v>
      </c>
      <c r="F514" s="16" t="str">
        <f t="array" ref="F514">"https://www.google.com/maps/search/?api=1&amp;query=" &amp; A514 &amp; "," &amp; B514</f>
        <v>https://www.google.com/maps/search/?api=1&amp;query=-30.9030761279584,-55.5401325484633</v>
      </c>
      <c r="G514" s="16" t="str">
        <f t="array" ref="G514">"https://earth.google.com/web/search/" &amp; A514 &amp; "," &amp; B514</f>
        <v>https://earth.google.com/web/search/-30.9030761279584,-55.5401325484633</v>
      </c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ht="26.25" customHeight="1">
      <c r="A515" s="17" t="s">
        <v>1034</v>
      </c>
      <c r="B515" s="18" t="s">
        <v>1035</v>
      </c>
      <c r="C515" s="14">
        <v>1.0</v>
      </c>
      <c r="D515" s="15">
        <v>282.0</v>
      </c>
      <c r="E515" s="15">
        <v>10.0</v>
      </c>
      <c r="F515" s="16" t="str">
        <f t="array" ref="F515">"https://www.google.com/maps/search/?api=1&amp;query=" &amp; A515 &amp; "," &amp; B515</f>
        <v>https://www.google.com/maps/search/?api=1&amp;query=-30.9030398260381,-55.5407958025151</v>
      </c>
      <c r="G515" s="16" t="str">
        <f t="array" ref="G515">"https://earth.google.com/web/search/" &amp; A515 &amp; "," &amp; B515</f>
        <v>https://earth.google.com/web/search/-30.9030398260381,-55.5407958025151</v>
      </c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ht="26.25" customHeight="1">
      <c r="A516" s="17" t="s">
        <v>1036</v>
      </c>
      <c r="B516" s="18" t="s">
        <v>1037</v>
      </c>
      <c r="C516" s="14">
        <v>1.0</v>
      </c>
      <c r="D516" s="15">
        <v>282.0</v>
      </c>
      <c r="E516" s="15">
        <v>11.0</v>
      </c>
      <c r="F516" s="16" t="str">
        <f t="array" ref="F516">"https://www.google.com/maps/search/?api=1&amp;query=" &amp; A516 &amp; "," &amp; B516</f>
        <v>https://www.google.com/maps/search/?api=1&amp;query=-30.9031159196487,-5.5540841985577</v>
      </c>
      <c r="G516" s="16" t="str">
        <f t="array" ref="G516">"https://earth.google.com/web/search/" &amp; A516 &amp; "," &amp; B516</f>
        <v>https://earth.google.com/web/search/-30.9031159196487,-5.5540841985577</v>
      </c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ht="26.25" customHeight="1">
      <c r="A517" s="17" t="s">
        <v>1038</v>
      </c>
      <c r="B517" s="18" t="s">
        <v>1039</v>
      </c>
      <c r="C517" s="14">
        <v>1.0</v>
      </c>
      <c r="D517" s="15">
        <v>282.0</v>
      </c>
      <c r="E517" s="15">
        <v>12.0</v>
      </c>
      <c r="F517" s="16" t="str">
        <f t="array" ref="F517">"https://www.google.com/maps/search/?api=1&amp;query=" &amp; A517 &amp; "," &amp; B517</f>
        <v>https://www.google.com/maps/search/?api=1&amp;query=-30.9033527559365,-55.5410217249092</v>
      </c>
      <c r="G517" s="16" t="str">
        <f t="array" ref="G517">"https://earth.google.com/web/search/" &amp; A517 &amp; "," &amp; B517</f>
        <v>https://earth.google.com/web/search/-30.9033527559365,-55.5410217249092</v>
      </c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ht="26.25" customHeight="1">
      <c r="A518" s="17" t="s">
        <v>1040</v>
      </c>
      <c r="B518" s="18" t="s">
        <v>1041</v>
      </c>
      <c r="C518" s="14">
        <v>1.0</v>
      </c>
      <c r="D518" s="15">
        <v>282.0</v>
      </c>
      <c r="E518" s="15">
        <v>13.0</v>
      </c>
      <c r="F518" s="16" t="str">
        <f t="array" ref="F518">"https://www.google.com/maps/search/?api=1&amp;query=" &amp; A518 &amp; "," &amp; B518</f>
        <v>https://www.google.com/maps/search/?api=1&amp;query=-30.9034768957778,-55.5411030071081</v>
      </c>
      <c r="G518" s="16" t="str">
        <f t="array" ref="G518">"https://earth.google.com/web/search/" &amp; A518 &amp; "," &amp; B518</f>
        <v>https://earth.google.com/web/search/-30.9034768957778,-55.5411030071081</v>
      </c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 ht="26.25" customHeight="1">
      <c r="A519" s="17" t="s">
        <v>1042</v>
      </c>
      <c r="B519" s="18" t="s">
        <v>1043</v>
      </c>
      <c r="C519" s="14">
        <v>1.0</v>
      </c>
      <c r="D519" s="15">
        <v>281.0</v>
      </c>
      <c r="E519" s="15">
        <v>1.0</v>
      </c>
      <c r="F519" s="16" t="str">
        <f t="array" ref="F519">"https://www.google.com/maps/search/?api=1&amp;query=" &amp; A519 &amp; "," &amp; B519</f>
        <v>https://www.google.com/maps/search/?api=1&amp;query=-30.9030728655791,-55.5419475704084</v>
      </c>
      <c r="G519" s="16" t="str">
        <f t="array" ref="G519">"https://earth.google.com/web/search/" &amp; A519 &amp; "," &amp; B519</f>
        <v>https://earth.google.com/web/search/-30.9030728655791,-55.5419475704084</v>
      </c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 ht="26.25" customHeight="1">
      <c r="A520" s="17" t="s">
        <v>1044</v>
      </c>
      <c r="B520" s="18" t="s">
        <v>1045</v>
      </c>
      <c r="C520" s="14">
        <v>1.0</v>
      </c>
      <c r="D520" s="15">
        <v>281.0</v>
      </c>
      <c r="E520" s="15">
        <v>2.0</v>
      </c>
      <c r="F520" s="16" t="str">
        <f t="array" ref="F520">"https://www.google.com/maps/search/?api=1&amp;query=" &amp; A520 &amp; "," &amp; B520</f>
        <v>https://www.google.com/maps/search/?api=1&amp;query=-30.9031426499662,-55.5418565518897</v>
      </c>
      <c r="G520" s="16" t="str">
        <f t="array" ref="G520">"https://earth.google.com/web/search/" &amp; A520 &amp; "," &amp; B520</f>
        <v>https://earth.google.com/web/search/-30.9031426499662,-55.5418565518897</v>
      </c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ht="26.25" customHeight="1">
      <c r="A521" s="17" t="s">
        <v>1046</v>
      </c>
      <c r="B521" s="18" t="s">
        <v>1047</v>
      </c>
      <c r="C521" s="14">
        <v>1.0</v>
      </c>
      <c r="D521" s="15">
        <v>281.0</v>
      </c>
      <c r="E521" s="15">
        <v>3.0</v>
      </c>
      <c r="F521" s="16" t="str">
        <f t="array" ref="F521">"https://www.google.com/maps/search/?api=1&amp;query=" &amp; A521 &amp; "," &amp; B521</f>
        <v>https://www.google.com/maps/search/?api=1&amp;query=-30.9031820468896,-55.5417755167017</v>
      </c>
      <c r="G521" s="16" t="str">
        <f t="array" ref="G521">"https://earth.google.com/web/search/" &amp; A521 &amp; "," &amp; B521</f>
        <v>https://earth.google.com/web/search/-30.9031820468896,-55.5417755167017</v>
      </c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 ht="26.25" customHeight="1">
      <c r="A522" s="17" t="s">
        <v>1048</v>
      </c>
      <c r="B522" s="18" t="s">
        <v>1049</v>
      </c>
      <c r="C522" s="14">
        <v>1.0</v>
      </c>
      <c r="D522" s="15">
        <v>281.0</v>
      </c>
      <c r="E522" s="15">
        <v>4.0</v>
      </c>
      <c r="F522" s="16" t="str">
        <f t="array" ref="F522">"https://www.google.com/maps/search/?api=1&amp;query=" &amp; A522 &amp; "," &amp; B522</f>
        <v>https://www.google.com/maps/search/?api=1&amp;query=-30.9032298258693,-5.5541680054566</v>
      </c>
      <c r="G522" s="16" t="str">
        <f t="array" ref="G522">"https://earth.google.com/web/search/" &amp; A522 &amp; "," &amp; B522</f>
        <v>https://earth.google.com/web/search/-30.9032298258693,-5.5541680054566</v>
      </c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ht="26.25" customHeight="1">
      <c r="A523" s="17" t="s">
        <v>1050</v>
      </c>
      <c r="B523" s="18" t="s">
        <v>1051</v>
      </c>
      <c r="C523" s="14">
        <v>1.0</v>
      </c>
      <c r="D523" s="15">
        <v>281.0</v>
      </c>
      <c r="E523" s="15">
        <v>5.0</v>
      </c>
      <c r="F523" s="16" t="str">
        <f t="array" ref="F523">"https://www.google.com/maps/search/?api=1&amp;query=" &amp; A523 &amp; "," &amp; B523</f>
        <v>https://www.google.com/maps/search/?api=1&amp;query=-30.9032810242142,-55.5416237848488</v>
      </c>
      <c r="G523" s="16" t="str">
        <f t="array" ref="G523">"https://earth.google.com/web/search/" &amp; A523 &amp; "," &amp; B523</f>
        <v>https://earth.google.com/web/search/-30.9032810242142,-55.5416237848488</v>
      </c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 ht="26.25" customHeight="1">
      <c r="A524" s="17" t="s">
        <v>1052</v>
      </c>
      <c r="B524" s="18" t="s">
        <v>1053</v>
      </c>
      <c r="C524" s="14">
        <v>1.0</v>
      </c>
      <c r="D524" s="15">
        <v>281.0</v>
      </c>
      <c r="E524" s="15">
        <v>6.0</v>
      </c>
      <c r="F524" s="16" t="str">
        <f t="array" ref="F524">"https://www.google.com/maps/search/?api=1&amp;query=" &amp; A524 &amp; "," &amp; B524</f>
        <v>https://www.google.com/maps/search/?api=1&amp;query=-3.0903307677808,-55.5415318356761</v>
      </c>
      <c r="G524" s="16" t="str">
        <f t="array" ref="G524">"https://earth.google.com/web/search/" &amp; A524 &amp; "," &amp; B524</f>
        <v>https://earth.google.com/web/search/-3.0903307677808,-55.5415318356761</v>
      </c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 ht="26.25" customHeight="1">
      <c r="A525" s="17" t="s">
        <v>1054</v>
      </c>
      <c r="B525" s="18" t="s">
        <v>1055</v>
      </c>
      <c r="C525" s="14">
        <v>1.0</v>
      </c>
      <c r="D525" s="15">
        <v>281.0</v>
      </c>
      <c r="E525" s="15">
        <v>6.0</v>
      </c>
      <c r="F525" s="16" t="str">
        <f t="array" ref="F525">"https://www.google.com/maps/search/?api=1&amp;query=" &amp; A525 &amp; "," &amp; B525</f>
        <v>https://www.google.com/maps/search/?api=1&amp;query=-30.9033918459076,-55.5413866578831</v>
      </c>
      <c r="G525" s="16" t="str">
        <f t="array" ref="G525">"https://earth.google.com/web/search/" &amp; A525 &amp; "," &amp; B525</f>
        <v>https://earth.google.com/web/search/-30.9033918459076,-55.5413866578831</v>
      </c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 ht="26.25" customHeight="1">
      <c r="A526" s="17" t="s">
        <v>1056</v>
      </c>
      <c r="B526" s="18" t="s">
        <v>1057</v>
      </c>
      <c r="C526" s="14">
        <v>1.0</v>
      </c>
      <c r="D526" s="15">
        <v>281.0</v>
      </c>
      <c r="E526" s="15">
        <v>7.0</v>
      </c>
      <c r="F526" s="16" t="str">
        <f t="array" ref="F526">"https://www.google.com/maps/search/?api=1&amp;query=" &amp; A526 &amp; "," &amp; B526</f>
        <v>https://www.google.com/maps/search/?api=1&amp;query=-30.9028890138837,-55.5407855688435</v>
      </c>
      <c r="G526" s="16" t="str">
        <f t="array" ref="G526">"https://earth.google.com/web/search/" &amp; A526 &amp; "," &amp; B526</f>
        <v>https://earth.google.com/web/search/-30.9028890138837,-55.5407855688435</v>
      </c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ht="26.25" customHeight="1">
      <c r="A527" s="17" t="s">
        <v>1058</v>
      </c>
      <c r="B527" s="18" t="s">
        <v>1059</v>
      </c>
      <c r="C527" s="14">
        <v>1.0</v>
      </c>
      <c r="D527" s="15">
        <v>281.0</v>
      </c>
      <c r="E527" s="15">
        <v>8.0</v>
      </c>
      <c r="F527" s="16" t="str">
        <f t="array" ref="F527">"https://www.google.com/maps/search/?api=1&amp;query=" &amp; A527 &amp; "," &amp; B527</f>
        <v>https://www.google.com/maps/search/?api=1&amp;query=-30.9024886128444,-55.5412601598113</v>
      </c>
      <c r="G527" s="16" t="str">
        <f t="array" ref="G527">"https://earth.google.com/web/search/" &amp; A527 &amp; "," &amp; B527</f>
        <v>https://earth.google.com/web/search/-30.9024886128444,-55.5412601598113</v>
      </c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 ht="26.25" customHeight="1">
      <c r="A528" s="17" t="s">
        <v>1060</v>
      </c>
      <c r="B528" s="18" t="s">
        <v>1061</v>
      </c>
      <c r="C528" s="14">
        <v>1.0</v>
      </c>
      <c r="D528" s="15">
        <v>271.0</v>
      </c>
      <c r="E528" s="15">
        <v>9.0</v>
      </c>
      <c r="F528" s="16" t="str">
        <f t="array" ref="F528">"https://www.google.com/maps/search/?api=1&amp;query=" &amp; A528 &amp; "," &amp; B528</f>
        <v>https://www.google.com/maps/search/?api=1&amp;query=-30.9023820440549,-5.5541580003238</v>
      </c>
      <c r="G528" s="16" t="str">
        <f t="array" ref="G528">"https://earth.google.com/web/search/" &amp; A528 &amp; "," &amp; B528</f>
        <v>https://earth.google.com/web/search/-30.9023820440549,-5.5541580003238</v>
      </c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ht="26.25" customHeight="1">
      <c r="A529" s="17" t="s">
        <v>1062</v>
      </c>
      <c r="B529" s="18" t="s">
        <v>1063</v>
      </c>
      <c r="C529" s="14">
        <v>1.0</v>
      </c>
      <c r="D529" s="15">
        <v>281.0</v>
      </c>
      <c r="E529" s="15">
        <v>10.0</v>
      </c>
      <c r="F529" s="16" t="str">
        <f t="array" ref="F529">"https://www.google.com/maps/search/?api=1&amp;query=" &amp; A529 &amp; "," &amp; B529</f>
        <v>https://www.google.com/maps/search/?api=1&amp;query=-30.9024629296681,-55.5416283402638</v>
      </c>
      <c r="G529" s="16" t="str">
        <f t="array" ref="G529">"https://earth.google.com/web/search/" &amp; A529 &amp; "," &amp; B529</f>
        <v>https://earth.google.com/web/search/-30.9024629296681,-55.5416283402638</v>
      </c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ht="26.25" customHeight="1">
      <c r="A530" s="17" t="s">
        <v>1064</v>
      </c>
      <c r="B530" s="18" t="s">
        <v>1065</v>
      </c>
      <c r="C530" s="14">
        <v>1.0</v>
      </c>
      <c r="D530" s="15">
        <v>281.0</v>
      </c>
      <c r="E530" s="15">
        <v>11.0</v>
      </c>
      <c r="F530" s="16" t="str">
        <f t="array" ref="F530">"https://www.google.com/maps/search/?api=1&amp;query=" &amp; A530 &amp; "," &amp; B530</f>
        <v>https://www.google.com/maps/search/?api=1&amp;query=-30.9026224252644,-55.5417533400068</v>
      </c>
      <c r="G530" s="16" t="str">
        <f t="array" ref="G530">"https://earth.google.com/web/search/" &amp; A530 &amp; "," &amp; B530</f>
        <v>https://earth.google.com/web/search/-30.9026224252644,-55.5417533400068</v>
      </c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ht="26.25" customHeight="1">
      <c r="A531" s="17" t="s">
        <v>1066</v>
      </c>
      <c r="B531" s="18" t="s">
        <v>1067</v>
      </c>
      <c r="C531" s="14">
        <v>1.0</v>
      </c>
      <c r="D531" s="15">
        <v>281.0</v>
      </c>
      <c r="E531" s="15">
        <v>12.0</v>
      </c>
      <c r="F531" s="16" t="str">
        <f t="array" ref="F531">"https://www.google.com/maps/search/?api=1&amp;query=" &amp; A531 &amp; "," &amp; B531</f>
        <v>https://www.google.com/maps/search/?api=1&amp;query=-3.0902744836358,-55.5418501485526</v>
      </c>
      <c r="G531" s="16" t="str">
        <f t="array" ref="G531">"https://earth.google.com/web/search/" &amp; A531 &amp; "," &amp; B531</f>
        <v>https://earth.google.com/web/search/-3.0902744836358,-55.5418501485526</v>
      </c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ht="26.25" customHeight="1">
      <c r="A532" s="17" t="s">
        <v>1068</v>
      </c>
      <c r="B532" s="18" t="s">
        <v>1069</v>
      </c>
      <c r="C532" s="14">
        <v>1.0</v>
      </c>
      <c r="D532" s="15">
        <v>281.0</v>
      </c>
      <c r="E532" s="15">
        <v>13.0</v>
      </c>
      <c r="F532" s="16" t="str">
        <f t="array" ref="F532">"https://www.google.com/maps/search/?api=1&amp;query=" &amp; A532 &amp; "," &amp; B532</f>
        <v>https://www.google.com/maps/search/?api=1&amp;query=-30.9028720818583,-55.5419335603016</v>
      </c>
      <c r="G532" s="16" t="str">
        <f t="array" ref="G532">"https://earth.google.com/web/search/" &amp; A532 &amp; "," &amp; B532</f>
        <v>https://earth.google.com/web/search/-30.9028720818583,-55.5419335603016</v>
      </c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 ht="26.25" customHeight="1">
      <c r="A533" s="17" t="s">
        <v>1070</v>
      </c>
      <c r="B533" s="18" t="s">
        <v>1071</v>
      </c>
      <c r="C533" s="14">
        <v>1.0</v>
      </c>
      <c r="D533" s="15">
        <v>280.0</v>
      </c>
      <c r="E533" s="15">
        <v>1.0</v>
      </c>
      <c r="F533" s="16" t="str">
        <f t="array" ref="F533">"https://www.google.com/maps/search/?api=1&amp;query=" &amp; A533 &amp; "," &amp; B533</f>
        <v>https://www.google.com/maps/search/?api=1&amp;query=-30.9021687051545,-55.5418650087584</v>
      </c>
      <c r="G533" s="16" t="str">
        <f t="array" ref="G533">"https://earth.google.com/web/search/" &amp; A533 &amp; "," &amp; B533</f>
        <v>https://earth.google.com/web/search/-30.9021687051545,-55.5418650087584</v>
      </c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ht="26.25" customHeight="1">
      <c r="A534" s="17" t="s">
        <v>1072</v>
      </c>
      <c r="B534" s="18" t="s">
        <v>1073</v>
      </c>
      <c r="C534" s="14">
        <v>1.0</v>
      </c>
      <c r="D534" s="15">
        <v>280.0</v>
      </c>
      <c r="E534" s="15">
        <v>2.0</v>
      </c>
      <c r="F534" s="16" t="str">
        <f t="array" ref="F534">"https://www.google.com/maps/search/?api=1&amp;query=" &amp; A534 &amp; "," &amp; B534</f>
        <v>https://www.google.com/maps/search/?api=1&amp;query=-30.9021055447989,-55.5420004429963</v>
      </c>
      <c r="G534" s="16" t="str">
        <f t="array" ref="G534">"https://earth.google.com/web/search/" &amp; A534 &amp; "," &amp; B534</f>
        <v>https://earth.google.com/web/search/-30.9021055447989,-55.5420004429963</v>
      </c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ht="26.25" customHeight="1">
      <c r="A535" s="17" t="s">
        <v>1074</v>
      </c>
      <c r="B535" s="18" t="s">
        <v>1075</v>
      </c>
      <c r="C535" s="14">
        <v>1.0</v>
      </c>
      <c r="D535" s="15">
        <v>280.0</v>
      </c>
      <c r="E535" s="15">
        <v>3.0</v>
      </c>
      <c r="F535" s="16" t="str">
        <f t="array" ref="F535">"https://www.google.com/maps/search/?api=1&amp;query=" &amp; A535 &amp; "," &amp; B535</f>
        <v>https://www.google.com/maps/search/?api=1&amp;query=-30.9020140112634,-55.5426093279781</v>
      </c>
      <c r="G535" s="16" t="str">
        <f t="array" ref="G535">"https://earth.google.com/web/search/" &amp; A535 &amp; "," &amp; B535</f>
        <v>https://earth.google.com/web/search/-30.9020140112634,-55.5426093279781</v>
      </c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ht="26.25" customHeight="1">
      <c r="A536" s="17" t="s">
        <v>1076</v>
      </c>
      <c r="B536" s="18" t="s">
        <v>1077</v>
      </c>
      <c r="C536" s="14">
        <v>1.0</v>
      </c>
      <c r="D536" s="15">
        <v>280.0</v>
      </c>
      <c r="E536" s="15">
        <v>4.0</v>
      </c>
      <c r="F536" s="16" t="str">
        <f t="array" ref="F536">"https://www.google.com/maps/search/?api=1&amp;query=" &amp; A536 &amp; "," &amp; B536</f>
        <v>https://www.google.com/maps/search/?api=1&amp;query=-30.9024423717326,-55.5429175952142</v>
      </c>
      <c r="G536" s="16" t="str">
        <f t="array" ref="G536">"https://earth.google.com/web/search/" &amp; A536 &amp; "," &amp; B536</f>
        <v>https://earth.google.com/web/search/-30.9024423717326,-55.5429175952142</v>
      </c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 ht="26.25" customHeight="1">
      <c r="A537" s="17" t="s">
        <v>1078</v>
      </c>
      <c r="B537" s="18" t="s">
        <v>1079</v>
      </c>
      <c r="C537" s="14">
        <v>1.0</v>
      </c>
      <c r="D537" s="15">
        <v>279.0</v>
      </c>
      <c r="E537" s="15">
        <v>1.0</v>
      </c>
      <c r="F537" s="16" t="str">
        <f t="array" ref="F537">"https://www.google.com/maps/search/?api=1&amp;query=" &amp; A537 &amp; "," &amp; B537</f>
        <v>https://www.google.com/maps/search/?api=1&amp;query=-30.9021350449623,-55.5437515269222</v>
      </c>
      <c r="G537" s="16" t="str">
        <f t="array" ref="G537">"https://earth.google.com/web/search/" &amp; A537 &amp; "," &amp; B537</f>
        <v>https://earth.google.com/web/search/-30.9021350449623,-55.5437515269222</v>
      </c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ht="26.25" customHeight="1">
      <c r="A538" s="17" t="s">
        <v>1080</v>
      </c>
      <c r="B538" s="18" t="s">
        <v>1081</v>
      </c>
      <c r="C538" s="14">
        <v>1.0</v>
      </c>
      <c r="D538" s="15">
        <v>279.0</v>
      </c>
      <c r="E538" s="15">
        <v>2.0</v>
      </c>
      <c r="F538" s="16" t="str">
        <f t="array" ref="F538">"https://www.google.com/maps/search/?api=1&amp;query=" &amp; A538 &amp; "," &amp; B538</f>
        <v>https://www.google.com/maps/search/?api=1&amp;query=-30.9021767329656,-55.5436577188435</v>
      </c>
      <c r="G538" s="16" t="str">
        <f t="array" ref="G538">"https://earth.google.com/web/search/" &amp; A538 &amp; "," &amp; B538</f>
        <v>https://earth.google.com/web/search/-30.9021767329656,-55.5436577188435</v>
      </c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ht="26.25" customHeight="1">
      <c r="A539" s="17" t="s">
        <v>1082</v>
      </c>
      <c r="B539" s="18" t="s">
        <v>1083</v>
      </c>
      <c r="C539" s="14">
        <v>1.0</v>
      </c>
      <c r="D539" s="15">
        <v>279.0</v>
      </c>
      <c r="E539" s="15">
        <v>3.0</v>
      </c>
      <c r="F539" s="16" t="str">
        <f t="array" ref="F539">"https://www.google.com/maps/search/?api=1&amp;query=" &amp; A539 &amp; "," &amp; B539</f>
        <v>https://www.google.com/maps/search/?api=1&amp;query=-3.0902209144374,-55.5435930602165</v>
      </c>
      <c r="G539" s="16" t="str">
        <f t="array" ref="G539">"https://earth.google.com/web/search/" &amp; A539 &amp; "," &amp; B539</f>
        <v>https://earth.google.com/web/search/-3.0902209144374,-55.5435930602165</v>
      </c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ht="26.25" customHeight="1">
      <c r="A540" s="17" t="s">
        <v>1084</v>
      </c>
      <c r="B540" s="18" t="s">
        <v>1085</v>
      </c>
      <c r="C540" s="14">
        <v>1.0</v>
      </c>
      <c r="D540" s="15">
        <v>279.0</v>
      </c>
      <c r="E540" s="15">
        <v>4.0</v>
      </c>
      <c r="F540" s="16" t="str">
        <f t="array" ref="F540">"https://www.google.com/maps/search/?api=1&amp;query=" &amp; A540 &amp; "," &amp; B540</f>
        <v>https://www.google.com/maps/search/?api=1&amp;query=-30.9023297623017,-5.5543381311488</v>
      </c>
      <c r="G540" s="16" t="str">
        <f t="array" ref="G540">"https://earth.google.com/web/search/" &amp; A540 &amp; "," &amp; B540</f>
        <v>https://earth.google.com/web/search/-30.9023297623017,-5.5543381311488</v>
      </c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ht="26.25" customHeight="1">
      <c r="A541" s="17" t="s">
        <v>1086</v>
      </c>
      <c r="B541" s="18" t="s">
        <v>1087</v>
      </c>
      <c r="C541" s="14">
        <v>1.0</v>
      </c>
      <c r="D541" s="15">
        <v>279.0</v>
      </c>
      <c r="E541" s="15">
        <v>5.0</v>
      </c>
      <c r="F541" s="16" t="str">
        <f t="array" ref="F541">"https://www.google.com/maps/search/?api=1&amp;query=" &amp; A541 &amp; "," &amp; B541</f>
        <v>https://www.google.com/maps/search/?api=1&amp;query=-30.9024001121228,-55.5432733986538</v>
      </c>
      <c r="G541" s="16" t="str">
        <f t="array" ref="G541">"https://earth.google.com/web/search/" &amp; A541 &amp; "," &amp; B541</f>
        <v>https://earth.google.com/web/search/-30.9024001121228,-55.5432733986538</v>
      </c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ht="26.25" customHeight="1">
      <c r="A542" s="17" t="s">
        <v>1088</v>
      </c>
      <c r="B542" s="18" t="s">
        <v>1089</v>
      </c>
      <c r="C542" s="14">
        <v>1.0</v>
      </c>
      <c r="D542" s="15">
        <v>279.0</v>
      </c>
      <c r="E542" s="15">
        <v>6.0</v>
      </c>
      <c r="F542" s="16" t="str">
        <f t="array" ref="F542">"https://www.google.com/maps/search/?api=1&amp;query=" &amp; A542 &amp; "," &amp; B542</f>
        <v>https://www.google.com/maps/search/?api=1&amp;query=-30.9022903510723,-55.5429020086487</v>
      </c>
      <c r="G542" s="16" t="str">
        <f t="array" ref="G542">"https://earth.google.com/web/search/" &amp; A542 &amp; "," &amp; B542</f>
        <v>https://earth.google.com/web/search/-30.9022903510723,-55.5429020086487</v>
      </c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ht="26.25" customHeight="1">
      <c r="A543" s="17" t="s">
        <v>1090</v>
      </c>
      <c r="B543" s="18" t="s">
        <v>1091</v>
      </c>
      <c r="C543" s="14">
        <v>1.0</v>
      </c>
      <c r="D543" s="15">
        <v>279.0</v>
      </c>
      <c r="E543" s="15">
        <v>7.0</v>
      </c>
      <c r="F543" s="16" t="str">
        <f t="array" ref="F543">"https://www.google.com/maps/search/?api=1&amp;query=" &amp; A543 &amp; "," &amp; B543</f>
        <v>https://www.google.com/maps/search/?api=1&amp;query=-3.0902052610761,-55.5427497140009</v>
      </c>
      <c r="G543" s="16" t="str">
        <f t="array" ref="G543">"https://earth.google.com/web/search/" &amp; A543 &amp; "," &amp; B543</f>
        <v>https://earth.google.com/web/search/-3.0902052610761,-55.5427497140009</v>
      </c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 ht="26.25" customHeight="1">
      <c r="A544" s="17" t="s">
        <v>1092</v>
      </c>
      <c r="B544" s="18" t="s">
        <v>1093</v>
      </c>
      <c r="C544" s="14">
        <v>1.0</v>
      </c>
      <c r="D544" s="15">
        <v>279.0</v>
      </c>
      <c r="E544" s="15">
        <v>8.0</v>
      </c>
      <c r="F544" s="16" t="str">
        <f t="array" ref="F544">"https://www.google.com/maps/search/?api=1&amp;query=" &amp; A544 &amp; "," &amp; B544</f>
        <v>https://www.google.com/maps/search/?api=1&amp;query=-30.9019101989464,-55.5426618967513</v>
      </c>
      <c r="G544" s="16" t="str">
        <f t="array" ref="G544">"https://earth.google.com/web/search/" &amp; A544 &amp; "," &amp; B544</f>
        <v>https://earth.google.com/web/search/-30.9019101989464,-55.5426618967513</v>
      </c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ht="26.25" customHeight="1">
      <c r="A545" s="17" t="s">
        <v>1094</v>
      </c>
      <c r="B545" s="18" t="s">
        <v>1095</v>
      </c>
      <c r="C545" s="14">
        <v>1.0</v>
      </c>
      <c r="D545" s="15">
        <v>279.0</v>
      </c>
      <c r="E545" s="15">
        <v>9.0</v>
      </c>
      <c r="F545" s="16" t="str">
        <f t="array" ref="F545">"https://www.google.com/maps/search/?api=1&amp;query=" &amp; A545 &amp; "," &amp; B545</f>
        <v>https://www.google.com/maps/search/?api=1&amp;query=-30.9017064180163,-55.5427401514255</v>
      </c>
      <c r="G545" s="16" t="str">
        <f t="array" ref="G545">"https://earth.google.com/web/search/" &amp; A545 &amp; "," &amp; B545</f>
        <v>https://earth.google.com/web/search/-30.9017064180163,-55.5427401514255</v>
      </c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 ht="26.25" customHeight="1">
      <c r="A546" s="17" t="s">
        <v>1096</v>
      </c>
      <c r="B546" s="18" t="s">
        <v>1097</v>
      </c>
      <c r="C546" s="14">
        <v>1.0</v>
      </c>
      <c r="D546" s="15">
        <v>279.0</v>
      </c>
      <c r="E546" s="15">
        <v>10.0</v>
      </c>
      <c r="F546" s="16" t="str">
        <f t="array" ref="F546">"https://www.google.com/maps/search/?api=1&amp;query=" &amp; A546 &amp; "," &amp; B546</f>
        <v>https://www.google.com/maps/search/?api=1&amp;query=-30.9016598284227,-55.5428398556522</v>
      </c>
      <c r="G546" s="16" t="str">
        <f t="array" ref="G546">"https://earth.google.com/web/search/" &amp; A546 &amp; "," &amp; B546</f>
        <v>https://earth.google.com/web/search/-30.9016598284227,-55.5428398556522</v>
      </c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ht="26.25" customHeight="1">
      <c r="A547" s="17" t="s">
        <v>1098</v>
      </c>
      <c r="B547" s="18" t="s">
        <v>1099</v>
      </c>
      <c r="C547" s="14">
        <v>1.0</v>
      </c>
      <c r="D547" s="15">
        <v>279.0</v>
      </c>
      <c r="E547" s="15">
        <v>11.0</v>
      </c>
      <c r="F547" s="16" t="str">
        <f t="array" ref="F547">"https://www.google.com/maps/search/?api=1&amp;query=" &amp; A547 &amp; "," &amp; B547</f>
        <v>https://www.google.com/maps/search/?api=1&amp;query=-30.9014156796772,-55.5432801289721</v>
      </c>
      <c r="G547" s="16" t="str">
        <f t="array" ref="G547">"https://earth.google.com/web/search/" &amp; A547 &amp; "," &amp; B547</f>
        <v>https://earth.google.com/web/search/-30.9014156796772,-55.5432801289721</v>
      </c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ht="26.25" customHeight="1">
      <c r="A548" s="17" t="s">
        <v>1100</v>
      </c>
      <c r="B548" s="18" t="s">
        <v>1101</v>
      </c>
      <c r="C548" s="14">
        <v>1.0</v>
      </c>
      <c r="D548" s="15">
        <v>279.0</v>
      </c>
      <c r="E548" s="15">
        <v>12.0</v>
      </c>
      <c r="F548" s="16" t="str">
        <f t="array" ref="F548">"https://www.google.com/maps/search/?api=1&amp;query=" &amp; A548 &amp; "," &amp; B548</f>
        <v>https://www.google.com/maps/search/?api=1&amp;query=-30.9013990022236,-55.5434351894742</v>
      </c>
      <c r="G548" s="16" t="str">
        <f t="array" ref="G548">"https://earth.google.com/web/search/" &amp; A548 &amp; "," &amp; B548</f>
        <v>https://earth.google.com/web/search/-30.9013990022236,-55.5434351894742</v>
      </c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ht="26.25" customHeight="1">
      <c r="A549" s="17" t="s">
        <v>1102</v>
      </c>
      <c r="B549" s="18" t="s">
        <v>1103</v>
      </c>
      <c r="C549" s="14">
        <v>1.0</v>
      </c>
      <c r="D549" s="15">
        <v>279.0</v>
      </c>
      <c r="E549" s="15">
        <v>13.0</v>
      </c>
      <c r="F549" s="16" t="str">
        <f t="array" ref="F549">"https://www.google.com/maps/search/?api=1&amp;query=" &amp; A549 &amp; "," &amp; B549</f>
        <v>https://www.google.com/maps/search/?api=1&amp;query=-30.9014496169458,-55.5434698477272</v>
      </c>
      <c r="G549" s="16" t="str">
        <f t="array" ref="G549">"https://earth.google.com/web/search/" &amp; A549 &amp; "," &amp; B549</f>
        <v>https://earth.google.com/web/search/-30.9014496169458,-55.5434698477272</v>
      </c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ht="26.25" customHeight="1">
      <c r="A550" s="17" t="s">
        <v>1104</v>
      </c>
      <c r="B550" s="18" t="s">
        <v>1105</v>
      </c>
      <c r="C550" s="14">
        <v>1.0</v>
      </c>
      <c r="D550" s="15">
        <v>279.0</v>
      </c>
      <c r="E550" s="15">
        <v>14.0</v>
      </c>
      <c r="F550" s="16" t="str">
        <f t="array" ref="F550">"https://www.google.com/maps/search/?api=1&amp;query=" &amp; A550 &amp; "," &amp; B550</f>
        <v>https://www.google.com/maps/search/?api=1&amp;query=-30.9014848633065,-55.5435096079607</v>
      </c>
      <c r="G550" s="16" t="str">
        <f t="array" ref="G550">"https://earth.google.com/web/search/" &amp; A550 &amp; "," &amp; B550</f>
        <v>https://earth.google.com/web/search/-30.9014848633065,-55.5435096079607</v>
      </c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 ht="26.25" customHeight="1">
      <c r="A551" s="17" t="s">
        <v>1106</v>
      </c>
      <c r="B551" s="18" t="s">
        <v>1107</v>
      </c>
      <c r="C551" s="14">
        <v>1.0</v>
      </c>
      <c r="D551" s="15">
        <v>279.0</v>
      </c>
      <c r="E551" s="15">
        <v>15.0</v>
      </c>
      <c r="F551" s="16" t="str">
        <f t="array" ref="F551">"https://www.google.com/maps/search/?api=1&amp;query=" &amp; A551 &amp; "," &amp; B551</f>
        <v>https://www.google.com/maps/search/?api=1&amp;query=-30.9015314550518,-55.5435346035214</v>
      </c>
      <c r="G551" s="16" t="str">
        <f t="array" ref="G551">"https://earth.google.com/web/search/" &amp; A551 &amp; "," &amp; B551</f>
        <v>https://earth.google.com/web/search/-30.9015314550518,-55.5435346035214</v>
      </c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 ht="26.25" customHeight="1">
      <c r="A552" s="17" t="s">
        <v>1108</v>
      </c>
      <c r="B552" s="18" t="s">
        <v>1109</v>
      </c>
      <c r="C552" s="14">
        <v>1.0</v>
      </c>
      <c r="D552" s="15">
        <v>279.0</v>
      </c>
      <c r="E552" s="15">
        <v>16.0</v>
      </c>
      <c r="F552" s="16" t="str">
        <f t="array" ref="F552">"https://www.google.com/maps/search/?api=1&amp;query=" &amp; A552 &amp; "," &amp; B552</f>
        <v>https://www.google.com/maps/search/?api=1&amp;query=-30.9016114740163,-55.5435958029097</v>
      </c>
      <c r="G552" s="16" t="str">
        <f t="array" ref="G552">"https://earth.google.com/web/search/" &amp; A552 &amp; "," &amp; B552</f>
        <v>https://earth.google.com/web/search/-30.9016114740163,-55.5435958029097</v>
      </c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ht="26.25" customHeight="1">
      <c r="A553" s="17" t="s">
        <v>1110</v>
      </c>
      <c r="B553" s="18" t="s">
        <v>1111</v>
      </c>
      <c r="C553" s="14">
        <v>1.0</v>
      </c>
      <c r="D553" s="15">
        <v>279.0</v>
      </c>
      <c r="E553" s="15">
        <v>17.0</v>
      </c>
      <c r="F553" s="16" t="str">
        <f t="array" ref="F553">"https://www.google.com/maps/search/?api=1&amp;query=" &amp; A553 &amp; "," &amp; B553</f>
        <v>https://www.google.com/maps/search/?api=1&amp;query=-30.9018596769871,-55.5437523715697</v>
      </c>
      <c r="G553" s="16" t="str">
        <f t="array" ref="G553">"https://earth.google.com/web/search/" &amp; A553 &amp; "," &amp; B553</f>
        <v>https://earth.google.com/web/search/-30.9018596769871,-55.5437523715697</v>
      </c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 ht="26.25" customHeight="1">
      <c r="A554" s="17" t="s">
        <v>1112</v>
      </c>
      <c r="B554" s="18" t="s">
        <v>1113</v>
      </c>
      <c r="C554" s="14">
        <v>1.0</v>
      </c>
      <c r="D554" s="15">
        <v>279.0</v>
      </c>
      <c r="E554" s="15">
        <v>18.0</v>
      </c>
      <c r="F554" s="16" t="str">
        <f t="array" ref="F554">"https://www.google.com/maps/search/?api=1&amp;query=" &amp; A554 &amp; "," &amp; B554</f>
        <v>https://www.google.com/maps/search/?api=1&amp;query=-30.9020166637439,-55.5438593434756</v>
      </c>
      <c r="G554" s="16" t="str">
        <f t="array" ref="G554">"https://earth.google.com/web/search/" &amp; A554 &amp; "," &amp; B554</f>
        <v>https://earth.google.com/web/search/-30.9020166637439,-55.5438593434756</v>
      </c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ht="26.25" customHeight="1">
      <c r="A555" s="17" t="s">
        <v>1114</v>
      </c>
      <c r="B555" s="18" t="s">
        <v>1115</v>
      </c>
      <c r="C555" s="14">
        <v>1.0</v>
      </c>
      <c r="D555" s="15">
        <v>278.0</v>
      </c>
      <c r="E555" s="15">
        <v>1.0</v>
      </c>
      <c r="F555" s="16" t="str">
        <f t="array" ref="F555">"https://www.google.com/maps/search/?api=1&amp;query=" &amp; A555 &amp; "," &amp; B555</f>
        <v>https://www.google.com/maps/search/?api=1&amp;query=-3.0901654841268,-55.5446448931117</v>
      </c>
      <c r="G555" s="16" t="str">
        <f t="array" ref="G555">"https://earth.google.com/web/search/" &amp; A555 &amp; "," &amp; B555</f>
        <v>https://earth.google.com/web/search/-3.0901654841268,-55.5446448931117</v>
      </c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 ht="26.25" customHeight="1">
      <c r="A556" s="17" t="s">
        <v>1116</v>
      </c>
      <c r="B556" s="18" t="s">
        <v>1117</v>
      </c>
      <c r="C556" s="14">
        <v>1.0</v>
      </c>
      <c r="D556" s="15">
        <v>278.0</v>
      </c>
      <c r="E556" s="15">
        <v>2.0</v>
      </c>
      <c r="F556" s="16" t="str">
        <f t="array" ref="F556">"https://www.google.com/maps/search/?api=1&amp;query=" &amp; A556 &amp; "," &amp; B556</f>
        <v>https://www.google.com/maps/search/?api=1&amp;query=-30.9018278211945,-55.5443079608928</v>
      </c>
      <c r="G556" s="16" t="str">
        <f t="array" ref="G556">"https://earth.google.com/web/search/" &amp; A556 &amp; "," &amp; B556</f>
        <v>https://earth.google.com/web/search/-30.9018278211945,-55.5443079608928</v>
      </c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ht="26.25" customHeight="1">
      <c r="A557" s="17" t="s">
        <v>1118</v>
      </c>
      <c r="B557" s="18" t="s">
        <v>1119</v>
      </c>
      <c r="C557" s="14">
        <v>1.0</v>
      </c>
      <c r="D557" s="15">
        <v>278.0</v>
      </c>
      <c r="E557" s="15">
        <v>3.0</v>
      </c>
      <c r="F557" s="16" t="str">
        <f t="array" ref="F557">"https://www.google.com/maps/search/?api=1&amp;query=" &amp; A557 &amp; "," &amp; B557</f>
        <v>https://www.google.com/maps/search/?api=1&amp;query=-30.9019506238991,-55.5441129995618</v>
      </c>
      <c r="G557" s="16" t="str">
        <f t="array" ref="G557">"https://earth.google.com/web/search/" &amp; A557 &amp; "," &amp; B557</f>
        <v>https://earth.google.com/web/search/-30.9019506238991,-55.5441129995618</v>
      </c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ht="26.25" customHeight="1">
      <c r="A558" s="17" t="s">
        <v>1120</v>
      </c>
      <c r="B558" s="18" t="s">
        <v>1121</v>
      </c>
      <c r="C558" s="14">
        <v>1.0</v>
      </c>
      <c r="D558" s="15">
        <v>278.0</v>
      </c>
      <c r="E558" s="15">
        <v>4.0</v>
      </c>
      <c r="F558" s="16" t="str">
        <f t="array" ref="F558">"https://www.google.com/maps/search/?api=1&amp;query=" &amp; A558 &amp; "," &amp; B558</f>
        <v>https://www.google.com/maps/search/?api=1&amp;query=-30.9020089709869,-55.5440603116944</v>
      </c>
      <c r="G558" s="16" t="str">
        <f t="array" ref="G558">"https://earth.google.com/web/search/" &amp; A558 &amp; "," &amp; B558</f>
        <v>https://earth.google.com/web/search/-30.9020089709869,-55.5440603116944</v>
      </c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ht="26.25" customHeight="1">
      <c r="A559" s="17" t="s">
        <v>1122</v>
      </c>
      <c r="B559" s="18" t="s">
        <v>1123</v>
      </c>
      <c r="C559" s="14">
        <v>1.0</v>
      </c>
      <c r="D559" s="15">
        <v>278.0</v>
      </c>
      <c r="E559" s="15">
        <v>5.0</v>
      </c>
      <c r="F559" s="16" t="str">
        <f t="array" ref="F559">"https://www.google.com/maps/search/?api=1&amp;query=" &amp; A559 &amp; "," &amp; B559</f>
        <v>https://www.google.com/maps/search/?api=1&amp;query=-30.9019288601759,-55.5438931271956</v>
      </c>
      <c r="G559" s="16" t="str">
        <f t="array" ref="G559">"https://earth.google.com/web/search/" &amp; A559 &amp; "," &amp; B559</f>
        <v>https://earth.google.com/web/search/-30.9019288601759,-55.5438931271956</v>
      </c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ht="26.25" customHeight="1">
      <c r="A560" s="17" t="s">
        <v>1124</v>
      </c>
      <c r="B560" s="18" t="s">
        <v>1125</v>
      </c>
      <c r="C560" s="14">
        <v>1.0</v>
      </c>
      <c r="D560" s="15">
        <v>278.0</v>
      </c>
      <c r="E560" s="15">
        <v>6.0</v>
      </c>
      <c r="F560" s="16" t="str">
        <f t="array" ref="F560">"https://www.google.com/maps/search/?api=1&amp;query=" &amp; A560 &amp; "," &amp; B560</f>
        <v>https://www.google.com/maps/search/?api=1&amp;query=-30.9017236544621,-55.5437595083251</v>
      </c>
      <c r="G560" s="16" t="str">
        <f t="array" ref="G560">"https://earth.google.com/web/search/" &amp; A560 &amp; "," &amp; B560</f>
        <v>https://earth.google.com/web/search/-30.9017236544621,-55.5437595083251</v>
      </c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ht="26.25" customHeight="1">
      <c r="A561" s="17" t="s">
        <v>1126</v>
      </c>
      <c r="B561" s="18" t="s">
        <v>1127</v>
      </c>
      <c r="C561" s="14">
        <v>1.0</v>
      </c>
      <c r="D561" s="15">
        <v>278.0</v>
      </c>
      <c r="E561" s="15">
        <v>7.0</v>
      </c>
      <c r="F561" s="16" t="str">
        <f t="array" ref="F561">"https://www.google.com/maps/search/?api=1&amp;query=" &amp; A561 &amp; "," &amp; B561</f>
        <v>https://www.google.com/maps/search/?api=1&amp;query=-30.9016382772794,-55.5437007252447</v>
      </c>
      <c r="G561" s="16" t="str">
        <f t="array" ref="G561">"https://earth.google.com/web/search/" &amp; A561 &amp; "," &amp; B561</f>
        <v>https://earth.google.com/web/search/-30.9016382772794,-55.5437007252447</v>
      </c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ht="26.25" customHeight="1">
      <c r="A562" s="17" t="s">
        <v>1128</v>
      </c>
      <c r="B562" s="18" t="s">
        <v>1129</v>
      </c>
      <c r="C562" s="14">
        <v>1.0</v>
      </c>
      <c r="D562" s="15">
        <v>278.0</v>
      </c>
      <c r="E562" s="15">
        <v>8.0</v>
      </c>
      <c r="F562" s="16" t="str">
        <f t="array" ref="F562">"https://www.google.com/maps/search/?api=1&amp;query=" &amp; A562 &amp; "," &amp; B562</f>
        <v>https://www.google.com/maps/search/?api=1&amp;query=-30.9014459474304,-55.5435813409999</v>
      </c>
      <c r="G562" s="16" t="str">
        <f t="array" ref="G562">"https://earth.google.com/web/search/" &amp; A562 &amp; "," &amp; B562</f>
        <v>https://earth.google.com/web/search/-30.9014459474304,-55.5435813409999</v>
      </c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ht="26.25" customHeight="1">
      <c r="A563" s="17" t="s">
        <v>1130</v>
      </c>
      <c r="B563" s="18" t="s">
        <v>1131</v>
      </c>
      <c r="C563" s="14">
        <v>1.0</v>
      </c>
      <c r="D563" s="15">
        <v>278.0</v>
      </c>
      <c r="E563" s="15">
        <v>9.0</v>
      </c>
      <c r="F563" s="16" t="str">
        <f t="array" ref="F563">"https://www.google.com/maps/search/?api=1&amp;query=" &amp; A563 &amp; "," &amp; B563</f>
        <v>https://www.google.com/maps/search/?api=1&amp;query=-30.9011468496243,-55.5437920947915</v>
      </c>
      <c r="G563" s="16" t="str">
        <f t="array" ref="G563">"https://earth.google.com/web/search/" &amp; A563 &amp; "," &amp; B563</f>
        <v>https://earth.google.com/web/search/-30.9011468496243,-55.5437920947915</v>
      </c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ht="26.25" customHeight="1">
      <c r="A564" s="17" t="s">
        <v>1132</v>
      </c>
      <c r="B564" s="18" t="s">
        <v>1133</v>
      </c>
      <c r="C564" s="14">
        <v>1.0</v>
      </c>
      <c r="D564" s="15">
        <v>278.0</v>
      </c>
      <c r="E564" s="15">
        <v>10.0</v>
      </c>
      <c r="F564" s="16" t="str">
        <f t="array" ref="F564">"https://www.google.com/maps/search/?api=1&amp;query=" &amp; A564 &amp; "," &amp; B564</f>
        <v>https://www.google.com/maps/search/?api=1&amp;query=-30.9010959051618,-5.5543872472504</v>
      </c>
      <c r="G564" s="16" t="str">
        <f t="array" ref="G564">"https://earth.google.com/web/search/" &amp; A564 &amp; "," &amp; B564</f>
        <v>https://earth.google.com/web/search/-30.9010959051618,-5.5543872472504</v>
      </c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ht="26.25" customHeight="1">
      <c r="A565" s="17" t="s">
        <v>1134</v>
      </c>
      <c r="B565" s="18" t="s">
        <v>1135</v>
      </c>
      <c r="C565" s="14">
        <v>1.0</v>
      </c>
      <c r="D565" s="15">
        <v>237.0</v>
      </c>
      <c r="E565" s="15">
        <v>1.0</v>
      </c>
      <c r="F565" s="16" t="str">
        <f t="array" ref="F565">"https://www.google.com/maps/search/?api=1&amp;query=" &amp; A565 &amp; "," &amp; B565</f>
        <v>https://www.google.com/maps/search/?api=1&amp;query=-30.9038796168926,-55.5384620618007</v>
      </c>
      <c r="G565" s="16" t="str">
        <f t="array" ref="G565">"https://earth.google.com/web/search/" &amp; A565 &amp; "," &amp; B565</f>
        <v>https://earth.google.com/web/search/-30.9038796168926,-55.5384620618007</v>
      </c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ht="26.25" customHeight="1">
      <c r="A566" s="17" t="s">
        <v>1136</v>
      </c>
      <c r="B566" s="18" t="s">
        <v>1137</v>
      </c>
      <c r="C566" s="14">
        <v>1.0</v>
      </c>
      <c r="D566" s="15">
        <v>237.0</v>
      </c>
      <c r="E566" s="15">
        <v>2.0</v>
      </c>
      <c r="F566" s="16" t="str">
        <f t="array" ref="F566">"https://www.google.com/maps/search/?api=1&amp;query=" &amp; A566 &amp; "," &amp; B566</f>
        <v>https://www.google.com/maps/search/?api=1&amp;query=-30.9041096765148,-5.5537987962516</v>
      </c>
      <c r="G566" s="16" t="str">
        <f t="array" ref="G566">"https://earth.google.com/web/search/" &amp; A566 &amp; "," &amp; B566</f>
        <v>https://earth.google.com/web/search/-30.9041096765148,-5.5537987962516</v>
      </c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ht="26.25" customHeight="1">
      <c r="A567" s="17" t="s">
        <v>1138</v>
      </c>
      <c r="B567" s="18" t="s">
        <v>1139</v>
      </c>
      <c r="C567" s="14">
        <v>1.0</v>
      </c>
      <c r="D567" s="15">
        <v>237.0</v>
      </c>
      <c r="E567" s="15">
        <v>3.0</v>
      </c>
      <c r="F567" s="16" t="str">
        <f t="array" ref="F567">"https://www.google.com/maps/search/?api=1&amp;query=" &amp; A567 &amp; "," &amp; B567</f>
        <v>https://www.google.com/maps/search/?api=1&amp;query=-3.0903394666377,-55.5375160961699</v>
      </c>
      <c r="G567" s="16" t="str">
        <f t="array" ref="G567">"https://earth.google.com/web/search/" &amp; A567 &amp; "," &amp; B567</f>
        <v>https://earth.google.com/web/search/-3.0903394666377,-55.5375160961699</v>
      </c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ht="26.25" customHeight="1">
      <c r="A568" s="17" t="s">
        <v>1140</v>
      </c>
      <c r="B568" s="18" t="s">
        <v>1141</v>
      </c>
      <c r="C568" s="14">
        <v>1.0</v>
      </c>
      <c r="D568" s="15">
        <v>237.0</v>
      </c>
      <c r="E568" s="15">
        <v>4.0</v>
      </c>
      <c r="F568" s="16" t="str">
        <f t="array" ref="F568">"https://www.google.com/maps/search/?api=1&amp;query=" &amp; A568 &amp; "," &amp; B568</f>
        <v>https://www.google.com/maps/search/?api=1&amp;query=-3.0903336500299,-55.5376206079836</v>
      </c>
      <c r="G568" s="16" t="str">
        <f t="array" ref="G568">"https://earth.google.com/web/search/" &amp; A568 &amp; "," &amp; B568</f>
        <v>https://earth.google.com/web/search/-3.0903336500299,-55.5376206079836</v>
      </c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ht="26.25" customHeight="1">
      <c r="A569" s="17" t="s">
        <v>1142</v>
      </c>
      <c r="B569" s="18" t="s">
        <v>1143</v>
      </c>
      <c r="C569" s="14">
        <v>1.0</v>
      </c>
      <c r="D569" s="15">
        <v>237.0</v>
      </c>
      <c r="E569" s="15">
        <v>5.0</v>
      </c>
      <c r="F569" s="16" t="str">
        <f t="array" ref="F569">"https://www.google.com/maps/search/?api=1&amp;query=" &amp; A569 &amp; "," &amp; B569</f>
        <v>https://www.google.com/maps/search/?api=1&amp;query=-30.9033120808698,-55.5376566450844</v>
      </c>
      <c r="G569" s="16" t="str">
        <f t="array" ref="G569">"https://earth.google.com/web/search/" &amp; A569 &amp; "," &amp; B569</f>
        <v>https://earth.google.com/web/search/-30.9033120808698,-55.5376566450844</v>
      </c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ht="26.25" customHeight="1">
      <c r="A570" s="17" t="s">
        <v>1144</v>
      </c>
      <c r="B570" s="18" t="s">
        <v>1145</v>
      </c>
      <c r="C570" s="14">
        <v>1.0</v>
      </c>
      <c r="D570" s="15">
        <v>237.0</v>
      </c>
      <c r="E570" s="15">
        <v>5.0</v>
      </c>
      <c r="F570" s="16" t="str">
        <f t="array" ref="F570">"https://www.google.com/maps/search/?api=1&amp;query=" &amp; A570 &amp; "," &amp; B570</f>
        <v>https://www.google.com/maps/search/?api=1&amp;query=-30.9031421632927,-55.5379773578621</v>
      </c>
      <c r="G570" s="16" t="str">
        <f t="array" ref="G570">"https://earth.google.com/web/search/" &amp; A570 &amp; "," &amp; B570</f>
        <v>https://earth.google.com/web/search/-30.9031421632927,-55.5379773578621</v>
      </c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ht="26.25" customHeight="1">
      <c r="A571" s="17" t="s">
        <v>1146</v>
      </c>
      <c r="B571" s="18" t="s">
        <v>1147</v>
      </c>
      <c r="C571" s="14">
        <v>1.0</v>
      </c>
      <c r="D571" s="15">
        <v>237.0</v>
      </c>
      <c r="E571" s="15">
        <v>6.0</v>
      </c>
      <c r="F571" s="16" t="str">
        <f t="array" ref="F571">"https://www.google.com/maps/search/?api=1&amp;query=" &amp; A571 &amp; "," &amp; B571</f>
        <v>https://www.google.com/maps/search/?api=1&amp;query=-30.9030346468542,-55.5381735652584</v>
      </c>
      <c r="G571" s="16" t="str">
        <f t="array" ref="G571">"https://earth.google.com/web/search/" &amp; A571 &amp; "," &amp; B571</f>
        <v>https://earth.google.com/web/search/-30.9030346468542,-55.5381735652584</v>
      </c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ht="26.25" customHeight="1">
      <c r="A572" s="17" t="s">
        <v>1148</v>
      </c>
      <c r="B572" s="18" t="s">
        <v>1149</v>
      </c>
      <c r="C572" s="14">
        <v>1.0</v>
      </c>
      <c r="D572" s="15">
        <v>237.0</v>
      </c>
      <c r="E572" s="15">
        <v>7.0</v>
      </c>
      <c r="F572" s="16" t="str">
        <f t="array" ref="F572">"https://www.google.com/maps/search/?api=1&amp;query=" &amp; A572 &amp; "," &amp; B572</f>
        <v>https://www.google.com/maps/search/?api=1&amp;query=-30.9030582142611,-0.5553829689086</v>
      </c>
      <c r="G572" s="16" t="str">
        <f t="array" ref="G572">"https://earth.google.com/web/search/" &amp; A572 &amp; "," &amp; B572</f>
        <v>https://earth.google.com/web/search/-30.9030582142611,-0.5553829689086</v>
      </c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ht="26.25" customHeight="1">
      <c r="A573" s="17" t="s">
        <v>1150</v>
      </c>
      <c r="B573" s="18" t="s">
        <v>1151</v>
      </c>
      <c r="C573" s="14">
        <v>1.0</v>
      </c>
      <c r="D573" s="15">
        <v>238.0</v>
      </c>
      <c r="E573" s="15">
        <v>1.0</v>
      </c>
      <c r="F573" s="16" t="str">
        <f t="array" ref="F573">"https://www.google.com/maps/search/?api=1&amp;query=" &amp; A573 &amp; "," &amp; B573</f>
        <v>https://www.google.com/maps/search/?api=1&amp;query=-30.9033665891237,-55.5394139054604</v>
      </c>
      <c r="G573" s="16" t="str">
        <f t="array" ref="G573">"https://earth.google.com/web/search/" &amp; A573 &amp; "," &amp; B573</f>
        <v>https://earth.google.com/web/search/-30.9033665891237,-55.5394139054604</v>
      </c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ht="26.25" customHeight="1">
      <c r="A574" s="17" t="s">
        <v>1152</v>
      </c>
      <c r="B574" s="18" t="s">
        <v>1153</v>
      </c>
      <c r="C574" s="14">
        <v>1.0</v>
      </c>
      <c r="D574" s="15">
        <v>238.0</v>
      </c>
      <c r="E574" s="15">
        <v>2.0</v>
      </c>
      <c r="F574" s="16" t="str">
        <f t="array" ref="F574">"https://www.google.com/maps/search/?api=1&amp;query=" &amp; A574 &amp; "," &amp; B574</f>
        <v>https://www.google.com/maps/search/?api=1&amp;query=-30.9033764049885,-55.5393680096893</v>
      </c>
      <c r="G574" s="16" t="str">
        <f t="array" ref="G574">"https://earth.google.com/web/search/" &amp; A574 &amp; "," &amp; B574</f>
        <v>https://earth.google.com/web/search/-30.9033764049885,-55.5393680096893</v>
      </c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ht="26.25" customHeight="1">
      <c r="A575" s="17" t="s">
        <v>1154</v>
      </c>
      <c r="B575" s="18" t="s">
        <v>1155</v>
      </c>
      <c r="C575" s="14">
        <v>1.0</v>
      </c>
      <c r="D575" s="15">
        <v>238.0</v>
      </c>
      <c r="E575" s="15">
        <v>3.0</v>
      </c>
      <c r="F575" s="16" t="str">
        <f t="array" ref="F575">"https://www.google.com/maps/search/?api=1&amp;query=" &amp; A575 &amp; "," &amp; B575</f>
        <v>https://www.google.com/maps/search/?api=1&amp;query=-30.9034141846981,-55.5393243191598</v>
      </c>
      <c r="G575" s="16" t="str">
        <f t="array" ref="G575">"https://earth.google.com/web/search/" &amp; A575 &amp; "," &amp; B575</f>
        <v>https://earth.google.com/web/search/-30.9034141846981,-55.5393243191598</v>
      </c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ht="26.25" customHeight="1">
      <c r="A576" s="17" t="s">
        <v>1156</v>
      </c>
      <c r="B576" s="18" t="s">
        <v>1157</v>
      </c>
      <c r="C576" s="14">
        <v>1.0</v>
      </c>
      <c r="D576" s="15">
        <v>238.0</v>
      </c>
      <c r="E576" s="15">
        <v>4.0</v>
      </c>
      <c r="F576" s="16" t="str">
        <f t="array" ref="F576">"https://www.google.com/maps/search/?api=1&amp;query=" &amp; A576 &amp; "," &amp; B576</f>
        <v>https://www.google.com/maps/search/?api=1&amp;query=-30.9035406707211,-55.5387753648007</v>
      </c>
      <c r="G576" s="16" t="str">
        <f t="array" ref="G576">"https://earth.google.com/web/search/" &amp; A576 &amp; "," &amp; B576</f>
        <v>https://earth.google.com/web/search/-30.9035406707211,-55.5387753648007</v>
      </c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 ht="26.25" customHeight="1">
      <c r="A577" s="17" t="s">
        <v>1158</v>
      </c>
      <c r="B577" s="18" t="s">
        <v>1159</v>
      </c>
      <c r="C577" s="14">
        <v>1.0</v>
      </c>
      <c r="D577" s="15">
        <v>238.0</v>
      </c>
      <c r="E577" s="15">
        <v>5.0</v>
      </c>
      <c r="F577" s="16" t="str">
        <f t="array" ref="F577">"https://www.google.com/maps/search/?api=1&amp;query=" &amp; A577 &amp; "," &amp; B577</f>
        <v>https://www.google.com/maps/search/?api=1&amp;query=-30.9034765600363,-5.5538720133291</v>
      </c>
      <c r="G577" s="16" t="str">
        <f t="array" ref="G577">"https://earth.google.com/web/search/" &amp; A577 &amp; "," &amp; B577</f>
        <v>https://earth.google.com/web/search/-30.9034765600363,-5.5538720133291</v>
      </c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ht="26.25" customHeight="1">
      <c r="A578" s="17" t="s">
        <v>1160</v>
      </c>
      <c r="B578" s="18" t="s">
        <v>1161</v>
      </c>
      <c r="C578" s="14">
        <v>1.0</v>
      </c>
      <c r="D578" s="15">
        <v>238.0</v>
      </c>
      <c r="E578" s="15">
        <v>6.0</v>
      </c>
      <c r="F578" s="16" t="str">
        <f t="array" ref="F578">"https://www.google.com/maps/search/?api=1&amp;query=" &amp; A578 &amp; "," &amp; B578</f>
        <v>https://www.google.com/maps/search/?api=1&amp;query=-30.9034219327027,-55.5386738494156</v>
      </c>
      <c r="G578" s="16" t="str">
        <f t="array" ref="G578">"https://earth.google.com/web/search/" &amp; A578 &amp; "," &amp; B578</f>
        <v>https://earth.google.com/web/search/-30.9034219327027,-55.5386738494156</v>
      </c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ht="26.25" customHeight="1">
      <c r="A579" s="17" t="s">
        <v>1162</v>
      </c>
      <c r="B579" s="18" t="s">
        <v>1163</v>
      </c>
      <c r="C579" s="14">
        <v>1.0</v>
      </c>
      <c r="D579" s="15">
        <v>238.0</v>
      </c>
      <c r="E579" s="15">
        <v>7.0</v>
      </c>
      <c r="F579" s="16" t="str">
        <f t="array" ref="F579">"https://www.google.com/maps/search/?api=1&amp;query=" &amp; A579 &amp; "," &amp; B579</f>
        <v>https://www.google.com/maps/search/?api=1&amp;query=-30.9032680466689,-5.5538561515388</v>
      </c>
      <c r="G579" s="16" t="str">
        <f t="array" ref="G579">"https://earth.google.com/web/search/" &amp; A579 &amp; "," &amp; B579</f>
        <v>https://earth.google.com/web/search/-30.9032680466689,-5.5538561515388</v>
      </c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 ht="26.25" customHeight="1">
      <c r="A580" s="17" t="s">
        <v>1164</v>
      </c>
      <c r="B580" s="18" t="s">
        <v>1165</v>
      </c>
      <c r="C580" s="14">
        <v>1.0</v>
      </c>
      <c r="D580" s="15">
        <v>238.0</v>
      </c>
      <c r="E580" s="15">
        <v>8.0</v>
      </c>
      <c r="F580" s="16" t="str">
        <f t="array" ref="F580">"https://www.google.com/maps/search/?api=1&amp;query=" &amp; A580 &amp; "," &amp; B580</f>
        <v>https://www.google.com/maps/search/?api=1&amp;query=-30.9030421794828,-55.5383935067334</v>
      </c>
      <c r="G580" s="16" t="str">
        <f t="array" ref="G580">"https://earth.google.com/web/search/" &amp; A580 &amp; "," &amp; B580</f>
        <v>https://earth.google.com/web/search/-30.9030421794828,-55.5383935067334</v>
      </c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 ht="26.25" customHeight="1">
      <c r="A581" s="17" t="s">
        <v>1166</v>
      </c>
      <c r="B581" s="18" t="s">
        <v>1167</v>
      </c>
      <c r="C581" s="14">
        <v>1.0</v>
      </c>
      <c r="D581" s="15">
        <v>238.0</v>
      </c>
      <c r="E581" s="15">
        <v>9.0</v>
      </c>
      <c r="F581" s="16" t="str">
        <f t="array" ref="F581">"https://www.google.com/maps/search/?api=1&amp;query=" &amp; A581 &amp; "," &amp; B581</f>
        <v>https://www.google.com/maps/search/?api=1&amp;query=-30.9028084939139,-55.5386403235495</v>
      </c>
      <c r="G581" s="16" t="str">
        <f t="array" ref="G581">"https://earth.google.com/web/search/" &amp; A581 &amp; "," &amp; B581</f>
        <v>https://earth.google.com/web/search/-30.9028084939139,-55.5386403235495</v>
      </c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ht="26.25" customHeight="1">
      <c r="A582" s="17" t="s">
        <v>1168</v>
      </c>
      <c r="B582" s="18" t="s">
        <v>1169</v>
      </c>
      <c r="C582" s="14">
        <v>1.0</v>
      </c>
      <c r="D582" s="15">
        <v>238.0</v>
      </c>
      <c r="E582" s="15">
        <v>9.0</v>
      </c>
      <c r="F582" s="16" t="str">
        <f t="array" ref="F582">"https://www.google.com/maps/search/?api=1&amp;query=" &amp; A582 &amp; "," &amp; B582</f>
        <v>https://www.google.com/maps/search/?api=1&amp;query=-30.9027410867723,-5.5538750058081</v>
      </c>
      <c r="G582" s="16" t="str">
        <f t="array" ref="G582">"https://earth.google.com/web/search/" &amp; A582 &amp; "," &amp; B582</f>
        <v>https://earth.google.com/web/search/-30.9027410867723,-5.5538750058081</v>
      </c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ht="26.25" customHeight="1">
      <c r="A583" s="17" t="s">
        <v>1170</v>
      </c>
      <c r="B583" s="18" t="s">
        <v>1171</v>
      </c>
      <c r="C583" s="14">
        <v>1.0</v>
      </c>
      <c r="D583" s="15">
        <v>238.0</v>
      </c>
      <c r="E583" s="15">
        <v>10.0</v>
      </c>
      <c r="F583" s="16" t="str">
        <f t="array" ref="F583">"https://www.google.com/maps/search/?api=1&amp;query=" &amp; A583 &amp; "," &amp; B583</f>
        <v>https://www.google.com/maps/search/?api=1&amp;query=-30.9027172727426,-5.5538805030917</v>
      </c>
      <c r="G583" s="16" t="str">
        <f t="array" ref="G583">"https://earth.google.com/web/search/" &amp; A583 &amp; "," &amp; B583</f>
        <v>https://earth.google.com/web/search/-30.9027172727426,-5.5538805030917</v>
      </c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 ht="26.25" customHeight="1">
      <c r="A584" s="17" t="s">
        <v>1172</v>
      </c>
      <c r="B584" s="18" t="s">
        <v>1173</v>
      </c>
      <c r="C584" s="14">
        <v>1.0</v>
      </c>
      <c r="D584" s="15">
        <v>238.0</v>
      </c>
      <c r="E584" s="15">
        <v>11.0</v>
      </c>
      <c r="F584" s="16" t="str">
        <f t="array" ref="F584">"https://www.google.com/maps/search/?api=1&amp;query=" &amp; A584 &amp; "," &amp; B584</f>
        <v>https://www.google.com/maps/search/?api=1&amp;query=-30.9026311383269,-55.5389224793881</v>
      </c>
      <c r="G584" s="16" t="str">
        <f t="array" ref="G584">"https://earth.google.com/web/search/" &amp; A584 &amp; "," &amp; B584</f>
        <v>https://earth.google.com/web/search/-30.9026311383269,-55.5389224793881</v>
      </c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ht="26.25" customHeight="1">
      <c r="A585" s="17" t="s">
        <v>1174</v>
      </c>
      <c r="B585" s="18" t="s">
        <v>1175</v>
      </c>
      <c r="C585" s="14">
        <v>1.0</v>
      </c>
      <c r="D585" s="15">
        <v>238.0</v>
      </c>
      <c r="E585" s="15">
        <v>12.0</v>
      </c>
      <c r="F585" s="16" t="str">
        <f t="array" ref="F585">"https://www.google.com/maps/search/?api=1&amp;query=" &amp; A585 &amp; "," &amp; B585</f>
        <v>https://www.google.com/maps/search/?api=1&amp;query=-30.9026172192486,-55.5389806312985</v>
      </c>
      <c r="G585" s="16" t="str">
        <f t="array" ref="G585">"https://earth.google.com/web/search/" &amp; A585 &amp; "," &amp; B585</f>
        <v>https://earth.google.com/web/search/-30.9026172192486,-55.5389806312985</v>
      </c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 ht="26.25" customHeight="1">
      <c r="A586" s="17" t="s">
        <v>1176</v>
      </c>
      <c r="B586" s="18" t="s">
        <v>1177</v>
      </c>
      <c r="C586" s="14">
        <v>1.0</v>
      </c>
      <c r="D586" s="15">
        <v>238.0</v>
      </c>
      <c r="E586" s="15">
        <v>13.0</v>
      </c>
      <c r="F586" s="16" t="str">
        <f t="array" ref="F586">"https://www.google.com/maps/search/?api=1&amp;query=" &amp; A586 &amp; "," &amp; B586</f>
        <v>https://www.google.com/maps/search/?api=1&amp;query=-30.9025754552564,-55.5390645996353</v>
      </c>
      <c r="G586" s="16" t="str">
        <f t="array" ref="G586">"https://earth.google.com/web/search/" &amp; A586 &amp; "," &amp; B586</f>
        <v>https://earth.google.com/web/search/-30.9025754552564,-55.5390645996353</v>
      </c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ht="26.25" customHeight="1">
      <c r="A587" s="17" t="s">
        <v>1178</v>
      </c>
      <c r="B587" s="18" t="s">
        <v>1179</v>
      </c>
      <c r="C587" s="14">
        <v>1.0</v>
      </c>
      <c r="D587" s="15">
        <v>238.0</v>
      </c>
      <c r="E587" s="15">
        <v>14.0</v>
      </c>
      <c r="F587" s="16" t="str">
        <f t="array" ref="F587">"https://www.google.com/maps/search/?api=1&amp;query=" &amp; A587 &amp; "," &amp; B587</f>
        <v>https://www.google.com/maps/search/?api=1&amp;query=-30.9025566687343,-55.5392030374377</v>
      </c>
      <c r="G587" s="16" t="str">
        <f t="array" ref="G587">"https://earth.google.com/web/search/" &amp; A587 &amp; "," &amp; B587</f>
        <v>https://earth.google.com/web/search/-30.9025566687343,-55.5392030374377</v>
      </c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ht="26.25" customHeight="1">
      <c r="A588" s="17" t="s">
        <v>1180</v>
      </c>
      <c r="B588" s="18" t="s">
        <v>1181</v>
      </c>
      <c r="C588" s="14">
        <v>1.0</v>
      </c>
      <c r="D588" s="15">
        <v>238.0</v>
      </c>
      <c r="E588" s="15">
        <v>15.0</v>
      </c>
      <c r="F588" s="16" t="str">
        <f t="array" ref="F588">"https://www.google.com/maps/search/?api=1&amp;query=" &amp; A588 &amp; "," &amp; B588</f>
        <v>https://www.google.com/maps/search/?api=1&amp;query=-30.9026873135681,-55.5392788468216</v>
      </c>
      <c r="G588" s="16" t="str">
        <f t="array" ref="G588">"https://earth.google.com/web/search/" &amp; A588 &amp; "," &amp; B588</f>
        <v>https://earth.google.com/web/search/-30.9026873135681,-55.5392788468216</v>
      </c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ht="26.25" customHeight="1">
      <c r="A589" s="17" t="s">
        <v>1182</v>
      </c>
      <c r="B589" s="18" t="s">
        <v>1183</v>
      </c>
      <c r="C589" s="14">
        <v>1.0</v>
      </c>
      <c r="D589" s="15">
        <v>238.0</v>
      </c>
      <c r="E589" s="15">
        <v>16.0</v>
      </c>
      <c r="F589" s="16" t="str">
        <f t="array" ref="F589">"https://www.google.com/maps/search/?api=1&amp;query=" &amp; A589 &amp; "," &amp; B589</f>
        <v>https://www.google.com/maps/search/?api=1&amp;query=-30.9028007795953,-55.5393658776701</v>
      </c>
      <c r="G589" s="16" t="str">
        <f t="array" ref="G589">"https://earth.google.com/web/search/" &amp; A589 &amp; "," &amp; B589</f>
        <v>https://earth.google.com/web/search/-30.9028007795953,-55.5393658776701</v>
      </c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ht="26.25" customHeight="1">
      <c r="A590" s="17" t="s">
        <v>1184</v>
      </c>
      <c r="B590" s="18" t="s">
        <v>1185</v>
      </c>
      <c r="C590" s="14">
        <v>1.0</v>
      </c>
      <c r="D590" s="15">
        <v>238.0</v>
      </c>
      <c r="E590" s="15">
        <v>17.0</v>
      </c>
      <c r="F590" s="16" t="str">
        <f t="array" ref="F590">"https://www.google.com/maps/search/?api=1&amp;query=" &amp; A590 &amp; "," &amp; B590</f>
        <v>https://www.google.com/maps/search/?api=1&amp;query=-30.9028878381728,-55.5394227108547</v>
      </c>
      <c r="G590" s="16" t="str">
        <f t="array" ref="G590">"https://earth.google.com/web/search/" &amp; A590 &amp; "," &amp; B590</f>
        <v>https://earth.google.com/web/search/-30.9028878381728,-55.5394227108547</v>
      </c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ht="26.25" customHeight="1">
      <c r="A591" s="17" t="s">
        <v>1186</v>
      </c>
      <c r="B591" s="18" t="s">
        <v>1187</v>
      </c>
      <c r="C591" s="14">
        <v>1.0</v>
      </c>
      <c r="D591" s="15">
        <v>238.0</v>
      </c>
      <c r="E591" s="15">
        <v>18.0</v>
      </c>
      <c r="F591" s="16" t="str">
        <f t="array" ref="F591">"https://www.google.com/maps/search/?api=1&amp;query=" &amp; A591 &amp; "," &amp; B591</f>
        <v>https://www.google.com/maps/search/?api=1&amp;query=-30.9029818025511,-55.5395174741139</v>
      </c>
      <c r="G591" s="16" t="str">
        <f t="array" ref="G591">"https://earth.google.com/web/search/" &amp; A591 &amp; "," &amp; B591</f>
        <v>https://earth.google.com/web/search/-30.9029818025511,-55.5395174741139</v>
      </c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ht="26.25" customHeight="1">
      <c r="A592" s="17" t="s">
        <v>1188</v>
      </c>
      <c r="B592" s="18" t="s">
        <v>1189</v>
      </c>
      <c r="C592" s="14">
        <v>1.0</v>
      </c>
      <c r="D592" s="15">
        <v>238.0</v>
      </c>
      <c r="E592" s="15">
        <v>19.0</v>
      </c>
      <c r="F592" s="16" t="str">
        <f t="array" ref="F592">"https://www.google.com/maps/search/?api=1&amp;query=" &amp; A592 &amp; "," &amp; B592</f>
        <v>https://www.google.com/maps/search/?api=1&amp;query=-30.9030686034228,-5.5539553348655</v>
      </c>
      <c r="G592" s="16" t="str">
        <f t="array" ref="G592">"https://earth.google.com/web/search/" &amp; A592 &amp; "," &amp; B592</f>
        <v>https://earth.google.com/web/search/-30.9030686034228,-5.5539553348655</v>
      </c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ht="26.25" customHeight="1">
      <c r="A593" s="17" t="s">
        <v>1190</v>
      </c>
      <c r="B593" s="18" t="s">
        <v>1191</v>
      </c>
      <c r="C593" s="14">
        <v>1.0</v>
      </c>
      <c r="D593" s="15">
        <v>238.0</v>
      </c>
      <c r="E593" s="15">
        <v>20.0</v>
      </c>
      <c r="F593" s="16" t="str">
        <f t="array" ref="F593">"https://www.google.com/maps/search/?api=1&amp;query=" &amp; A593 &amp; "," &amp; B593</f>
        <v>https://www.google.com/maps/search/?api=1&amp;query=-30.9031739165389,-55.5396356839257</v>
      </c>
      <c r="G593" s="16" t="str">
        <f t="array" ref="G593">"https://earth.google.com/web/search/" &amp; A593 &amp; "," &amp; B593</f>
        <v>https://earth.google.com/web/search/-30.9031739165389,-55.5396356839257</v>
      </c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ht="26.25" customHeight="1">
      <c r="A594" s="17" t="s">
        <v>1192</v>
      </c>
      <c r="B594" s="18" t="s">
        <v>1193</v>
      </c>
      <c r="C594" s="14">
        <v>1.0</v>
      </c>
      <c r="D594" s="15">
        <v>239.0</v>
      </c>
      <c r="E594" s="15">
        <v>1.0</v>
      </c>
      <c r="F594" s="16" t="str">
        <f t="array" ref="F594">"https://www.google.com/maps/search/?api=1&amp;query=" &amp; A594 &amp; "," &amp; B594</f>
        <v>https://www.google.com/maps/search/?api=1&amp;query=-30.9028000888138,-55.5404898362116</v>
      </c>
      <c r="G594" s="16" t="str">
        <f t="array" ref="G594">"https://earth.google.com/web/search/" &amp; A594 &amp; "," &amp; B594</f>
        <v>https://earth.google.com/web/search/-30.9028000888138,-55.5404898362116</v>
      </c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ht="26.25" customHeight="1">
      <c r="A595" s="17" t="s">
        <v>1194</v>
      </c>
      <c r="B595" s="18" t="s">
        <v>1195</v>
      </c>
      <c r="C595" s="14">
        <v>1.0</v>
      </c>
      <c r="D595" s="15">
        <v>239.0</v>
      </c>
      <c r="E595" s="15">
        <v>2.0</v>
      </c>
      <c r="F595" s="16" t="str">
        <f t="array" ref="F595">"https://www.google.com/maps/search/?api=1&amp;query=" &amp; A595 &amp; "," &amp; B595</f>
        <v>https://www.google.com/maps/search/?api=1&amp;query=-30.9028411132399,-55.5403932246258</v>
      </c>
      <c r="G595" s="16" t="str">
        <f t="array" ref="G595">"https://earth.google.com/web/search/" &amp; A595 &amp; "," &amp; B595</f>
        <v>https://earth.google.com/web/search/-30.9028411132399,-55.5403932246258</v>
      </c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ht="26.25" customHeight="1">
      <c r="A596" s="17" t="s">
        <v>1196</v>
      </c>
      <c r="B596" s="18" t="s">
        <v>1197</v>
      </c>
      <c r="C596" s="14">
        <v>1.0</v>
      </c>
      <c r="D596" s="15">
        <v>239.0</v>
      </c>
      <c r="E596" s="15">
        <v>3.0</v>
      </c>
      <c r="F596" s="16" t="str">
        <f t="array" ref="F596">"https://www.google.com/maps/search/?api=1&amp;query=" &amp; A596 &amp; "," &amp; B596</f>
        <v>https://www.google.com/maps/search/?api=1&amp;query=-30.9029607083602,-55.5401636279019</v>
      </c>
      <c r="G596" s="16" t="str">
        <f t="array" ref="G596">"https://earth.google.com/web/search/" &amp; A596 &amp; "," &amp; B596</f>
        <v>https://earth.google.com/web/search/-30.9029607083602,-55.5401636279019</v>
      </c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ht="26.25" customHeight="1">
      <c r="A597" s="17" t="s">
        <v>1198</v>
      </c>
      <c r="B597" s="18" t="s">
        <v>1199</v>
      </c>
      <c r="C597" s="14">
        <v>1.0</v>
      </c>
      <c r="D597" s="15">
        <v>239.0</v>
      </c>
      <c r="E597" s="15">
        <v>4.0</v>
      </c>
      <c r="F597" s="16" t="str">
        <f t="array" ref="F597">"https://www.google.com/maps/search/?api=1&amp;query=" &amp; A597 &amp; "," &amp; B597</f>
        <v>https://www.google.com/maps/search/?api=1&amp;query=-30.9028797933636,-55.5395298481824</v>
      </c>
      <c r="G597" s="16" t="str">
        <f t="array" ref="G597">"https://earth.google.com/web/search/" &amp; A597 &amp; "," &amp; B597</f>
        <v>https://earth.google.com/web/search/-30.9028797933636,-55.5395298481824</v>
      </c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ht="26.25" customHeight="1">
      <c r="A598" s="17" t="s">
        <v>1200</v>
      </c>
      <c r="B598" s="18" t="s">
        <v>1201</v>
      </c>
      <c r="C598" s="14">
        <v>1.0</v>
      </c>
      <c r="D598" s="15">
        <v>239.0</v>
      </c>
      <c r="E598" s="15">
        <v>5.0</v>
      </c>
      <c r="F598" s="16" t="str">
        <f t="array" ref="F598">"https://www.google.com/maps/search/?api=1&amp;query=" &amp; A598 &amp; "," &amp; B598</f>
        <v>https://www.google.com/maps/search/?api=1&amp;query=-30.9027867770977,-55.5394659574288</v>
      </c>
      <c r="G598" s="16" t="str">
        <f t="array" ref="G598">"https://earth.google.com/web/search/" &amp; A598 &amp; "," &amp; B598</f>
        <v>https://earth.google.com/web/search/-30.9027867770977,-55.5394659574288</v>
      </c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ht="26.25" customHeight="1">
      <c r="A599" s="17" t="s">
        <v>1202</v>
      </c>
      <c r="B599" s="18" t="s">
        <v>1203</v>
      </c>
      <c r="C599" s="14">
        <v>1.0</v>
      </c>
      <c r="D599" s="15">
        <v>239.0</v>
      </c>
      <c r="E599" s="15">
        <v>6.0</v>
      </c>
      <c r="F599" s="16" t="str">
        <f t="array" ref="F599">"https://www.google.com/maps/search/?api=1&amp;query=" &amp; A599 &amp; "," &amp; B599</f>
        <v>https://www.google.com/maps/search/?api=1&amp;query=-3.0902590999383,-55.5393199994532</v>
      </c>
      <c r="G599" s="16" t="str">
        <f t="array" ref="G599">"https://earth.google.com/web/search/" &amp; A599 &amp; "," &amp; B599</f>
        <v>https://earth.google.com/web/search/-3.0902590999383,-55.5393199994532</v>
      </c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 ht="26.25" customHeight="1">
      <c r="A600" s="17" t="s">
        <v>1204</v>
      </c>
      <c r="B600" s="18" t="s">
        <v>1205</v>
      </c>
      <c r="C600" s="14">
        <v>1.0</v>
      </c>
      <c r="D600" s="15">
        <v>239.0</v>
      </c>
      <c r="E600" s="15">
        <v>7.0</v>
      </c>
      <c r="F600" s="16" t="str">
        <f t="array" ref="F600">"https://www.google.com/maps/search/?api=1&amp;query=" &amp; A600 &amp; "," &amp; B600</f>
        <v>https://www.google.com/maps/search/?api=1&amp;query=-30.9025016133665,-55.5392824418645</v>
      </c>
      <c r="G600" s="16" t="str">
        <f t="array" ref="G600">"https://earth.google.com/web/search/" &amp; A600 &amp; "," &amp; B600</f>
        <v>https://earth.google.com/web/search/-30.9025016133665,-55.5392824418645</v>
      </c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 ht="26.25" customHeight="1">
      <c r="A601" s="17" t="s">
        <v>1206</v>
      </c>
      <c r="B601" s="18" t="s">
        <v>1207</v>
      </c>
      <c r="C601" s="14">
        <v>1.0</v>
      </c>
      <c r="D601" s="15">
        <v>239.0</v>
      </c>
      <c r="E601" s="15">
        <v>8.0</v>
      </c>
      <c r="F601" s="16" t="str">
        <f t="array" ref="F601">"https://www.google.com/maps/search/?api=1&amp;query=" &amp; A601 &amp; "," &amp; B601</f>
        <v>https://www.google.com/maps/search/?api=1&amp;query=-30.9024271456743,-55.5393398725779</v>
      </c>
      <c r="G601" s="16" t="str">
        <f t="array" ref="G601">"https://earth.google.com/web/search/" &amp; A601 &amp; "," &amp; B601</f>
        <v>https://earth.google.com/web/search/-30.9024271456743,-55.5393398725779</v>
      </c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 ht="26.25" customHeight="1">
      <c r="A602" s="17" t="s">
        <v>1208</v>
      </c>
      <c r="B602" s="18" t="s">
        <v>1209</v>
      </c>
      <c r="C602" s="14">
        <v>1.0</v>
      </c>
      <c r="D602" s="15">
        <v>239.0</v>
      </c>
      <c r="E602" s="15">
        <v>9.0</v>
      </c>
      <c r="F602" s="16" t="str">
        <f t="array" ref="F602">"https://www.google.com/maps/search/?api=1&amp;query=" &amp; A602 &amp; "," &amp; B602</f>
        <v>https://www.google.com/maps/search/?api=1&amp;query=-30.9023760010127,-55.5394180362661</v>
      </c>
      <c r="G602" s="16" t="str">
        <f t="array" ref="G602">"https://earth.google.com/web/search/" &amp; A602 &amp; "," &amp; B602</f>
        <v>https://earth.google.com/web/search/-30.9023760010127,-55.5394180362661</v>
      </c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 ht="26.25" customHeight="1">
      <c r="A603" s="17" t="s">
        <v>1210</v>
      </c>
      <c r="B603" s="18" t="s">
        <v>1211</v>
      </c>
      <c r="C603" s="14">
        <v>1.0</v>
      </c>
      <c r="D603" s="15">
        <v>239.0</v>
      </c>
      <c r="E603" s="15">
        <v>10.0</v>
      </c>
      <c r="F603" s="16" t="str">
        <f t="array" ref="F603">"https://www.google.com/maps/search/?api=1&amp;query=" &amp; A603 &amp; "," &amp; B603</f>
        <v>https://www.google.com/maps/search/?api=1&amp;query=-30.9023314910852,-55.5394944460225</v>
      </c>
      <c r="G603" s="16" t="str">
        <f t="array" ref="G603">"https://earth.google.com/web/search/" &amp; A603 &amp; "," &amp; B603</f>
        <v>https://earth.google.com/web/search/-30.9023314910852,-55.5394944460225</v>
      </c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 ht="26.25" customHeight="1">
      <c r="A604" s="17" t="s">
        <v>1212</v>
      </c>
      <c r="B604" s="18" t="s">
        <v>1213</v>
      </c>
      <c r="C604" s="14">
        <v>1.0</v>
      </c>
      <c r="D604" s="15">
        <v>239.0</v>
      </c>
      <c r="E604" s="15">
        <v>11.0</v>
      </c>
      <c r="F604" s="16" t="str">
        <f t="array" ref="F604">"https://www.google.com/maps/search/?api=1&amp;query=" &amp; A604 &amp; "," &amp; B604</f>
        <v>https://www.google.com/maps/search/?api=1&amp;query=-30.9022929919433,-55.5395764418546</v>
      </c>
      <c r="G604" s="16" t="str">
        <f t="array" ref="G604">"https://earth.google.com/web/search/" &amp; A604 &amp; "," &amp; B604</f>
        <v>https://earth.google.com/web/search/-30.9022929919433,-55.5395764418546</v>
      </c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 ht="26.25" customHeight="1">
      <c r="A605" s="17" t="s">
        <v>1214</v>
      </c>
      <c r="B605" s="18" t="s">
        <v>1215</v>
      </c>
      <c r="C605" s="14">
        <v>1.0</v>
      </c>
      <c r="D605" s="15">
        <v>239.0</v>
      </c>
      <c r="E605" s="15">
        <v>12.0</v>
      </c>
      <c r="F605" s="16" t="str">
        <f t="array" ref="F605">"https://www.google.com/maps/search/?api=1&amp;query=" &amp; A605 &amp; "," &amp; B605</f>
        <v>https://www.google.com/maps/search/?api=1&amp;query=-30.9021681560675,-55.5398009928314</v>
      </c>
      <c r="G605" s="16" t="str">
        <f t="array" ref="G605">"https://earth.google.com/web/search/" &amp; A605 &amp; "," &amp; B605</f>
        <v>https://earth.google.com/web/search/-30.9021681560675,-55.5398009928314</v>
      </c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ht="26.25" customHeight="1">
      <c r="A606" s="17" t="s">
        <v>1216</v>
      </c>
      <c r="B606" s="18" t="s">
        <v>1217</v>
      </c>
      <c r="C606" s="14">
        <v>1.0</v>
      </c>
      <c r="D606" s="15">
        <v>239.0</v>
      </c>
      <c r="E606" s="15">
        <v>13.0</v>
      </c>
      <c r="F606" s="16" t="str">
        <f t="array" ref="F606">"https://www.google.com/maps/search/?api=1&amp;query=" &amp; A606 &amp; "," &amp; B606</f>
        <v>https://www.google.com/maps/search/?api=1&amp;query=-30.9021319522287,-55.5398840626006</v>
      </c>
      <c r="G606" s="16" t="str">
        <f t="array" ref="G606">"https://earth.google.com/web/search/" &amp; A606 &amp; "," &amp; B606</f>
        <v>https://earth.google.com/web/search/-30.9021319522287,-55.5398840626006</v>
      </c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 ht="26.25" customHeight="1">
      <c r="A607" s="17" t="s">
        <v>1218</v>
      </c>
      <c r="B607" s="18" t="s">
        <v>1219</v>
      </c>
      <c r="C607" s="14">
        <v>1.0</v>
      </c>
      <c r="D607" s="15">
        <v>239.0</v>
      </c>
      <c r="E607" s="15">
        <v>14.0</v>
      </c>
      <c r="F607" s="16" t="str">
        <f t="array" ref="F607">"https://www.google.com/maps/search/?api=1&amp;query=" &amp; A607 &amp; "," &amp; B607</f>
        <v>https://www.google.com/maps/search/?api=1&amp;query=-30.9020505229438,-55.5400343554885</v>
      </c>
      <c r="G607" s="16" t="str">
        <f t="array" ref="G607">"https://earth.google.com/web/search/" &amp; A607 &amp; "," &amp; B607</f>
        <v>https://earth.google.com/web/search/-30.9020505229438,-55.5400343554885</v>
      </c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 ht="26.25" customHeight="1">
      <c r="A608" s="17" t="s">
        <v>1220</v>
      </c>
      <c r="B608" s="18" t="s">
        <v>1221</v>
      </c>
      <c r="C608" s="14">
        <v>1.0</v>
      </c>
      <c r="D608" s="15">
        <v>239.0</v>
      </c>
      <c r="E608" s="15">
        <v>15.0</v>
      </c>
      <c r="F608" s="16" t="str">
        <f t="array" ref="F608">"https://www.google.com/maps/search/?api=1&amp;query=" &amp; A608 &amp; "," &amp; B608</f>
        <v>https://www.google.com/maps/search/?api=1&amp;query=-30.9022296536721,-55.5402089604185</v>
      </c>
      <c r="G608" s="16" t="str">
        <f t="array" ref="G608">"https://earth.google.com/web/search/" &amp; A608 &amp; "," &amp; B608</f>
        <v>https://earth.google.com/web/search/-30.9022296536721,-55.5402089604185</v>
      </c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ht="26.25" customHeight="1">
      <c r="A609" s="17" t="s">
        <v>1222</v>
      </c>
      <c r="B609" s="18" t="s">
        <v>1223</v>
      </c>
      <c r="C609" s="14">
        <v>1.0</v>
      </c>
      <c r="D609" s="15">
        <v>239.0</v>
      </c>
      <c r="E609" s="15">
        <v>16.0</v>
      </c>
      <c r="F609" s="16" t="str">
        <f t="array" ref="F609">"https://www.google.com/maps/search/?api=1&amp;query=" &amp; A609 &amp; "," &amp; B609</f>
        <v>https://www.google.com/maps/search/?api=1&amp;query=-3.0902306740981,-55.5402527277438</v>
      </c>
      <c r="G609" s="16" t="str">
        <f t="array" ref="G609">"https://earth.google.com/web/search/" &amp; A609 &amp; "," &amp; B609</f>
        <v>https://earth.google.com/web/search/-3.0902306740981,-55.5402527277438</v>
      </c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 ht="26.25" customHeight="1">
      <c r="A610" s="17" t="s">
        <v>1224</v>
      </c>
      <c r="B610" s="18" t="s">
        <v>1225</v>
      </c>
      <c r="C610" s="14">
        <v>1.0</v>
      </c>
      <c r="D610" s="15">
        <v>240.0</v>
      </c>
      <c r="E610" s="15">
        <v>1.0</v>
      </c>
      <c r="F610" s="16" t="str">
        <f t="array" ref="F610">"https://www.google.com/maps/search/?api=1&amp;query=" &amp; A610 &amp; "," &amp; B610</f>
        <v>https://www.google.com/maps/search/?api=1&amp;query=-30.9022961440698,-55.5414203319484</v>
      </c>
      <c r="G610" s="16" t="str">
        <f t="array" ref="G610">"https://earth.google.com/web/search/" &amp; A610 &amp; "," &amp; B610</f>
        <v>https://earth.google.com/web/search/-30.9022961440698,-55.5414203319484</v>
      </c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ht="26.25" customHeight="1">
      <c r="A611" s="17" t="s">
        <v>1226</v>
      </c>
      <c r="B611" s="18" t="s">
        <v>1227</v>
      </c>
      <c r="C611" s="14">
        <v>1.0</v>
      </c>
      <c r="D611" s="15">
        <v>240.0</v>
      </c>
      <c r="E611" s="15">
        <v>2.0</v>
      </c>
      <c r="F611" s="16" t="str">
        <f t="array" ref="F611">"https://www.google.com/maps/search/?api=1&amp;query=" &amp; A611 &amp; "," &amp; B611</f>
        <v>https://www.google.com/maps/search/?api=1&amp;query=-30.9023607013153,-55.5413062088555</v>
      </c>
      <c r="G611" s="16" t="str">
        <f t="array" ref="G611">"https://earth.google.com/web/search/" &amp; A611 &amp; "," &amp; B611</f>
        <v>https://earth.google.com/web/search/-30.9023607013153,-55.5413062088555</v>
      </c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ht="26.25" customHeight="1">
      <c r="A612" s="17" t="s">
        <v>1228</v>
      </c>
      <c r="B612" s="18" t="s">
        <v>1229</v>
      </c>
      <c r="C612" s="14">
        <v>1.0</v>
      </c>
      <c r="D612" s="15">
        <v>240.0</v>
      </c>
      <c r="E612" s="15">
        <v>3.0</v>
      </c>
      <c r="F612" s="16" t="str">
        <f t="array" ref="F612">"https://www.google.com/maps/search/?api=1&amp;query=" &amp; A612 &amp; "," &amp; B612</f>
        <v>https://www.google.com/maps/search/?api=1&amp;query=-30.9024882626124,-55.5410477874026</v>
      </c>
      <c r="G612" s="16" t="str">
        <f t="array" ref="G612">"https://earth.google.com/web/search/" &amp; A612 &amp; "," &amp; B612</f>
        <v>https://earth.google.com/web/search/-30.9024882626124,-55.5410477874026</v>
      </c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ht="26.25" customHeight="1">
      <c r="A613" s="17" t="s">
        <v>1230</v>
      </c>
      <c r="B613" s="18" t="s">
        <v>1231</v>
      </c>
      <c r="C613" s="14">
        <v>1.0</v>
      </c>
      <c r="D613" s="15">
        <v>240.0</v>
      </c>
      <c r="E613" s="15">
        <v>4.0</v>
      </c>
      <c r="F613" s="16" t="str">
        <f t="array" ref="F613">"https://www.google.com/maps/search/?api=1&amp;query=" &amp; A613 &amp; "," &amp; B613</f>
        <v>https://www.google.com/maps/search/?api=1&amp;query=-30.9025513197417,-55.5409560017832</v>
      </c>
      <c r="G613" s="16" t="str">
        <f t="array" ref="G613">"https://earth.google.com/web/search/" &amp; A613 &amp; "," &amp; B613</f>
        <v>https://earth.google.com/web/search/-30.9025513197417,-55.5409560017832</v>
      </c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 ht="26.25" customHeight="1">
      <c r="A614" s="17" t="s">
        <v>1232</v>
      </c>
      <c r="B614" s="18" t="s">
        <v>1233</v>
      </c>
      <c r="C614" s="14">
        <v>1.0</v>
      </c>
      <c r="D614" s="15">
        <v>240.0</v>
      </c>
      <c r="E614" s="15">
        <v>5.0</v>
      </c>
      <c r="F614" s="16" t="str">
        <f t="array" ref="F614">"https://www.google.com/maps/search/?api=1&amp;query=" &amp; A614 &amp; "," &amp; B614</f>
        <v>https://www.google.com/maps/search/?api=1&amp;query=-30.9026484387965,-55.5407642309465</v>
      </c>
      <c r="G614" s="16" t="str">
        <f t="array" ref="G614">"https://earth.google.com/web/search/" &amp; A614 &amp; "," &amp; B614</f>
        <v>https://earth.google.com/web/search/-30.9026484387965,-55.5407642309465</v>
      </c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ht="26.25" customHeight="1">
      <c r="A615" s="17" t="s">
        <v>1234</v>
      </c>
      <c r="B615" s="18" t="s">
        <v>1235</v>
      </c>
      <c r="C615" s="14">
        <v>1.0</v>
      </c>
      <c r="D615" s="15">
        <v>240.0</v>
      </c>
      <c r="E615" s="15">
        <v>6.0</v>
      </c>
      <c r="F615" s="16" t="str">
        <f t="array" ref="F615">"https://www.google.com/maps/search/?api=1&amp;query=" &amp; A615 &amp; "," &amp; B615</f>
        <v>https://www.google.com/maps/search/?api=1&amp;query=-30.9024822870426,-0.0555404960557</v>
      </c>
      <c r="G615" s="16" t="str">
        <f t="array" ref="G615">"https://earth.google.com/web/search/" &amp; A615 &amp; "," &amp; B615</f>
        <v>https://earth.google.com/web/search/-30.9024822870426,-0.0555404960557</v>
      </c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 ht="26.25" customHeight="1">
      <c r="A616" s="17" t="s">
        <v>1236</v>
      </c>
      <c r="B616" s="18" t="s">
        <v>1237</v>
      </c>
      <c r="C616" s="14">
        <v>1.0</v>
      </c>
      <c r="D616" s="15">
        <v>240.0</v>
      </c>
      <c r="E616" s="15">
        <v>7.0</v>
      </c>
      <c r="F616" s="16" t="str">
        <f t="array" ref="F616">"https://www.google.com/maps/search/?api=1&amp;query=" &amp; A616 &amp; "," &amp; B616</f>
        <v>https://www.google.com/maps/search/?api=1&amp;query=-3.0902414956376,-55.5404623205987</v>
      </c>
      <c r="G616" s="16" t="str">
        <f t="array" ref="G616">"https://earth.google.com/web/search/" &amp; A616 &amp; "," &amp; B616</f>
        <v>https://earth.google.com/web/search/-3.0902414956376,-55.5404623205987</v>
      </c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ht="26.25" customHeight="1">
      <c r="A617" s="17" t="s">
        <v>1238</v>
      </c>
      <c r="B617" s="18" t="s">
        <v>1239</v>
      </c>
      <c r="C617" s="14">
        <v>1.0</v>
      </c>
      <c r="D617" s="15">
        <v>240.0</v>
      </c>
      <c r="E617" s="15">
        <v>8.0</v>
      </c>
      <c r="F617" s="16" t="str">
        <f t="array" ref="F617">"https://www.google.com/maps/search/?api=1&amp;query=" &amp; A617 &amp; "," &amp; B617</f>
        <v>https://www.google.com/maps/search/?api=1&amp;query=-30.9021444118091,-55.5402679664092</v>
      </c>
      <c r="G617" s="16" t="str">
        <f t="array" ref="G617">"https://earth.google.com/web/search/" &amp; A617 &amp; "," &amp; B617</f>
        <v>https://earth.google.com/web/search/-30.9021444118091,-55.5402679664092</v>
      </c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ht="26.25" customHeight="1">
      <c r="A618" s="17" t="s">
        <v>1240</v>
      </c>
      <c r="B618" s="18" t="s">
        <v>1241</v>
      </c>
      <c r="C618" s="14">
        <v>1.0</v>
      </c>
      <c r="D618" s="15">
        <v>240.0</v>
      </c>
      <c r="E618" s="15">
        <v>9.0</v>
      </c>
      <c r="F618" s="16" t="str">
        <f t="array" ref="F618">"https://www.google.com/maps/search/?api=1&amp;query=" &amp; A618 &amp; "," &amp; B618</f>
        <v>https://www.google.com/maps/search/?api=1&amp;query=-30.9020734856255,-0.0555402140062</v>
      </c>
      <c r="G618" s="16" t="str">
        <f t="array" ref="G618">"https://earth.google.com/web/search/" &amp; A618 &amp; "," &amp; B618</f>
        <v>https://earth.google.com/web/search/-30.9020734856255,-0.0555402140062</v>
      </c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ht="26.25" customHeight="1">
      <c r="A619" s="17" t="s">
        <v>1242</v>
      </c>
      <c r="B619" s="18" t="s">
        <v>1243</v>
      </c>
      <c r="C619" s="14">
        <v>1.0</v>
      </c>
      <c r="D619" s="15">
        <v>240.0</v>
      </c>
      <c r="E619" s="15">
        <v>10.0</v>
      </c>
      <c r="F619" s="16" t="str">
        <f t="array" ref="F619">"https://www.google.com/maps/search/?api=1&amp;query=" &amp; A619 &amp; "," &amp; B619</f>
        <v>https://www.google.com/maps/search/?api=1&amp;query=-30.9020182627137,-55.5401712892078</v>
      </c>
      <c r="G619" s="16" t="str">
        <f t="array" ref="G619">"https://earth.google.com/web/search/" &amp; A619 &amp; "," &amp; B619</f>
        <v>https://earth.google.com/web/search/-30.9020182627137,-55.5401712892078</v>
      </c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ht="26.25" customHeight="1">
      <c r="A620" s="17" t="s">
        <v>1244</v>
      </c>
      <c r="B620" s="18" t="s">
        <v>1245</v>
      </c>
      <c r="C620" s="14">
        <v>1.0</v>
      </c>
      <c r="D620" s="15">
        <v>240.0</v>
      </c>
      <c r="E620" s="15">
        <v>11.0</v>
      </c>
      <c r="F620" s="16" t="str">
        <f t="array" ref="F620">"https://www.google.com/maps/search/?api=1&amp;query=" &amp; A620 &amp; "," &amp; B620</f>
        <v>https://www.google.com/maps/search/?api=1&amp;query=-30.9019226679829,-55.5402659060448</v>
      </c>
      <c r="G620" s="16" t="str">
        <f t="array" ref="G620">"https://earth.google.com/web/search/" &amp; A620 &amp; "," &amp; B620</f>
        <v>https://earth.google.com/web/search/-30.9019226679829,-55.5402659060448</v>
      </c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 ht="26.25" customHeight="1">
      <c r="A621" s="17" t="s">
        <v>1246</v>
      </c>
      <c r="B621" s="18" t="s">
        <v>1247</v>
      </c>
      <c r="C621" s="14">
        <v>1.0</v>
      </c>
      <c r="D621" s="15">
        <v>240.0</v>
      </c>
      <c r="E621" s="15">
        <v>12.0</v>
      </c>
      <c r="F621" s="16" t="str">
        <f t="array" ref="F621">"https://www.google.com/maps/search/?api=1&amp;query=" &amp; A621 &amp; "," &amp; B621</f>
        <v>https://www.google.com/maps/search/?api=1&amp;query=-30.9017053047596,-55.5406747621145</v>
      </c>
      <c r="G621" s="16" t="str">
        <f t="array" ref="G621">"https://earth.google.com/web/search/" &amp; A621 &amp; "," &amp; B621</f>
        <v>https://earth.google.com/web/search/-30.9017053047596,-55.5406747621145</v>
      </c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ht="26.25" customHeight="1">
      <c r="A622" s="17" t="s">
        <v>1248</v>
      </c>
      <c r="B622" s="18" t="s">
        <v>1249</v>
      </c>
      <c r="C622" s="14">
        <v>1.0</v>
      </c>
      <c r="D622" s="15">
        <v>240.0</v>
      </c>
      <c r="E622" s="15">
        <v>13.0</v>
      </c>
      <c r="F622" s="16" t="str">
        <f t="array" ref="F622">"https://www.google.com/maps/search/?api=1&amp;query=" &amp; A622 &amp; "," &amp; B622</f>
        <v>https://www.google.com/maps/search/?api=1&amp;query=-3.0901666269077,-55.5407417114323</v>
      </c>
      <c r="G622" s="16" t="str">
        <f t="array" ref="G622">"https://earth.google.com/web/search/" &amp; A622 &amp; "," &amp; B622</f>
        <v>https://earth.google.com/web/search/-3.0901666269077,-55.5407417114323</v>
      </c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ht="26.25" customHeight="1">
      <c r="A623" s="17" t="s">
        <v>1250</v>
      </c>
      <c r="B623" s="18" t="s">
        <v>1251</v>
      </c>
      <c r="C623" s="14">
        <v>1.0</v>
      </c>
      <c r="D623" s="15">
        <v>240.0</v>
      </c>
      <c r="E623" s="15">
        <v>14.0</v>
      </c>
      <c r="F623" s="16" t="str">
        <f t="array" ref="F623">"https://www.google.com/maps/search/?api=1&amp;query=" &amp; A623 &amp; "," &amp; B623</f>
        <v>https://www.google.com/maps/search/?api=1&amp;query=-30.9017528383348,-55.5411512611621</v>
      </c>
      <c r="G623" s="16" t="str">
        <f t="array" ref="G623">"https://earth.google.com/web/search/" &amp; A623 &amp; "," &amp; B623</f>
        <v>https://earth.google.com/web/search/-30.9017528383348,-55.5411512611621</v>
      </c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 ht="26.25" customHeight="1">
      <c r="A624" s="17" t="s">
        <v>1252</v>
      </c>
      <c r="B624" s="18" t="s">
        <v>1253</v>
      </c>
      <c r="C624" s="14">
        <v>1.0</v>
      </c>
      <c r="D624" s="15">
        <v>240.0</v>
      </c>
      <c r="E624" s="15">
        <v>15.0</v>
      </c>
      <c r="F624" s="16" t="str">
        <f t="array" ref="F624">"https://www.google.com/maps/search/?api=1&amp;query=" &amp; A624 &amp; "," &amp; B624</f>
        <v>https://www.google.com/maps/search/?api=1&amp;query=-30.9018008882797,-55.5411898937168</v>
      </c>
      <c r="G624" s="16" t="str">
        <f t="array" ref="G624">"https://earth.google.com/web/search/" &amp; A624 &amp; "," &amp; B624</f>
        <v>https://earth.google.com/web/search/-30.9018008882797,-55.5411898937168</v>
      </c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 ht="26.25" customHeight="1">
      <c r="A625" s="17" t="s">
        <v>1254</v>
      </c>
      <c r="B625" s="18" t="s">
        <v>1255</v>
      </c>
      <c r="C625" s="14">
        <v>1.0</v>
      </c>
      <c r="D625" s="15">
        <v>240.0</v>
      </c>
      <c r="E625" s="15">
        <v>16.0</v>
      </c>
      <c r="F625" s="16" t="str">
        <f t="array" ref="F625">"https://www.google.com/maps/search/?api=1&amp;query=" &amp; A625 &amp; "," &amp; B625</f>
        <v>https://www.google.com/maps/search/?api=1&amp;query=-30.9018711246798,-55.5412254117508</v>
      </c>
      <c r="G625" s="16" t="str">
        <f t="array" ref="G625">"https://earth.google.com/web/search/" &amp; A625 &amp; "," &amp; B625</f>
        <v>https://earth.google.com/web/search/-30.9018711246798,-55.5412254117508</v>
      </c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ht="26.25" customHeight="1">
      <c r="A626" s="17" t="s">
        <v>1256</v>
      </c>
      <c r="B626" s="18" t="s">
        <v>1257</v>
      </c>
      <c r="C626" s="14">
        <v>1.0</v>
      </c>
      <c r="D626" s="15">
        <v>240.0</v>
      </c>
      <c r="E626" s="15">
        <v>17.0</v>
      </c>
      <c r="F626" s="16" t="str">
        <f t="array" ref="F626">"https://www.google.com/maps/search/?api=1&amp;query=" &amp; A626 &amp; "," &amp; B626</f>
        <v>https://www.google.com/maps/search/?api=1&amp;query=-30.9021978798699,-55.5414434684857</v>
      </c>
      <c r="G626" s="16" t="str">
        <f t="array" ref="G626">"https://earth.google.com/web/search/" &amp; A626 &amp; "," &amp; B626</f>
        <v>https://earth.google.com/web/search/-30.9021978798699,-55.5414434684857</v>
      </c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ht="26.25" customHeight="1">
      <c r="A627" s="17" t="s">
        <v>1258</v>
      </c>
      <c r="B627" s="18" t="s">
        <v>1259</v>
      </c>
      <c r="C627" s="14">
        <v>1.0</v>
      </c>
      <c r="D627" s="15">
        <v>241.0</v>
      </c>
      <c r="E627" s="15">
        <v>1.0</v>
      </c>
      <c r="F627" s="16" t="str">
        <f t="array" ref="F627">"https://www.google.com/maps/search/?api=1&amp;query=" &amp; A627 &amp; "," &amp; B627</f>
        <v>https://www.google.com/maps/search/?api=1&amp;query=-30.9018080955379,-55.5423410840961</v>
      </c>
      <c r="G627" s="16" t="str">
        <f t="array" ref="G627">"https://earth.google.com/web/search/" &amp; A627 &amp; "," &amp; B627</f>
        <v>https://earth.google.com/web/search/-30.9018080955379,-55.5423410840961</v>
      </c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 ht="26.25" customHeight="1">
      <c r="A628" s="17" t="s">
        <v>1260</v>
      </c>
      <c r="B628" s="18" t="s">
        <v>1261</v>
      </c>
      <c r="C628" s="14">
        <v>1.0</v>
      </c>
      <c r="D628" s="15">
        <v>241.0</v>
      </c>
      <c r="E628" s="15">
        <v>2.0</v>
      </c>
      <c r="F628" s="16" t="str">
        <f t="array" ref="F628">"https://www.google.com/maps/search/?api=1&amp;query=" &amp; A628 &amp; "," &amp; B628</f>
        <v>https://www.google.com/maps/search/?api=1&amp;query=-30.9018332022765,-55.5422353069332</v>
      </c>
      <c r="G628" s="16" t="str">
        <f t="array" ref="G628">"https://earth.google.com/web/search/" &amp; A628 &amp; "," &amp; B628</f>
        <v>https://earth.google.com/web/search/-30.9018332022765,-55.5422353069332</v>
      </c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ht="26.25" customHeight="1">
      <c r="A629" s="17" t="s">
        <v>1262</v>
      </c>
      <c r="B629" s="18" t="s">
        <v>1263</v>
      </c>
      <c r="C629" s="14">
        <v>1.0</v>
      </c>
      <c r="D629" s="15">
        <v>241.0</v>
      </c>
      <c r="E629" s="15">
        <v>3.0</v>
      </c>
      <c r="F629" s="16" t="str">
        <f t="array" ref="F629">"https://www.google.com/maps/search/?api=1&amp;query=" &amp; A629 &amp; "," &amp; B629</f>
        <v>https://www.google.com/maps/search/?api=1&amp;query=-30.9018912581068,-55.5421822567834</v>
      </c>
      <c r="G629" s="16" t="str">
        <f t="array" ref="G629">"https://earth.google.com/web/search/" &amp; A629 &amp; "," &amp; B629</f>
        <v>https://earth.google.com/web/search/-30.9018912581068,-55.5421822567834</v>
      </c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 ht="26.25" customHeight="1">
      <c r="A630" s="17" t="s">
        <v>1264</v>
      </c>
      <c r="B630" s="18" t="s">
        <v>1265</v>
      </c>
      <c r="C630" s="14">
        <v>1.0</v>
      </c>
      <c r="D630" s="15">
        <v>241.0</v>
      </c>
      <c r="E630" s="15">
        <v>4.0</v>
      </c>
      <c r="F630" s="16" t="str">
        <f t="array" ref="F630">"https://www.google.com/maps/search/?api=1&amp;query=" &amp; A630 &amp; "," &amp; B630</f>
        <v>https://www.google.com/maps/search/?api=1&amp;query=-30.9019216355971,-55.5420965930842</v>
      </c>
      <c r="G630" s="16" t="str">
        <f t="array" ref="G630">"https://earth.google.com/web/search/" &amp; A630 &amp; "," &amp; B630</f>
        <v>https://earth.google.com/web/search/-30.9019216355971,-55.5420965930842</v>
      </c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ht="26.25" customHeight="1">
      <c r="A631" s="17" t="s">
        <v>1266</v>
      </c>
      <c r="B631" s="18" t="s">
        <v>1267</v>
      </c>
      <c r="C631" s="14">
        <v>1.0</v>
      </c>
      <c r="D631" s="15">
        <v>241.0</v>
      </c>
      <c r="E631" s="15">
        <v>5.0</v>
      </c>
      <c r="F631" s="16" t="str">
        <f t="array" ref="F631">"https://www.google.com/maps/search/?api=1&amp;query=" &amp; A631 &amp; "," &amp; B631</f>
        <v>https://www.google.com/maps/search/?api=1&amp;query=-30.9019682572635,-55.5420508141841</v>
      </c>
      <c r="G631" s="16" t="str">
        <f t="array" ref="G631">"https://earth.google.com/web/search/" &amp; A631 &amp; "," &amp; B631</f>
        <v>https://earth.google.com/web/search/-30.9019682572635,-55.5420508141841</v>
      </c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ht="26.25" customHeight="1">
      <c r="A632" s="17" t="s">
        <v>1268</v>
      </c>
      <c r="B632" s="18" t="s">
        <v>1269</v>
      </c>
      <c r="C632" s="14">
        <v>1.0</v>
      </c>
      <c r="D632" s="15">
        <v>241.0</v>
      </c>
      <c r="E632" s="15">
        <v>6.0</v>
      </c>
      <c r="F632" s="16" t="str">
        <f t="array" ref="F632">"https://www.google.com/maps/search/?api=1&amp;query=" &amp; A632 &amp; "," &amp; B632</f>
        <v>https://www.google.com/maps/search/?api=1&amp;query=-30.9020332607359,-55.5418945537269</v>
      </c>
      <c r="G632" s="16" t="str">
        <f t="array" ref="G632">"https://earth.google.com/web/search/" &amp; A632 &amp; "," &amp; B632</f>
        <v>https://earth.google.com/web/search/-30.9020332607359,-55.5418945537269</v>
      </c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ht="26.25" customHeight="1">
      <c r="A633" s="17" t="s">
        <v>1270</v>
      </c>
      <c r="B633" s="18" t="s">
        <v>1271</v>
      </c>
      <c r="C633" s="14">
        <v>1.0</v>
      </c>
      <c r="D633" s="15">
        <v>241.0</v>
      </c>
      <c r="E633" s="15">
        <v>7.0</v>
      </c>
      <c r="F633" s="16" t="str">
        <f t="array" ref="F633">"https://www.google.com/maps/search/?api=1&amp;query=" &amp; A633 &amp; "," &amp; B633</f>
        <v>https://www.google.com/maps/search/?api=1&amp;query=-30.9019183252779,-5.5541412331933</v>
      </c>
      <c r="G633" s="16" t="str">
        <f t="array" ref="G633">"https://earth.google.com/web/search/" &amp; A633 &amp; "," &amp; B633</f>
        <v>https://earth.google.com/web/search/-30.9019183252779,-5.5541412331933</v>
      </c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ht="26.25" customHeight="1">
      <c r="A634" s="17" t="s">
        <v>1272</v>
      </c>
      <c r="B634" s="18" t="s">
        <v>1273</v>
      </c>
      <c r="C634" s="14">
        <v>1.0</v>
      </c>
      <c r="D634" s="15">
        <v>241.0</v>
      </c>
      <c r="E634" s="15">
        <v>8.0</v>
      </c>
      <c r="F634" s="16" t="str">
        <f t="array" ref="F634">"https://www.google.com/maps/search/?api=1&amp;query=" &amp; A634 &amp; "," &amp; B634</f>
        <v>https://www.google.com/maps/search/?api=1&amp;query=-30.9017006147533,-55.5412586101812</v>
      </c>
      <c r="G634" s="16" t="str">
        <f t="array" ref="G634">"https://earth.google.com/web/search/" &amp; A634 &amp; "," &amp; B634</f>
        <v>https://earth.google.com/web/search/-30.9017006147533,-55.5412586101812</v>
      </c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ht="26.25" customHeight="1">
      <c r="A635" s="17" t="s">
        <v>1274</v>
      </c>
      <c r="B635" s="18" t="s">
        <v>1275</v>
      </c>
      <c r="C635" s="14">
        <v>1.0</v>
      </c>
      <c r="D635" s="15">
        <v>241.0</v>
      </c>
      <c r="E635" s="15">
        <v>9.0</v>
      </c>
      <c r="F635" s="16" t="str">
        <f t="array" ref="F635">"https://www.google.com/maps/search/?api=1&amp;query=" &amp; A635 &amp; "," &amp; B635</f>
        <v>https://www.google.com/maps/search/?api=1&amp;query=-30.9015528912066,-55.5411465976641</v>
      </c>
      <c r="G635" s="16" t="str">
        <f t="array" ref="G635">"https://earth.google.com/web/search/" &amp; A635 &amp; "," &amp; B635</f>
        <v>https://earth.google.com/web/search/-30.9015528912066,-55.5411465976641</v>
      </c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ht="26.25" customHeight="1">
      <c r="A636" s="17" t="s">
        <v>1276</v>
      </c>
      <c r="B636" s="18" t="s">
        <v>1277</v>
      </c>
      <c r="C636" s="14">
        <v>1.0</v>
      </c>
      <c r="D636" s="15">
        <v>241.0</v>
      </c>
      <c r="E636" s="15">
        <v>10.0</v>
      </c>
      <c r="F636" s="16" t="str">
        <f t="array" ref="F636">"https://www.google.com/maps/search/?api=1&amp;query=" &amp; A636 &amp; "," &amp; B636</f>
        <v>https://www.google.com/maps/search/?api=1&amp;query=-30.9013911511194,-55.5412508516116</v>
      </c>
      <c r="G636" s="16" t="str">
        <f t="array" ref="G636">"https://earth.google.com/web/search/" &amp; A636 &amp; "," &amp; B636</f>
        <v>https://earth.google.com/web/search/-30.9013911511194,-55.5412508516116</v>
      </c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ht="26.25" customHeight="1">
      <c r="A637" s="17" t="s">
        <v>1278</v>
      </c>
      <c r="B637" s="18" t="s">
        <v>1279</v>
      </c>
      <c r="C637" s="14">
        <v>1.0</v>
      </c>
      <c r="D637" s="15">
        <v>241.0</v>
      </c>
      <c r="E637" s="15">
        <v>11.0</v>
      </c>
      <c r="F637" s="16" t="str">
        <f t="array" ref="F637">"https://www.google.com/maps/search/?api=1&amp;query=" &amp; A637 &amp; "," &amp; B637</f>
        <v>https://www.google.com/maps/search/?api=1&amp;query=-30.9013054441722,-55.5414234451095</v>
      </c>
      <c r="G637" s="16" t="str">
        <f t="array" ref="G637">"https://earth.google.com/web/search/" &amp; A637 &amp; "," &amp; B637</f>
        <v>https://earth.google.com/web/search/-30.9013054441722,-55.5414234451095</v>
      </c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ht="26.25" customHeight="1">
      <c r="A638" s="17" t="s">
        <v>1280</v>
      </c>
      <c r="B638" s="18" t="s">
        <v>1281</v>
      </c>
      <c r="C638" s="14">
        <v>1.0</v>
      </c>
      <c r="D638" s="15">
        <v>241.0</v>
      </c>
      <c r="E638" s="15">
        <v>12.0</v>
      </c>
      <c r="F638" s="16" t="str">
        <f t="array" ref="F638">"https://www.google.com/maps/search/?api=1&amp;query=" &amp; A638 &amp; "," &amp; B638</f>
        <v>https://www.google.com/maps/search/?api=1&amp;query=-30.9010802093436,-55.5419469140898</v>
      </c>
      <c r="G638" s="16" t="str">
        <f t="array" ref="G638">"https://earth.google.com/web/search/" &amp; A638 &amp; "," &amp; B638</f>
        <v>https://earth.google.com/web/search/-30.9010802093436,-55.5419469140898</v>
      </c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ht="26.25" customHeight="1">
      <c r="A639" s="17" t="s">
        <v>1282</v>
      </c>
      <c r="B639" s="18" t="s">
        <v>1283</v>
      </c>
      <c r="C639" s="14">
        <v>1.0</v>
      </c>
      <c r="D639" s="15">
        <v>241.0</v>
      </c>
      <c r="E639" s="15">
        <v>13.0</v>
      </c>
      <c r="F639" s="16" t="str">
        <f t="array" ref="F639">"https://www.google.com/maps/search/?api=1&amp;query=" &amp; A639 &amp; "," &amp; B639</f>
        <v>https://www.google.com/maps/search/?api=1&amp;query=-30.9011776190759,-55.5420127640376</v>
      </c>
      <c r="G639" s="16" t="str">
        <f t="array" ref="G639">"https://earth.google.com/web/search/" &amp; A639 &amp; "," &amp; B639</f>
        <v>https://earth.google.com/web/search/-30.9011776190759,-55.5420127640376</v>
      </c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ht="26.25" customHeight="1">
      <c r="A640" s="17" t="s">
        <v>1284</v>
      </c>
      <c r="B640" s="18" t="s">
        <v>1285</v>
      </c>
      <c r="C640" s="14">
        <v>1.0</v>
      </c>
      <c r="D640" s="15">
        <v>241.0</v>
      </c>
      <c r="E640" s="15">
        <v>14.0</v>
      </c>
      <c r="F640" s="16" t="str">
        <f t="array" ref="F640">"https://www.google.com/maps/search/?api=1&amp;query=" &amp; A640 &amp; "," &amp; B640</f>
        <v>https://www.google.com/maps/search/?api=1&amp;query=-30.9012955346869,-55.5420863203445</v>
      </c>
      <c r="G640" s="16" t="str">
        <f t="array" ref="G640">"https://earth.google.com/web/search/" &amp; A640 &amp; "," &amp; B640</f>
        <v>https://earth.google.com/web/search/-30.9012955346869,-55.5420863203445</v>
      </c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ht="26.25" customHeight="1">
      <c r="A641" s="17" t="s">
        <v>1286</v>
      </c>
      <c r="B641" s="18" t="s">
        <v>1287</v>
      </c>
      <c r="C641" s="14">
        <v>1.0</v>
      </c>
      <c r="D641" s="15">
        <v>241.0</v>
      </c>
      <c r="E641" s="15">
        <v>15.0</v>
      </c>
      <c r="F641" s="16" t="str">
        <f t="array" ref="F641">"https://www.google.com/maps/search/?api=1&amp;query=" &amp; A641 &amp; "," &amp; B641</f>
        <v>https://www.google.com/maps/search/?api=1&amp;query=-30.9013584108793,-55.5421322015792</v>
      </c>
      <c r="G641" s="16" t="str">
        <f t="array" ref="G641">"https://earth.google.com/web/search/" &amp; A641 &amp; "," &amp; B641</f>
        <v>https://earth.google.com/web/search/-30.9013584108793,-55.5421322015792</v>
      </c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ht="26.25" customHeight="1">
      <c r="A642" s="17" t="s">
        <v>1288</v>
      </c>
      <c r="B642" s="18" t="s">
        <v>1289</v>
      </c>
      <c r="C642" s="14">
        <v>1.0</v>
      </c>
      <c r="D642" s="15">
        <v>241.0</v>
      </c>
      <c r="E642" s="15">
        <v>16.0</v>
      </c>
      <c r="F642" s="16" t="str">
        <f t="array" ref="F642">"https://www.google.com/maps/search/?api=1&amp;query=" &amp; A642 &amp; "," &amp; B642</f>
        <v>https://www.google.com/maps/search/?api=1&amp;query=-30.9014487963209,-55.5421859576441</v>
      </c>
      <c r="G642" s="16" t="str">
        <f t="array" ref="G642">"https://earth.google.com/web/search/" &amp; A642 &amp; "," &amp; B642</f>
        <v>https://earth.google.com/web/search/-30.9014487963209,-55.5421859576441</v>
      </c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ht="26.25" customHeight="1">
      <c r="A643" s="17" t="s">
        <v>1290</v>
      </c>
      <c r="B643" s="18" t="s">
        <v>1291</v>
      </c>
      <c r="C643" s="14">
        <v>1.0</v>
      </c>
      <c r="D643" s="15">
        <v>241.0</v>
      </c>
      <c r="E643" s="15">
        <v>17.0</v>
      </c>
      <c r="F643" s="16" t="str">
        <f t="array" ref="F643">"https://www.google.com/maps/search/?api=1&amp;query=" &amp; A643 &amp; "," &amp; B643</f>
        <v>https://www.google.com/maps/search/?api=1&amp;query=-3.0901532581208,-55.5422592199248</v>
      </c>
      <c r="G643" s="16" t="str">
        <f t="array" ref="G643">"https://earth.google.com/web/search/" &amp; A643 &amp; "," &amp; B643</f>
        <v>https://earth.google.com/web/search/-3.0901532581208,-55.5422592199248</v>
      </c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 ht="26.25" customHeight="1">
      <c r="A644" s="17" t="s">
        <v>1292</v>
      </c>
      <c r="B644" s="18" t="s">
        <v>1293</v>
      </c>
      <c r="C644" s="14">
        <v>1.0</v>
      </c>
      <c r="D644" s="15">
        <v>241.0</v>
      </c>
      <c r="E644" s="15">
        <v>18.0</v>
      </c>
      <c r="F644" s="16" t="str">
        <f t="array" ref="F644">"https://www.google.com/maps/search/?api=1&amp;query=" &amp; A644 &amp; "," &amp; B644</f>
        <v>https://www.google.com/maps/search/?api=1&amp;query=-30.9016556970047,-55.5423594930492</v>
      </c>
      <c r="G644" s="16" t="str">
        <f t="array" ref="G644">"https://earth.google.com/web/search/" &amp; A644 &amp; "," &amp; B644</f>
        <v>https://earth.google.com/web/search/-30.9016556970047,-55.5423594930492</v>
      </c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ht="26.25" customHeight="1">
      <c r="A645" s="17" t="s">
        <v>1294</v>
      </c>
      <c r="B645" s="18" t="s">
        <v>1295</v>
      </c>
      <c r="C645" s="14">
        <v>1.0</v>
      </c>
      <c r="D645" s="15">
        <v>242.0</v>
      </c>
      <c r="E645" s="15">
        <v>1.0</v>
      </c>
      <c r="F645" s="16" t="str">
        <f t="array" ref="F645">"https://www.google.com/maps/search/?api=1&amp;query=" &amp; A645 &amp; "," &amp; B645</f>
        <v>https://www.google.com/maps/search/?api=1&amp;query=-30.9013857539518,-55.5431477828208</v>
      </c>
      <c r="G645" s="16" t="str">
        <f t="array" ref="G645">"https://earth.google.com/web/search/" &amp; A645 &amp; "," &amp; B645</f>
        <v>https://earth.google.com/web/search/-30.9013857539518,-55.5431477828208</v>
      </c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 ht="26.25" customHeight="1">
      <c r="A646" s="17" t="s">
        <v>1296</v>
      </c>
      <c r="B646" s="18" t="s">
        <v>1297</v>
      </c>
      <c r="C646" s="14">
        <v>1.0</v>
      </c>
      <c r="D646" s="15">
        <v>242.0</v>
      </c>
      <c r="E646" s="15">
        <v>2.0</v>
      </c>
      <c r="F646" s="16" t="str">
        <f t="array" ref="F646">"https://www.google.com/maps/search/?api=1&amp;query=" &amp; A646 &amp; "," &amp; B646</f>
        <v>https://www.google.com/maps/search/?api=1&amp;query=-30.9015291156478,-55.5428256190046</v>
      </c>
      <c r="G646" s="16" t="str">
        <f t="array" ref="G646">"https://earth.google.com/web/search/" &amp; A646 &amp; "," &amp; B646</f>
        <v>https://earth.google.com/web/search/-30.9015291156478,-55.5428256190046</v>
      </c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ht="26.25" customHeight="1">
      <c r="A647" s="17" t="s">
        <v>1298</v>
      </c>
      <c r="B647" s="18" t="s">
        <v>1299</v>
      </c>
      <c r="C647" s="14">
        <v>1.0</v>
      </c>
      <c r="D647" s="15">
        <v>242.0</v>
      </c>
      <c r="E647" s="15">
        <v>3.0</v>
      </c>
      <c r="F647" s="16" t="str">
        <f t="array" ref="F647">"https://www.google.com/maps/search/?api=1&amp;query=" &amp; A647 &amp; "," &amp; B647</f>
        <v>https://www.google.com/maps/search/?api=1&amp;query=-30.9016024234247,-55.5427200301705</v>
      </c>
      <c r="G647" s="16" t="str">
        <f t="array" ref="G647">"https://earth.google.com/web/search/" &amp; A647 &amp; "," &amp; B647</f>
        <v>https://earth.google.com/web/search/-30.9016024234247,-55.5427200301705</v>
      </c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ht="26.25" customHeight="1">
      <c r="A648" s="17" t="s">
        <v>1300</v>
      </c>
      <c r="B648" s="18" t="s">
        <v>1301</v>
      </c>
      <c r="C648" s="14">
        <v>1.0</v>
      </c>
      <c r="D648" s="15">
        <v>242.0</v>
      </c>
      <c r="E648" s="15">
        <v>4.0</v>
      </c>
      <c r="F648" s="16" t="str">
        <f t="array" ref="F648">"https://www.google.com/maps/search/?api=1&amp;query=" &amp; A648 &amp; "," &amp; B648</f>
        <v>https://www.google.com/maps/search/?api=1&amp;query=-30.9016298049702,-55.5426398573767</v>
      </c>
      <c r="G648" s="16" t="str">
        <f t="array" ref="G648">"https://earth.google.com/web/search/" &amp; A648 &amp; "," &amp; B648</f>
        <v>https://earth.google.com/web/search/-30.9016298049702,-55.5426398573767</v>
      </c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ht="26.25" customHeight="1">
      <c r="A649" s="17" t="s">
        <v>1302</v>
      </c>
      <c r="B649" s="18" t="s">
        <v>1303</v>
      </c>
      <c r="C649" s="14">
        <v>1.0</v>
      </c>
      <c r="D649" s="15">
        <v>242.0</v>
      </c>
      <c r="E649" s="15">
        <v>5.0</v>
      </c>
      <c r="F649" s="16" t="str">
        <f t="array" ref="F649">"https://www.google.com/maps/search/?api=1&amp;query=" &amp; A649 &amp; "," &amp; B649</f>
        <v>https://www.google.com/maps/search/?api=1&amp;query=-30.9016913601602,-55.5425772699879</v>
      </c>
      <c r="G649" s="16" t="str">
        <f t="array" ref="G649">"https://earth.google.com/web/search/" &amp; A649 &amp; "," &amp; B649</f>
        <v>https://earth.google.com/web/search/-30.9016913601602,-55.5425772699879</v>
      </c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ht="26.25" customHeight="1">
      <c r="A650" s="17" t="s">
        <v>1304</v>
      </c>
      <c r="B650" s="18" t="s">
        <v>1305</v>
      </c>
      <c r="C650" s="14">
        <v>1.0</v>
      </c>
      <c r="D650" s="15">
        <v>242.0</v>
      </c>
      <c r="E650" s="15">
        <v>6.0</v>
      </c>
      <c r="F650" s="16" t="str">
        <f t="array" ref="F650">"https://www.google.com/maps/search/?api=1&amp;query=" &amp; A650 &amp; "," &amp; B650</f>
        <v>https://www.google.com/maps/search/?api=1&amp;query=-30.9015639832184,-55.5424102543612</v>
      </c>
      <c r="G650" s="16" t="str">
        <f t="array" ref="G650">"https://earth.google.com/web/search/" &amp; A650 &amp; "," &amp; B650</f>
        <v>https://earth.google.com/web/search/-30.9015639832184,-55.5424102543612</v>
      </c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ht="26.25" customHeight="1">
      <c r="A651" s="17" t="s">
        <v>1306</v>
      </c>
      <c r="B651" s="18" t="s">
        <v>1307</v>
      </c>
      <c r="C651" s="14">
        <v>1.0</v>
      </c>
      <c r="D651" s="15">
        <v>242.0</v>
      </c>
      <c r="E651" s="15">
        <v>7.0</v>
      </c>
      <c r="F651" s="16" t="str">
        <f t="array" ref="F651">"https://www.google.com/maps/search/?api=1&amp;query=" &amp; A651 &amp; "," &amp; B651</f>
        <v>https://www.google.com/maps/search/?api=1&amp;query=-30.9014576844646,-55.5423250344137</v>
      </c>
      <c r="G651" s="16" t="str">
        <f t="array" ref="G651">"https://earth.google.com/web/search/" &amp; A651 &amp; "," &amp; B651</f>
        <v>https://earth.google.com/web/search/-30.9014576844646,-55.5423250344137</v>
      </c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ht="26.25" customHeight="1">
      <c r="A652" s="17" t="s">
        <v>1308</v>
      </c>
      <c r="B652" s="18" t="s">
        <v>1309</v>
      </c>
      <c r="C652" s="14">
        <v>1.0</v>
      </c>
      <c r="D652" s="15">
        <v>242.0</v>
      </c>
      <c r="E652" s="15">
        <v>8.0</v>
      </c>
      <c r="F652" s="16" t="str">
        <f t="array" ref="F652">"https://www.google.com/maps/search/?api=1&amp;query=" &amp; A652 &amp; "," &amp; B652</f>
        <v>https://www.google.com/maps/search/?api=1&amp;query=-30.9013174819635,-55.5422467488746</v>
      </c>
      <c r="G652" s="16" t="str">
        <f t="array" ref="G652">"https://earth.google.com/web/search/" &amp; A652 &amp; "," &amp; B652</f>
        <v>https://earth.google.com/web/search/-30.9013174819635,-55.5422467488746</v>
      </c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ht="26.25" customHeight="1">
      <c r="A653" s="17" t="s">
        <v>1310</v>
      </c>
      <c r="B653" s="18" t="s">
        <v>1311</v>
      </c>
      <c r="C653" s="14">
        <v>1.0</v>
      </c>
      <c r="D653" s="15">
        <v>242.0</v>
      </c>
      <c r="E653" s="15">
        <v>9.0</v>
      </c>
      <c r="F653" s="16" t="str">
        <f t="array" ref="F653">"https://www.google.com/maps/search/?api=1&amp;query=" &amp; A653 &amp; "," &amp; B653</f>
        <v>https://www.google.com/maps/search/?api=1&amp;query=-30.9012158428027,-55.5421501808645</v>
      </c>
      <c r="G653" s="16" t="str">
        <f t="array" ref="G653">"https://earth.google.com/web/search/" &amp; A653 &amp; "," &amp; B653</f>
        <v>https://earth.google.com/web/search/-30.9012158428027,-55.5421501808645</v>
      </c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ht="26.25" customHeight="1">
      <c r="A654" s="17" t="s">
        <v>1312</v>
      </c>
      <c r="B654" s="18" t="s">
        <v>1313</v>
      </c>
      <c r="C654" s="14">
        <v>1.0</v>
      </c>
      <c r="D654" s="15">
        <v>242.0</v>
      </c>
      <c r="E654" s="15">
        <v>10.0</v>
      </c>
      <c r="F654" s="16" t="str">
        <f t="array" ref="F654">"https://www.google.com/maps/search/?api=1&amp;query=" &amp; A654 &amp; "," &amp; B654</f>
        <v>https://www.google.com/maps/search/?api=1&amp;query=-30.9011264897174,-5.5542095357829</v>
      </c>
      <c r="G654" s="16" t="str">
        <f t="array" ref="G654">"https://earth.google.com/web/search/" &amp; A654 &amp; "," &amp; B654</f>
        <v>https://earth.google.com/web/search/-30.9011264897174,-5.5542095357829</v>
      </c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 ht="26.25" customHeight="1">
      <c r="A655" s="17" t="s">
        <v>1314</v>
      </c>
      <c r="B655" s="18" t="s">
        <v>1315</v>
      </c>
      <c r="C655" s="14">
        <v>1.0</v>
      </c>
      <c r="D655" s="15">
        <v>242.0</v>
      </c>
      <c r="E655" s="15">
        <v>11.0</v>
      </c>
      <c r="F655" s="16" t="str">
        <f t="array" ref="F655">"https://www.google.com/maps/search/?api=1&amp;query=" &amp; A655 &amp; "," &amp; B655</f>
        <v>https://www.google.com/maps/search/?api=1&amp;query=-30.9009977978099,-55.5420660233869</v>
      </c>
      <c r="G655" s="16" t="str">
        <f t="array" ref="G655">"https://earth.google.com/web/search/" &amp; A655 &amp; "," &amp; B655</f>
        <v>https://earth.google.com/web/search/-30.9009977978099,-55.5420660233869</v>
      </c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ht="26.25" customHeight="1">
      <c r="A656" s="17" t="s">
        <v>1316</v>
      </c>
      <c r="B656" s="18" t="s">
        <v>1317</v>
      </c>
      <c r="C656" s="14">
        <v>1.0</v>
      </c>
      <c r="D656" s="15">
        <v>242.0</v>
      </c>
      <c r="E656" s="15">
        <v>12.0</v>
      </c>
      <c r="F656" s="16" t="str">
        <f t="array" ref="F656">"https://www.google.com/maps/search/?api=1&amp;query=" &amp; A656 &amp; "," &amp; B656</f>
        <v>https://www.google.com/maps/search/?api=1&amp;query=-30.9007988331606,-55.5424378566196</v>
      </c>
      <c r="G656" s="16" t="str">
        <f t="array" ref="G656">"https://earth.google.com/web/search/" &amp; A656 &amp; "," &amp; B656</f>
        <v>https://earth.google.com/web/search/-30.9007988331606,-55.5424378566196</v>
      </c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 ht="26.25" customHeight="1">
      <c r="A657" s="17" t="s">
        <v>1318</v>
      </c>
      <c r="B657" s="18" t="s">
        <v>1319</v>
      </c>
      <c r="C657" s="14">
        <v>1.0</v>
      </c>
      <c r="D657" s="15">
        <v>242.0</v>
      </c>
      <c r="E657" s="15">
        <v>13.0</v>
      </c>
      <c r="F657" s="16" t="str">
        <f t="array" ref="F657">"https://www.google.com/maps/search/?api=1&amp;query=" &amp; A657 &amp; "," &amp; B657</f>
        <v>https://www.google.com/maps/search/?api=1&amp;query=-3.0900747330556,-55.5425293796176</v>
      </c>
      <c r="G657" s="16" t="str">
        <f t="array" ref="G657">"https://earth.google.com/web/search/" &amp; A657 &amp; "," &amp; B657</f>
        <v>https://earth.google.com/web/search/-3.0900747330556,-55.5425293796176</v>
      </c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ht="26.25" customHeight="1">
      <c r="A658" s="17" t="s">
        <v>1320</v>
      </c>
      <c r="B658" s="18" t="s">
        <v>1321</v>
      </c>
      <c r="C658" s="14">
        <v>1.0</v>
      </c>
      <c r="D658" s="15">
        <v>242.0</v>
      </c>
      <c r="E658" s="15">
        <v>14.0</v>
      </c>
      <c r="F658" s="16" t="str">
        <f t="array" ref="F658">"https://www.google.com/maps/search/?api=1&amp;query=" &amp; A658 &amp; "," &amp; B658</f>
        <v>https://www.google.com/maps/search/?api=1&amp;query=-30.9008188129076,-0.5554301727586</v>
      </c>
      <c r="G658" s="16" t="str">
        <f t="array" ref="G658">"https://earth.google.com/web/search/" &amp; A658 &amp; "," &amp; B658</f>
        <v>https://earth.google.com/web/search/-30.9008188129076,-0.5554301727586</v>
      </c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ht="26.25" customHeight="1">
      <c r="A659" s="17" t="s">
        <v>1322</v>
      </c>
      <c r="B659" s="18" t="s">
        <v>1323</v>
      </c>
      <c r="C659" s="14">
        <v>1.0</v>
      </c>
      <c r="D659" s="15">
        <v>242.0</v>
      </c>
      <c r="E659" s="15">
        <v>15.0</v>
      </c>
      <c r="F659" s="16" t="str">
        <f t="array" ref="F659">"https://www.google.com/maps/search/?api=1&amp;query=" &amp; A659 &amp; "," &amp; B659</f>
        <v>https://www.google.com/maps/search/?api=1&amp;query=-30.9011739333327,-55.5432502313648</v>
      </c>
      <c r="G659" s="16" t="str">
        <f t="array" ref="G659">"https://earth.google.com/web/search/" &amp; A659 &amp; "," &amp; B659</f>
        <v>https://earth.google.com/web/search/-30.9011739333327,-55.5432502313648</v>
      </c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ht="26.25" customHeight="1">
      <c r="A660" s="17" t="s">
        <v>1324</v>
      </c>
      <c r="B660" s="18" t="s">
        <v>1325</v>
      </c>
      <c r="C660" s="14">
        <v>1.0</v>
      </c>
      <c r="D660" s="15">
        <v>242.0</v>
      </c>
      <c r="E660" s="15">
        <v>16.0</v>
      </c>
      <c r="F660" s="16" t="str">
        <f t="array" ref="F660">"https://www.google.com/maps/search/?api=1&amp;query=" &amp; A660 &amp; "," &amp; B660</f>
        <v>https://www.google.com/maps/search/?api=1&amp;query=-30.9012373461805,-55.5432863474526</v>
      </c>
      <c r="G660" s="16" t="str">
        <f t="array" ref="G660">"https://earth.google.com/web/search/" &amp; A660 &amp; "," &amp; B660</f>
        <v>https://earth.google.com/web/search/-30.9012373461805,-55.5432863474526</v>
      </c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 ht="26.25" customHeight="1">
      <c r="A661" s="17" t="s">
        <v>1326</v>
      </c>
      <c r="B661" s="18" t="s">
        <v>1327</v>
      </c>
      <c r="C661" s="14">
        <v>1.0</v>
      </c>
      <c r="D661" s="15">
        <v>243.0</v>
      </c>
      <c r="E661" s="15">
        <v>1.0</v>
      </c>
      <c r="F661" s="16" t="str">
        <f t="array" ref="F661">"https://www.google.com/maps/search/?api=1&amp;query=" &amp; A661 &amp; "," &amp; B661</f>
        <v>https://www.google.com/maps/search/?api=1&amp;query=-30.9009784401968,-55.5438908112847</v>
      </c>
      <c r="G661" s="16" t="str">
        <f t="array" ref="G661">"https://earth.google.com/web/search/" &amp; A661 &amp; "," &amp; B661</f>
        <v>https://earth.google.com/web/search/-30.9009784401968,-55.5438908112847</v>
      </c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 ht="26.25" customHeight="1">
      <c r="A662" s="17" t="s">
        <v>1328</v>
      </c>
      <c r="B662" s="18" t="s">
        <v>1329</v>
      </c>
      <c r="C662" s="14">
        <v>1.0</v>
      </c>
      <c r="D662" s="15">
        <v>243.0</v>
      </c>
      <c r="E662" s="15">
        <v>2.0</v>
      </c>
      <c r="F662" s="16" t="str">
        <f t="array" ref="F662">"https://www.google.com/maps/search/?api=1&amp;query=" &amp; A662 &amp; "," &amp; B662</f>
        <v>https://www.google.com/maps/search/?api=1&amp;query=-30.9010159301989,-55.5438098409405</v>
      </c>
      <c r="G662" s="16" t="str">
        <f t="array" ref="G662">"https://earth.google.com/web/search/" &amp; A662 &amp; "," &amp; B662</f>
        <v>https://earth.google.com/web/search/-30.9010159301989,-55.5438098409405</v>
      </c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ht="26.25" customHeight="1">
      <c r="A663" s="17" t="s">
        <v>1330</v>
      </c>
      <c r="B663" s="18" t="s">
        <v>1331</v>
      </c>
      <c r="C663" s="14">
        <v>1.0</v>
      </c>
      <c r="D663" s="15">
        <v>243.0</v>
      </c>
      <c r="E663" s="15">
        <v>3.0</v>
      </c>
      <c r="F663" s="16" t="str">
        <f t="array" ref="F663">"https://www.google.com/maps/search/?api=1&amp;query=" &amp; A663 &amp; "," &amp; B663</f>
        <v>https://www.google.com/maps/search/?api=1&amp;query=-30.9010661601938,-55.5437282722097</v>
      </c>
      <c r="G663" s="16" t="str">
        <f t="array" ref="G663">"https://earth.google.com/web/search/" &amp; A663 &amp; "," &amp; B663</f>
        <v>https://earth.google.com/web/search/-30.9010661601938,-55.5437282722097</v>
      </c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 ht="26.25" customHeight="1">
      <c r="A664" s="17" t="s">
        <v>1332</v>
      </c>
      <c r="B664" s="18" t="s">
        <v>1333</v>
      </c>
      <c r="C664" s="14">
        <v>1.0</v>
      </c>
      <c r="D664" s="15">
        <v>243.0</v>
      </c>
      <c r="E664" s="15">
        <v>4.0</v>
      </c>
      <c r="F664" s="16" t="str">
        <f t="array" ref="F664">"https://www.google.com/maps/search/?api=1&amp;query=" &amp; A664 &amp; "," &amp; B664</f>
        <v>https://www.google.com/maps/search/?api=1&amp;query=-30.9011284112498,-55.5436110083281</v>
      </c>
      <c r="G664" s="16" t="str">
        <f t="array" ref="G664">"https://earth.google.com/web/search/" &amp; A664 &amp; "," &amp; B664</f>
        <v>https://earth.google.com/web/search/-30.9011284112498,-55.5436110083281</v>
      </c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ht="26.25" customHeight="1">
      <c r="A665" s="17" t="s">
        <v>1334</v>
      </c>
      <c r="B665" s="18" t="s">
        <v>1335</v>
      </c>
      <c r="C665" s="14">
        <v>1.0</v>
      </c>
      <c r="D665" s="15">
        <v>243.0</v>
      </c>
      <c r="E665" s="15">
        <v>5.0</v>
      </c>
      <c r="F665" s="16" t="str">
        <f t="array" ref="F665">"https://www.google.com/maps/search/?api=1&amp;query=" &amp; A665 &amp; "," &amp; B665</f>
        <v>https://www.google.com/maps/search/?api=1&amp;query=-30.9010547954593,-55.5432905493962</v>
      </c>
      <c r="G665" s="16" t="str">
        <f t="array" ref="G665">"https://earth.google.com/web/search/" &amp; A665 &amp; "," &amp; B665</f>
        <v>https://earth.google.com/web/search/-30.9010547954593,-55.5432905493962</v>
      </c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 ht="26.25" customHeight="1">
      <c r="A666" s="17" t="s">
        <v>1336</v>
      </c>
      <c r="B666" s="18" t="s">
        <v>1337</v>
      </c>
      <c r="C666" s="14">
        <v>1.0</v>
      </c>
      <c r="D666" s="15">
        <v>243.0</v>
      </c>
      <c r="E666" s="15">
        <v>6.0</v>
      </c>
      <c r="F666" s="16" t="str">
        <f t="array" ref="F666">"https://www.google.com/maps/search/?api=1&amp;query=" &amp; A666 &amp; "," &amp; B666</f>
        <v>https://www.google.com/maps/search/?api=1&amp;query=-30.9009535123055,-55.5432182340427</v>
      </c>
      <c r="G666" s="16" t="str">
        <f t="array" ref="G666">"https://earth.google.com/web/search/" &amp; A666 &amp; "," &amp; B666</f>
        <v>https://earth.google.com/web/search/-30.9009535123055,-55.5432182340427</v>
      </c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ht="26.25" customHeight="1">
      <c r="A667" s="17" t="s">
        <v>1338</v>
      </c>
      <c r="B667" s="18" t="s">
        <v>1339</v>
      </c>
      <c r="C667" s="14">
        <v>1.0</v>
      </c>
      <c r="D667" s="15">
        <v>243.0</v>
      </c>
      <c r="E667" s="15">
        <v>7.0</v>
      </c>
      <c r="F667" s="16" t="str">
        <f t="array" ref="F667">"https://www.google.com/maps/search/?api=1&amp;query=" &amp; A667 &amp; "," &amp; B667</f>
        <v>https://www.google.com/maps/search/?api=1&amp;query=-30.9006076139134,-55.5429837046285</v>
      </c>
      <c r="G667" s="16" t="str">
        <f t="array" ref="G667">"https://earth.google.com/web/search/" &amp; A667 &amp; "," &amp; B667</f>
        <v>https://earth.google.com/web/search/-30.9006076139134,-55.5429837046285</v>
      </c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ht="26.25" customHeight="1">
      <c r="A668" s="17" t="s">
        <v>1340</v>
      </c>
      <c r="B668" s="18" t="s">
        <v>1341</v>
      </c>
      <c r="C668" s="14">
        <v>1.0</v>
      </c>
      <c r="D668" s="15">
        <v>243.0</v>
      </c>
      <c r="E668" s="15">
        <v>8.0</v>
      </c>
      <c r="F668" s="16" t="str">
        <f t="array" ref="F668">"https://www.google.com/maps/search/?api=1&amp;query=" &amp; A668 &amp; "," &amp; B668</f>
        <v>https://www.google.com/maps/search/?api=1&amp;query=-30.9004569920979,-55.5430496091677</v>
      </c>
      <c r="G668" s="16" t="str">
        <f t="array" ref="G668">"https://earth.google.com/web/search/" &amp; A668 &amp; "," &amp; B668</f>
        <v>https://earth.google.com/web/search/-30.9004569920979,-55.5430496091677</v>
      </c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ht="26.25" customHeight="1">
      <c r="A669" s="17" t="s">
        <v>1342</v>
      </c>
      <c r="B669" s="18" t="s">
        <v>1343</v>
      </c>
      <c r="C669" s="14">
        <v>1.0</v>
      </c>
      <c r="D669" s="15">
        <v>243.0</v>
      </c>
      <c r="E669" s="15">
        <v>9.0</v>
      </c>
      <c r="F669" s="16" t="str">
        <f t="array" ref="F669">"https://www.google.com/maps/search/?api=1&amp;query=" &amp; A669 &amp; "," &amp; B669</f>
        <v>https://www.google.com/maps/search/?api=1&amp;query=-30.9004092773196,-55.5431530408174</v>
      </c>
      <c r="G669" s="16" t="str">
        <f t="array" ref="G669">"https://earth.google.com/web/search/" &amp; A669 &amp; "," &amp; B669</f>
        <v>https://earth.google.com/web/search/-30.9004092773196,-55.5431530408174</v>
      </c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 ht="26.25" customHeight="1">
      <c r="A670" s="17" t="s">
        <v>1344</v>
      </c>
      <c r="B670" s="18" t="s">
        <v>1345</v>
      </c>
      <c r="C670" s="14">
        <v>1.0</v>
      </c>
      <c r="D670" s="15">
        <v>243.0</v>
      </c>
      <c r="E670" s="15">
        <v>10.0</v>
      </c>
      <c r="F670" s="16" t="str">
        <f t="array" ref="F670">"https://www.google.com/maps/search/?api=1&amp;query=" &amp; A670 &amp; "," &amp; B670</f>
        <v>https://www.google.com/maps/search/?api=1&amp;query=-30.9003067299395,-55.5433277057102</v>
      </c>
      <c r="G670" s="16" t="str">
        <f t="array" ref="G670">"https://earth.google.com/web/search/" &amp; A670 &amp; "," &amp; B670</f>
        <v>https://earth.google.com/web/search/-30.9003067299395,-55.5433277057102</v>
      </c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ht="26.25" customHeight="1">
      <c r="A671" s="17" t="s">
        <v>1346</v>
      </c>
      <c r="B671" s="18" t="s">
        <v>1347</v>
      </c>
      <c r="C671" s="14">
        <v>1.0</v>
      </c>
      <c r="D671" s="15">
        <v>243.0</v>
      </c>
      <c r="E671" s="15">
        <v>11.0</v>
      </c>
      <c r="F671" s="16" t="str">
        <f t="array" ref="F671">"https://www.google.com/maps/search/?api=1&amp;query=" &amp; A671 &amp; "," &amp; B671</f>
        <v>https://www.google.com/maps/search/?api=1&amp;query=-30.9001927282029,-55.5435254095072</v>
      </c>
      <c r="G671" s="16" t="str">
        <f t="array" ref="G671">"https://earth.google.com/web/search/" &amp; A671 &amp; "," &amp; B671</f>
        <v>https://earth.google.com/web/search/-30.9001927282029,-55.5435254095072</v>
      </c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ht="26.25" customHeight="1">
      <c r="A672" s="17" t="s">
        <v>1348</v>
      </c>
      <c r="B672" s="18" t="s">
        <v>1349</v>
      </c>
      <c r="C672" s="14">
        <v>1.0</v>
      </c>
      <c r="D672" s="15">
        <v>243.0</v>
      </c>
      <c r="E672" s="15">
        <v>12.0</v>
      </c>
      <c r="F672" s="16" t="str">
        <f t="array" ref="F672">"https://www.google.com/maps/search/?api=1&amp;query=" &amp; A672 &amp; "," &amp; B672</f>
        <v>https://www.google.com/maps/search/?api=1&amp;query=-30.9001408090291,-55.5436073502946</v>
      </c>
      <c r="G672" s="16" t="str">
        <f t="array" ref="G672">"https://earth.google.com/web/search/" &amp; A672 &amp; "," &amp; B672</f>
        <v>https://earth.google.com/web/search/-30.9001408090291,-55.5436073502946</v>
      </c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ht="26.25" customHeight="1">
      <c r="A673" s="17" t="s">
        <v>1350</v>
      </c>
      <c r="B673" s="18" t="s">
        <v>1351</v>
      </c>
      <c r="C673" s="14">
        <v>1.0</v>
      </c>
      <c r="D673" s="15">
        <v>243.0</v>
      </c>
      <c r="E673" s="15">
        <v>13.0</v>
      </c>
      <c r="F673" s="16" t="str">
        <f t="array" ref="F673">"https://www.google.com/maps/search/?api=1&amp;query=" &amp; A673 &amp; "," &amp; B673</f>
        <v>https://www.google.com/maps/search/?api=1&amp;query=-30.9002014206773,-55.5438102241546</v>
      </c>
      <c r="G673" s="16" t="str">
        <f t="array" ref="G673">"https://earth.google.com/web/search/" &amp; A673 &amp; "," &amp; B673</f>
        <v>https://earth.google.com/web/search/-30.9002014206773,-55.5438102241546</v>
      </c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 ht="26.25" customHeight="1">
      <c r="A674" s="17" t="s">
        <v>1352</v>
      </c>
      <c r="B674" s="18" t="s">
        <v>1353</v>
      </c>
      <c r="C674" s="14">
        <v>1.0</v>
      </c>
      <c r="D674" s="15">
        <v>243.0</v>
      </c>
      <c r="E674" s="15">
        <v>14.0</v>
      </c>
      <c r="F674" s="16" t="str">
        <f t="array" ref="F674">"https://www.google.com/maps/search/?api=1&amp;query=" &amp; A674 &amp; "," &amp; B674</f>
        <v>https://www.google.com/maps/search/?api=1&amp;query=-30.9003200251517,-55.5439228635196</v>
      </c>
      <c r="G674" s="16" t="str">
        <f t="array" ref="G674">"https://earth.google.com/web/search/" &amp; A674 &amp; "," &amp; B674</f>
        <v>https://earth.google.com/web/search/-30.9003200251517,-55.5439228635196</v>
      </c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ht="26.25" customHeight="1">
      <c r="A675" s="17" t="s">
        <v>1354</v>
      </c>
      <c r="B675" s="18" t="s">
        <v>1355</v>
      </c>
      <c r="C675" s="14">
        <v>1.0</v>
      </c>
      <c r="D675" s="15">
        <v>243.0</v>
      </c>
      <c r="E675" s="15">
        <v>15.0</v>
      </c>
      <c r="F675" s="16" t="str">
        <f t="array" ref="F675">"https://www.google.com/maps/search/?api=1&amp;query=" &amp; A675 &amp; "," &amp; B675</f>
        <v>https://www.google.com/maps/search/?api=1&amp;query=-30.9004147540826,-55.5439661617162</v>
      </c>
      <c r="G675" s="16" t="str">
        <f t="array" ref="G675">"https://earth.google.com/web/search/" &amp; A675 &amp; "," &amp; B675</f>
        <v>https://earth.google.com/web/search/-30.9004147540826,-55.5439661617162</v>
      </c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ht="26.25" customHeight="1">
      <c r="A676" s="17" t="s">
        <v>1356</v>
      </c>
      <c r="B676" s="18" t="s">
        <v>1357</v>
      </c>
      <c r="C676" s="14">
        <v>1.0</v>
      </c>
      <c r="D676" s="15">
        <v>243.0</v>
      </c>
      <c r="E676" s="15">
        <v>16.0</v>
      </c>
      <c r="F676" s="16" t="str">
        <f t="array" ref="F676">"https://www.google.com/maps/search/?api=1&amp;query=" &amp; A676 &amp; "," &amp; B676</f>
        <v>https://www.google.com/maps/search/?api=1&amp;query=-30.9006313235958,-55.5441230420559</v>
      </c>
      <c r="G676" s="16" t="str">
        <f t="array" ref="G676">"https://earth.google.com/web/search/" &amp; A676 &amp; "," &amp; B676</f>
        <v>https://earth.google.com/web/search/-30.9006313235958,-55.5441230420559</v>
      </c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ht="26.25" customHeight="1">
      <c r="A677" s="17" t="s">
        <v>1358</v>
      </c>
      <c r="B677" s="18" t="s">
        <v>1359</v>
      </c>
      <c r="C677" s="14">
        <v>1.0</v>
      </c>
      <c r="D677" s="15">
        <v>243.0</v>
      </c>
      <c r="E677" s="15">
        <v>17.0</v>
      </c>
      <c r="F677" s="16" t="str">
        <f t="array" ref="F677">"https://www.google.com/maps/search/?api=1&amp;query=" &amp; A677 &amp; "," &amp; B677</f>
        <v>https://www.google.com/maps/search/?api=1&amp;query=-30.9007023719299,-55.5441793384086</v>
      </c>
      <c r="G677" s="16" t="str">
        <f t="array" ref="G677">"https://earth.google.com/web/search/" &amp; A677 &amp; "," &amp; B677</f>
        <v>https://earth.google.com/web/search/-30.9007023719299,-55.5441793384086</v>
      </c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 ht="26.25" customHeight="1">
      <c r="A678" s="17" t="s">
        <v>1360</v>
      </c>
      <c r="B678" s="18" t="s">
        <v>1361</v>
      </c>
      <c r="C678" s="14">
        <v>1.0</v>
      </c>
      <c r="D678" s="15">
        <v>232.0</v>
      </c>
      <c r="E678" s="15">
        <v>1.0</v>
      </c>
      <c r="F678" s="16" t="str">
        <f t="array" ref="F678">"https://www.google.com/maps/search/?api=1&amp;query=" &amp; A678 &amp; "," &amp; B678</f>
        <v>https://www.google.com/maps/search/?api=1&amp;query=-30.9029656608156,-55.5381174739293</v>
      </c>
      <c r="G678" s="16" t="str">
        <f t="array" ref="G678">"https://earth.google.com/web/search/" &amp; A678 &amp; "," &amp; B678</f>
        <v>https://earth.google.com/web/search/-30.9029656608156,-55.5381174739293</v>
      </c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 ht="26.25" customHeight="1">
      <c r="A679" s="17" t="s">
        <v>1362</v>
      </c>
      <c r="B679" s="18" t="s">
        <v>1363</v>
      </c>
      <c r="C679" s="14">
        <v>1.0</v>
      </c>
      <c r="D679" s="15">
        <v>232.0</v>
      </c>
      <c r="E679" s="15">
        <v>2.0</v>
      </c>
      <c r="F679" s="16" t="str">
        <f t="array" ref="F679">"https://www.google.com/maps/search/?api=1&amp;query=" &amp; A679 &amp; "," &amp; B679</f>
        <v>https://www.google.com/maps/search/?api=1&amp;query=-30.9030633537783,-55.5379298050188</v>
      </c>
      <c r="G679" s="16" t="str">
        <f t="array" ref="G679">"https://earth.google.com/web/search/" &amp; A679 &amp; "," &amp; B679</f>
        <v>https://earth.google.com/web/search/-30.9030633537783,-55.5379298050188</v>
      </c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 ht="26.25" customHeight="1">
      <c r="A680" s="17" t="s">
        <v>1364</v>
      </c>
      <c r="B680" s="18" t="s">
        <v>1365</v>
      </c>
      <c r="C680" s="14">
        <v>1.0</v>
      </c>
      <c r="D680" s="15">
        <v>232.0</v>
      </c>
      <c r="E680" s="15">
        <v>3.0</v>
      </c>
      <c r="F680" s="16" t="str">
        <f t="array" ref="F680">"https://www.google.com/maps/search/?api=1&amp;query=" &amp; A680 &amp; "," &amp; B680</f>
        <v>https://www.google.com/maps/search/?api=1&amp;query=-30.9028132077807,-5.5537008126342</v>
      </c>
      <c r="G680" s="16" t="str">
        <f t="array" ref="G680">"https://earth.google.com/web/search/" &amp; A680 &amp; "," &amp; B680</f>
        <v>https://earth.google.com/web/search/-30.9028132077807,-5.5537008126342</v>
      </c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ht="26.25" customHeight="1">
      <c r="A681" s="17" t="s">
        <v>1366</v>
      </c>
      <c r="B681" s="18" t="s">
        <v>1367</v>
      </c>
      <c r="C681" s="14">
        <v>1.0</v>
      </c>
      <c r="D681" s="15">
        <v>232.0</v>
      </c>
      <c r="E681" s="15">
        <v>4.0</v>
      </c>
      <c r="F681" s="16" t="str">
        <f t="array" ref="F681">"https://www.google.com/maps/search/?api=1&amp;query=" &amp; A681 &amp; "," &amp; B681</f>
        <v>https://www.google.com/maps/search/?api=1&amp;query=-30.9023031021822,-55.5377675486998</v>
      </c>
      <c r="G681" s="16" t="str">
        <f t="array" ref="G681">"https://earth.google.com/web/search/" &amp; A681 &amp; "," &amp; B681</f>
        <v>https://earth.google.com/web/search/-30.9023031021822,-55.5377675486998</v>
      </c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 ht="26.25" customHeight="1">
      <c r="A682" s="17" t="s">
        <v>1368</v>
      </c>
      <c r="B682" s="18" t="s">
        <v>1369</v>
      </c>
      <c r="C682" s="14">
        <v>1.0</v>
      </c>
      <c r="D682" s="15">
        <v>232.0</v>
      </c>
      <c r="E682" s="15">
        <v>5.0</v>
      </c>
      <c r="F682" s="16" t="str">
        <f t="array" ref="F682">"https://www.google.com/maps/search/?api=1&amp;query=" &amp; A682 &amp; "," &amp; B682</f>
        <v>https://www.google.com/maps/search/?api=1&amp;query=-30.9023617778439,-55.5378077672697</v>
      </c>
      <c r="G682" s="16" t="str">
        <f t="array" ref="G682">"https://earth.google.com/web/search/" &amp; A682 &amp; "," &amp; B682</f>
        <v>https://earth.google.com/web/search/-30.9023617778439,-55.5378077672697</v>
      </c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ht="26.25" customHeight="1">
      <c r="A683" s="17" t="s">
        <v>1370</v>
      </c>
      <c r="B683" s="18" t="s">
        <v>1371</v>
      </c>
      <c r="C683" s="14">
        <v>1.0</v>
      </c>
      <c r="D683" s="15">
        <v>232.0</v>
      </c>
      <c r="E683" s="15">
        <v>6.0</v>
      </c>
      <c r="F683" s="16" t="str">
        <f t="array" ref="F683">"https://www.google.com/maps/search/?api=1&amp;query=" &amp; A683 &amp; "," &amp; B683</f>
        <v>https://www.google.com/maps/search/?api=1&amp;query=-30.9025205039907,-55.5379364231284</v>
      </c>
      <c r="G683" s="16" t="str">
        <f t="array" ref="G683">"https://earth.google.com/web/search/" &amp; A683 &amp; "," &amp; B683</f>
        <v>https://earth.google.com/web/search/-30.9025205039907,-55.5379364231284</v>
      </c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ht="26.25" customHeight="1">
      <c r="A684" s="17" t="s">
        <v>1372</v>
      </c>
      <c r="B684" s="18" t="s">
        <v>1373</v>
      </c>
      <c r="C684" s="14">
        <v>1.0</v>
      </c>
      <c r="D684" s="15">
        <v>232.0</v>
      </c>
      <c r="E684" s="15">
        <v>7.0</v>
      </c>
      <c r="F684" s="16" t="str">
        <f t="array" ref="F684">"https://www.google.com/maps/search/?api=1&amp;query=" &amp; A684 &amp; "," &amp; B684</f>
        <v>https://www.google.com/maps/search/?api=1&amp;query=-30.9026737494578,-0.5553802513803</v>
      </c>
      <c r="G684" s="16" t="str">
        <f t="array" ref="G684">"https://earth.google.com/web/search/" &amp; A684 &amp; "," &amp; B684</f>
        <v>https://earth.google.com/web/search/-30.9026737494578,-0.5553802513803</v>
      </c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ht="26.25" customHeight="1">
      <c r="A685" s="17" t="s">
        <v>1374</v>
      </c>
      <c r="B685" s="18" t="s">
        <v>1375</v>
      </c>
      <c r="C685" s="14">
        <v>1.0</v>
      </c>
      <c r="D685" s="15">
        <v>232.0</v>
      </c>
      <c r="E685" s="15">
        <v>8.0</v>
      </c>
      <c r="F685" s="16" t="str">
        <f t="array" ref="F685">"https://www.google.com/maps/search/?api=1&amp;query=" &amp; A685 &amp; "," &amp; B685</f>
        <v>https://www.google.com/maps/search/?api=1&amp;query=-30.9027503706994,-55.5380752572969</v>
      </c>
      <c r="G685" s="16" t="str">
        <f t="array" ref="G685">"https://earth.google.com/web/search/" &amp; A685 &amp; "," &amp; B685</f>
        <v>https://earth.google.com/web/search/-30.9027503706994,-55.5380752572969</v>
      </c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ht="26.25" customHeight="1">
      <c r="A686" s="17" t="s">
        <v>1376</v>
      </c>
      <c r="B686" s="18" t="s">
        <v>1377</v>
      </c>
      <c r="C686" s="14">
        <v>1.0</v>
      </c>
      <c r="D686" s="15">
        <v>231.0</v>
      </c>
      <c r="E686" s="15">
        <v>1.0</v>
      </c>
      <c r="F686" s="16" t="str">
        <f t="array" ref="F686">"https://www.google.com/maps/search/?api=1&amp;query=" &amp; A686 &amp; "," &amp; B686</f>
        <v>https://www.google.com/maps/search/?api=1&amp;query=-30.9024774535861,-55.5390636484312</v>
      </c>
      <c r="G686" s="16" t="str">
        <f t="array" ref="G686">"https://earth.google.com/web/search/" &amp; A686 &amp; "," &amp; B686</f>
        <v>https://earth.google.com/web/search/-30.9024774535861,-55.5390636484312</v>
      </c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ht="26.25" customHeight="1">
      <c r="A687" s="17" t="s">
        <v>1378</v>
      </c>
      <c r="B687" s="18" t="s">
        <v>1379</v>
      </c>
      <c r="C687" s="14">
        <v>1.0</v>
      </c>
      <c r="D687" s="15">
        <v>231.0</v>
      </c>
      <c r="E687" s="15">
        <v>2.0</v>
      </c>
      <c r="F687" s="16" t="str">
        <f t="array" ref="F687">"https://www.google.com/maps/search/?api=1&amp;query=" &amp; A687 &amp; "," &amp; B687</f>
        <v>https://www.google.com/maps/search/?api=1&amp;query=-30.9024959976073,-55.5389974367764</v>
      </c>
      <c r="G687" s="16" t="str">
        <f t="array" ref="G687">"https://earth.google.com/web/search/" &amp; A687 &amp; "," &amp; B687</f>
        <v>https://earth.google.com/web/search/-30.9024959976073,-55.5389974367764</v>
      </c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ht="26.25" customHeight="1">
      <c r="A688" s="17" t="s">
        <v>1380</v>
      </c>
      <c r="B688" s="18" t="s">
        <v>1381</v>
      </c>
      <c r="C688" s="14">
        <v>1.0</v>
      </c>
      <c r="D688" s="15">
        <v>231.0</v>
      </c>
      <c r="E688" s="15">
        <v>3.0</v>
      </c>
      <c r="F688" s="16" t="str">
        <f t="array" ref="F688">"https://www.google.com/maps/search/?api=1&amp;query=" &amp; A688 &amp; "," &amp; B688</f>
        <v>https://www.google.com/maps/search/?api=1&amp;query=-30.9025377199487,-55.5389336708346</v>
      </c>
      <c r="G688" s="16" t="str">
        <f t="array" ref="G688">"https://earth.google.com/web/search/" &amp; A688 &amp; "," &amp; B688</f>
        <v>https://earth.google.com/web/search/-30.9025377199487,-55.5389336708346</v>
      </c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ht="26.25" customHeight="1">
      <c r="A689" s="17" t="s">
        <v>1382</v>
      </c>
      <c r="B689" s="18" t="s">
        <v>1383</v>
      </c>
      <c r="C689" s="14">
        <v>1.0</v>
      </c>
      <c r="D689" s="15">
        <v>231.0</v>
      </c>
      <c r="E689" s="15">
        <v>4.0</v>
      </c>
      <c r="F689" s="16" t="str">
        <f t="array" ref="F689">"https://www.google.com/maps/search/?api=1&amp;query=" &amp; A689 &amp; "," &amp; B689</f>
        <v>https://www.google.com/maps/search/?api=1&amp;query=-30.9026314697198,-5.5538752861521</v>
      </c>
      <c r="G689" s="16" t="str">
        <f t="array" ref="G689">"https://earth.google.com/web/search/" &amp; A689 &amp; "," &amp; B689</f>
        <v>https://earth.google.com/web/search/-30.9026314697198,-5.5538752861521</v>
      </c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ht="26.25" customHeight="1">
      <c r="A690" s="17" t="s">
        <v>1384</v>
      </c>
      <c r="B690" s="18" t="s">
        <v>1385</v>
      </c>
      <c r="C690" s="14">
        <v>1.0</v>
      </c>
      <c r="D690" s="15">
        <v>231.0</v>
      </c>
      <c r="E690" s="15">
        <v>5.0</v>
      </c>
      <c r="F690" s="16" t="str">
        <f t="array" ref="F690">"https://www.google.com/maps/search/?api=1&amp;query=" &amp; A690 &amp; "," &amp; B690</f>
        <v>https://www.google.com/maps/search/?api=1&amp;query=-30.9026884330403,-5.5538634584179</v>
      </c>
      <c r="G690" s="16" t="str">
        <f t="array" ref="G690">"https://earth.google.com/web/search/" &amp; A690 &amp; "," &amp; B690</f>
        <v>https://earth.google.com/web/search/-30.9026884330403,-5.5538634584179</v>
      </c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 ht="26.25" customHeight="1">
      <c r="A691" s="17" t="s">
        <v>1386</v>
      </c>
      <c r="B691" s="18" t="s">
        <v>1387</v>
      </c>
      <c r="C691" s="14">
        <v>1.0</v>
      </c>
      <c r="D691" s="15">
        <v>231.0</v>
      </c>
      <c r="E691" s="15">
        <v>6.0</v>
      </c>
      <c r="F691" s="16" t="str">
        <f t="array" ref="F691">"https://www.google.com/maps/search/?api=1&amp;query=" &amp; A691 &amp; "," &amp; B691</f>
        <v>https://www.google.com/maps/search/?api=1&amp;query=-30.9027487051983,-55.5385211785942</v>
      </c>
      <c r="G691" s="16" t="str">
        <f t="array" ref="G691">"https://earth.google.com/web/search/" &amp; A691 &amp; "," &amp; B691</f>
        <v>https://earth.google.com/web/search/-30.9027487051983,-55.5385211785942</v>
      </c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ht="26.25" customHeight="1">
      <c r="A692" s="17" t="s">
        <v>1388</v>
      </c>
      <c r="B692" s="18" t="s">
        <v>1389</v>
      </c>
      <c r="C692" s="14">
        <v>1.0</v>
      </c>
      <c r="D692" s="15">
        <v>231.0</v>
      </c>
      <c r="E692" s="15">
        <v>7.0</v>
      </c>
      <c r="F692" s="16" t="str">
        <f t="array" ref="F692">"https://www.google.com/maps/search/?api=1&amp;query=" &amp; A692 &amp; "," &amp; B692</f>
        <v>https://www.google.com/maps/search/?api=1&amp;query=-30.9028199302534,-55.5382549164136</v>
      </c>
      <c r="G692" s="16" t="str">
        <f t="array" ref="G692">"https://earth.google.com/web/search/" &amp; A692 &amp; "," &amp; B692</f>
        <v>https://earth.google.com/web/search/-30.9028199302534,-55.5382549164136</v>
      </c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ht="26.25" customHeight="1">
      <c r="A693" s="17" t="s">
        <v>1390</v>
      </c>
      <c r="B693" s="18" t="s">
        <v>1391</v>
      </c>
      <c r="C693" s="14">
        <v>1.0</v>
      </c>
      <c r="D693" s="15">
        <v>231.0</v>
      </c>
      <c r="E693" s="15">
        <v>8.0</v>
      </c>
      <c r="F693" s="16" t="str">
        <f t="array" ref="F693">"https://www.google.com/maps/search/?api=1&amp;query=" &amp; A693 &amp; "," &amp; B693</f>
        <v>https://www.google.com/maps/search/?api=1&amp;query=-30.9027428370726,-55.5381972474516</v>
      </c>
      <c r="G693" s="16" t="str">
        <f t="array" ref="G693">"https://earth.google.com/web/search/" &amp; A693 &amp; "," &amp; B693</f>
        <v>https://earth.google.com/web/search/-30.9027428370726,-55.5381972474516</v>
      </c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ht="26.25" customHeight="1">
      <c r="A694" s="17" t="s">
        <v>1392</v>
      </c>
      <c r="B694" s="18" t="s">
        <v>1393</v>
      </c>
      <c r="C694" s="14">
        <v>1.0</v>
      </c>
      <c r="D694" s="15">
        <v>231.0</v>
      </c>
      <c r="E694" s="15">
        <v>9.0</v>
      </c>
      <c r="F694" s="16" t="str">
        <f t="array" ref="F694">"https://www.google.com/maps/search/?api=1&amp;query=" &amp; A694 &amp; "," &amp; B694</f>
        <v>https://www.google.com/maps/search/?api=1&amp;query=-30.9023311254922,-5.5537901443501</v>
      </c>
      <c r="G694" s="16" t="str">
        <f t="array" ref="G694">"https://earth.google.com/web/search/" &amp; A694 &amp; "," &amp; B694</f>
        <v>https://earth.google.com/web/search/-30.9023311254922,-5.5537901443501</v>
      </c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ht="26.25" customHeight="1">
      <c r="A695" s="17" t="s">
        <v>1394</v>
      </c>
      <c r="B695" s="18" t="s">
        <v>1395</v>
      </c>
      <c r="C695" s="14">
        <v>1.0</v>
      </c>
      <c r="D695" s="15">
        <v>231.0</v>
      </c>
      <c r="E695" s="15">
        <v>10.0</v>
      </c>
      <c r="F695" s="16" t="str">
        <f t="array" ref="F695">"https://www.google.com/maps/search/?api=1&amp;query=" &amp; A695 &amp; "," &amp; B695</f>
        <v>https://www.google.com/maps/search/?api=1&amp;query=-30.9021306394606,-55.5378746720144</v>
      </c>
      <c r="G695" s="16" t="str">
        <f t="array" ref="G695">"https://earth.google.com/web/search/" &amp; A695 &amp; "," &amp; B695</f>
        <v>https://earth.google.com/web/search/-30.9021306394606,-55.5378746720144</v>
      </c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 ht="26.25" customHeight="1">
      <c r="A696" s="17" t="s">
        <v>1396</v>
      </c>
      <c r="B696" s="18" t="s">
        <v>1397</v>
      </c>
      <c r="C696" s="14">
        <v>1.0</v>
      </c>
      <c r="D696" s="15">
        <v>231.0</v>
      </c>
      <c r="E696" s="15">
        <v>11.0</v>
      </c>
      <c r="F696" s="16" t="str">
        <f t="array" ref="F696">"https://www.google.com/maps/search/?api=1&amp;query=" &amp; A696 &amp; "," &amp; B696</f>
        <v>https://www.google.com/maps/search/?api=1&amp;query=-30.9020836965456,-55.5379448176492</v>
      </c>
      <c r="G696" s="16" t="str">
        <f t="array" ref="G696">"https://earth.google.com/web/search/" &amp; A696 &amp; "," &amp; B696</f>
        <v>https://earth.google.com/web/search/-30.9020836965456,-55.5379448176492</v>
      </c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ht="26.25" customHeight="1">
      <c r="A697" s="17" t="s">
        <v>1398</v>
      </c>
      <c r="B697" s="18" t="s">
        <v>1399</v>
      </c>
      <c r="C697" s="14">
        <v>1.0</v>
      </c>
      <c r="D697" s="15">
        <v>231.0</v>
      </c>
      <c r="E697" s="15">
        <v>12.0</v>
      </c>
      <c r="F697" s="16" t="str">
        <f t="array" ref="F697">"https://www.google.com/maps/search/?api=1&amp;query=" &amp; A697 &amp; "," &amp; B697</f>
        <v>https://www.google.com/maps/search/?api=1&amp;query=-30.9019749537226,-55.5381616320245</v>
      </c>
      <c r="G697" s="16" t="str">
        <f t="array" ref="G697">"https://earth.google.com/web/search/" &amp; A697 &amp; "," &amp; B697</f>
        <v>https://earth.google.com/web/search/-30.9019749537226,-55.5381616320245</v>
      </c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 ht="26.25" customHeight="1">
      <c r="A698" s="17" t="s">
        <v>1400</v>
      </c>
      <c r="B698" s="18" t="s">
        <v>1401</v>
      </c>
      <c r="C698" s="14">
        <v>1.0</v>
      </c>
      <c r="D698" s="15">
        <v>231.0</v>
      </c>
      <c r="E698" s="15">
        <v>13.0</v>
      </c>
      <c r="F698" s="16" t="str">
        <f t="array" ref="F698">"https://www.google.com/maps/search/?api=1&amp;query=" &amp; A698 &amp; "," &amp; B698</f>
        <v>https://www.google.com/maps/search/?api=1&amp;query=-30.9019309750523,-55.5382182612969</v>
      </c>
      <c r="G698" s="16" t="str">
        <f t="array" ref="G698">"https://earth.google.com/web/search/" &amp; A698 &amp; "," &amp; B698</f>
        <v>https://earth.google.com/web/search/-30.9019309750523,-55.5382182612969</v>
      </c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ht="26.25" customHeight="1">
      <c r="A699" s="17" t="s">
        <v>1402</v>
      </c>
      <c r="B699" s="18" t="s">
        <v>1403</v>
      </c>
      <c r="C699" s="14">
        <v>1.0</v>
      </c>
      <c r="D699" s="15">
        <v>231.0</v>
      </c>
      <c r="E699" s="15">
        <v>14.0</v>
      </c>
      <c r="F699" s="16" t="str">
        <f t="array" ref="F699">"https://www.google.com/maps/search/?api=1&amp;query=" &amp; A699 &amp; "," &amp; B699</f>
        <v>https://www.google.com/maps/search/?api=1&amp;query=-30.9018675940777,-55.5383415077857</v>
      </c>
      <c r="G699" s="16" t="str">
        <f t="array" ref="G699">"https://earth.google.com/web/search/" &amp; A699 &amp; "," &amp; B699</f>
        <v>https://earth.google.com/web/search/-30.9018675940777,-55.5383415077857</v>
      </c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ht="26.25" customHeight="1">
      <c r="A700" s="17" t="s">
        <v>1404</v>
      </c>
      <c r="B700" s="18" t="s">
        <v>1405</v>
      </c>
      <c r="C700" s="14">
        <v>1.0</v>
      </c>
      <c r="D700" s="15">
        <v>231.0</v>
      </c>
      <c r="E700" s="15">
        <v>15.0</v>
      </c>
      <c r="F700" s="16" t="str">
        <f t="array" ref="F700">"https://www.google.com/maps/search/?api=1&amp;query=" &amp; A700 &amp; "," &amp; B700</f>
        <v>https://www.google.com/maps/search/?api=1&amp;query=-30.9018262101946,-55.5384208561766</v>
      </c>
      <c r="G700" s="16" t="str">
        <f t="array" ref="G700">"https://earth.google.com/web/search/" &amp; A700 &amp; "," &amp; B700</f>
        <v>https://earth.google.com/web/search/-30.9018262101946,-55.5384208561766</v>
      </c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ht="26.25" customHeight="1">
      <c r="A701" s="17" t="s">
        <v>1406</v>
      </c>
      <c r="B701" s="18" t="s">
        <v>1407</v>
      </c>
      <c r="C701" s="14">
        <v>1.0</v>
      </c>
      <c r="D701" s="15">
        <v>231.0</v>
      </c>
      <c r="E701" s="15">
        <v>16.0</v>
      </c>
      <c r="F701" s="16" t="str">
        <f t="array" ref="F701">"https://www.google.com/maps/search/?api=1&amp;query=" &amp; A701 &amp; "," &amp; B701</f>
        <v>https://www.google.com/maps/search/?api=1&amp;query=-30.9017409294975,-55.5385332131168</v>
      </c>
      <c r="G701" s="16" t="str">
        <f t="array" ref="G701">"https://earth.google.com/web/search/" &amp; A701 &amp; "," &amp; B701</f>
        <v>https://earth.google.com/web/search/-30.9017409294975,-55.5385332131168</v>
      </c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ht="26.25" customHeight="1">
      <c r="A702" s="17" t="s">
        <v>1408</v>
      </c>
      <c r="B702" s="18" t="s">
        <v>1409</v>
      </c>
      <c r="C702" s="14">
        <v>1.0</v>
      </c>
      <c r="D702" s="15">
        <v>231.0</v>
      </c>
      <c r="E702" s="15">
        <v>17.0</v>
      </c>
      <c r="F702" s="16" t="str">
        <f t="array" ref="F702">"https://www.google.com/maps/search/?api=1&amp;query=" &amp; A702 &amp; "," &amp; B702</f>
        <v>https://www.google.com/maps/search/?api=1&amp;query=-30.9018871161218,-55.5387158918604</v>
      </c>
      <c r="G702" s="16" t="str">
        <f t="array" ref="G702">"https://earth.google.com/web/search/" &amp; A702 &amp; "," &amp; B702</f>
        <v>https://earth.google.com/web/search/-30.9018871161218,-55.5387158918604</v>
      </c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ht="26.25" customHeight="1">
      <c r="A703" s="17" t="s">
        <v>1410</v>
      </c>
      <c r="B703" s="18" t="s">
        <v>1411</v>
      </c>
      <c r="C703" s="14">
        <v>1.0</v>
      </c>
      <c r="D703" s="15">
        <v>231.0</v>
      </c>
      <c r="E703" s="15">
        <v>18.0</v>
      </c>
      <c r="F703" s="16" t="str">
        <f t="array" ref="F703">"https://www.google.com/maps/search/?api=1&amp;query=" &amp; A703 &amp; "," &amp; B703</f>
        <v>https://www.google.com/maps/search/?api=1&amp;query=-30.9020145709715,-55.5388043783239</v>
      </c>
      <c r="G703" s="16" t="str">
        <f t="array" ref="G703">"https://earth.google.com/web/search/" &amp; A703 &amp; "," &amp; B703</f>
        <v>https://earth.google.com/web/search/-30.9020145709715,-55.5388043783239</v>
      </c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ht="26.25" customHeight="1">
      <c r="A704" s="17" t="s">
        <v>1412</v>
      </c>
      <c r="B704" s="18" t="s">
        <v>1413</v>
      </c>
      <c r="C704" s="14">
        <v>1.0</v>
      </c>
      <c r="D704" s="15">
        <v>231.0</v>
      </c>
      <c r="E704" s="15">
        <v>19.0</v>
      </c>
      <c r="F704" s="16" t="str">
        <f t="array" ref="F704">"https://www.google.com/maps/search/?api=1&amp;query=" &amp; A704 &amp; "," &amp; B704</f>
        <v>https://www.google.com/maps/search/?api=1&amp;query=-30.9020686022361,-55.5388505259191</v>
      </c>
      <c r="G704" s="16" t="str">
        <f t="array" ref="G704">"https://earth.google.com/web/search/" &amp; A704 &amp; "," &amp; B704</f>
        <v>https://earth.google.com/web/search/-30.9020686022361,-55.5388505259191</v>
      </c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ht="26.25" customHeight="1">
      <c r="A705" s="17" t="s">
        <v>1414</v>
      </c>
      <c r="B705" s="18" t="s">
        <v>1415</v>
      </c>
      <c r="C705" s="14">
        <v>1.0</v>
      </c>
      <c r="D705" s="15">
        <v>231.0</v>
      </c>
      <c r="E705" s="15">
        <v>20.0</v>
      </c>
      <c r="F705" s="16" t="str">
        <f t="array" ref="F705">"https://www.google.com/maps/search/?api=1&amp;query=" &amp; A705 &amp; "," &amp; B705</f>
        <v>https://www.google.com/maps/search/?api=1&amp;query=-30.9022840998387,-55.5389911653987</v>
      </c>
      <c r="G705" s="16" t="str">
        <f t="array" ref="G705">"https://earth.google.com/web/search/" &amp; A705 &amp; "," &amp; B705</f>
        <v>https://earth.google.com/web/search/-30.9022840998387,-55.5389911653987</v>
      </c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 ht="26.25" customHeight="1">
      <c r="A706" s="17" t="s">
        <v>1416</v>
      </c>
      <c r="B706" s="18" t="s">
        <v>1417</v>
      </c>
      <c r="C706" s="14">
        <v>1.0</v>
      </c>
      <c r="D706" s="15">
        <v>231.0</v>
      </c>
      <c r="E706" s="15">
        <v>21.0</v>
      </c>
      <c r="F706" s="16" t="str">
        <f t="array" ref="F706">"https://www.google.com/maps/search/?api=1&amp;query=" &amp; A706 &amp; "," &amp; B706</f>
        <v>https://www.google.com/maps/search/?api=1&amp;query=-30.9023392217684,-5.5539029170312</v>
      </c>
      <c r="G706" s="16" t="str">
        <f t="array" ref="G706">"https://earth.google.com/web/search/" &amp; A706 &amp; "," &amp; B706</f>
        <v>https://earth.google.com/web/search/-30.9023392217684,-5.5539029170312</v>
      </c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ht="26.25" customHeight="1">
      <c r="A707" s="17" t="s">
        <v>1418</v>
      </c>
      <c r="B707" s="18" t="s">
        <v>1419</v>
      </c>
      <c r="C707" s="14">
        <v>1.0</v>
      </c>
      <c r="D707" s="15">
        <v>231.0</v>
      </c>
      <c r="E707" s="15">
        <v>22.0</v>
      </c>
      <c r="F707" s="16" t="str">
        <f t="array" ref="F707">"https://www.google.com/maps/search/?api=1&amp;query=" &amp; A707 &amp; "," &amp; B707</f>
        <v>https://www.google.com/maps/search/?api=1&amp;query=-30.9023927489249,-55.5390659847576</v>
      </c>
      <c r="G707" s="16" t="str">
        <f t="array" ref="G707">"https://earth.google.com/web/search/" &amp; A707 &amp; "," &amp; B707</f>
        <v>https://earth.google.com/web/search/-30.9023927489249,-55.5390659847576</v>
      </c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 ht="26.25" customHeight="1">
      <c r="A708" s="17" t="s">
        <v>1420</v>
      </c>
      <c r="B708" s="18" t="s">
        <v>1421</v>
      </c>
      <c r="C708" s="14">
        <v>1.0</v>
      </c>
      <c r="D708" s="15">
        <v>230.0</v>
      </c>
      <c r="E708" s="15">
        <v>1.0</v>
      </c>
      <c r="F708" s="16" t="str">
        <f t="array" ref="F708">"https://www.google.com/maps/search/?api=1&amp;query=" &amp; A708 &amp; "," &amp; B708</f>
        <v>https://www.google.com/maps/search/?api=1&amp;query=-30.9020138397592,-55.5399065892918</v>
      </c>
      <c r="G708" s="16" t="str">
        <f t="array" ref="G708">"https://earth.google.com/web/search/" &amp; A708 &amp; "," &amp; B708</f>
        <v>https://earth.google.com/web/search/-30.9020138397592,-55.5399065892918</v>
      </c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ht="26.25" customHeight="1">
      <c r="A709" s="17" t="s">
        <v>1422</v>
      </c>
      <c r="B709" s="18" t="s">
        <v>1423</v>
      </c>
      <c r="C709" s="14">
        <v>1.0</v>
      </c>
      <c r="D709" s="15">
        <v>230.0</v>
      </c>
      <c r="E709" s="15">
        <v>2.0</v>
      </c>
      <c r="F709" s="16" t="str">
        <f t="array" ref="F709">"https://www.google.com/maps/search/?api=1&amp;query=" &amp; A709 &amp; "," &amp; B709</f>
        <v>https://www.google.com/maps/search/?api=1&amp;query=-30.9020776793623,-55.5397964802692</v>
      </c>
      <c r="G709" s="16" t="str">
        <f t="array" ref="G709">"https://earth.google.com/web/search/" &amp; A709 &amp; "," &amp; B709</f>
        <v>https://earth.google.com/web/search/-30.9020776793623,-55.5397964802692</v>
      </c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 ht="26.25" customHeight="1">
      <c r="A710" s="17" t="s">
        <v>1424</v>
      </c>
      <c r="B710" s="18" t="s">
        <v>1425</v>
      </c>
      <c r="C710" s="14">
        <v>1.0</v>
      </c>
      <c r="D710" s="15">
        <v>230.0</v>
      </c>
      <c r="E710" s="15">
        <v>3.0</v>
      </c>
      <c r="F710" s="16" t="str">
        <f t="array" ref="F710">"https://www.google.com/maps/search/?api=1&amp;query=" &amp; A710 &amp; "," &amp; B710</f>
        <v>https://www.google.com/maps/search/?api=1&amp;query=-30.9021996795404,-5.5539559598932</v>
      </c>
      <c r="G710" s="16" t="str">
        <f t="array" ref="G710">"https://earth.google.com/web/search/" &amp; A710 &amp; "," &amp; B710</f>
        <v>https://earth.google.com/web/search/-30.9021996795404,-5.5539559598932</v>
      </c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ht="26.25" customHeight="1">
      <c r="A711" s="17" t="s">
        <v>1426</v>
      </c>
      <c r="B711" s="18" t="s">
        <v>1427</v>
      </c>
      <c r="C711" s="14">
        <v>1.0</v>
      </c>
      <c r="D711" s="15">
        <v>230.0</v>
      </c>
      <c r="E711" s="15">
        <v>4.0</v>
      </c>
      <c r="F711" s="16" t="str">
        <f t="array" ref="F711">"https://www.google.com/maps/search/?api=1&amp;query=" &amp; A711 &amp; "," &amp; B711</f>
        <v>https://www.google.com/maps/search/?api=1&amp;query=-30.9022787356864,-55.5393778717501</v>
      </c>
      <c r="G711" s="16" t="str">
        <f t="array" ref="G711">"https://earth.google.com/web/search/" &amp; A711 &amp; "," &amp; B711</f>
        <v>https://earth.google.com/web/search/-30.9022787356864,-55.5393778717501</v>
      </c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 ht="26.25" customHeight="1">
      <c r="A712" s="17" t="s">
        <v>1428</v>
      </c>
      <c r="B712" s="18" t="s">
        <v>1429</v>
      </c>
      <c r="C712" s="14">
        <v>1.0</v>
      </c>
      <c r="D712" s="15">
        <v>230.0</v>
      </c>
      <c r="E712" s="15">
        <v>5.0</v>
      </c>
      <c r="F712" s="16" t="str">
        <f t="array" ref="F712">"https://www.google.com/maps/search/?api=1&amp;query=" &amp; A712 &amp; "," &amp; B712</f>
        <v>https://www.google.com/maps/search/?api=1&amp;query=-30.9023403640079,-55.5392846695893</v>
      </c>
      <c r="G712" s="16" t="str">
        <f t="array" ref="G712">"https://earth.google.com/web/search/" &amp; A712 &amp; "," &amp; B712</f>
        <v>https://earth.google.com/web/search/-30.9023403640079,-55.5392846695893</v>
      </c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ht="26.25" customHeight="1">
      <c r="A713" s="17" t="s">
        <v>1430</v>
      </c>
      <c r="B713" s="18" t="s">
        <v>1431</v>
      </c>
      <c r="C713" s="14">
        <v>1.0</v>
      </c>
      <c r="D713" s="15">
        <v>230.0</v>
      </c>
      <c r="E713" s="15">
        <v>5.0</v>
      </c>
      <c r="F713" s="16" t="str">
        <f t="array" ref="F713">"https://www.google.com/maps/search/?api=1&amp;query=" &amp; A713 &amp; "," &amp; B713</f>
        <v>https://www.google.com/maps/search/?api=1&amp;query=-30.9023492193064,-55.5391606720855</v>
      </c>
      <c r="G713" s="16" t="str">
        <f t="array" ref="G713">"https://earth.google.com/web/search/" &amp; A713 &amp; "," &amp; B713</f>
        <v>https://earth.google.com/web/search/-30.9023492193064,-55.5391606720855</v>
      </c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ht="26.25" customHeight="1">
      <c r="A714" s="17" t="s">
        <v>1432</v>
      </c>
      <c r="B714" s="18" t="s">
        <v>1433</v>
      </c>
      <c r="C714" s="14">
        <v>1.0</v>
      </c>
      <c r="D714" s="15">
        <v>230.0</v>
      </c>
      <c r="E714" s="15">
        <v>6.0</v>
      </c>
      <c r="F714" s="16" t="str">
        <f t="array" ref="F714">"https://www.google.com/maps/search/?api=1&amp;query=" &amp; A714 &amp; "," &amp; B714</f>
        <v>https://www.google.com/maps/search/?api=1&amp;query=-30.9023059917539,-0.5553911770987</v>
      </c>
      <c r="G714" s="16" t="str">
        <f t="array" ref="G714">"https://earth.google.com/web/search/" &amp; A714 &amp; "," &amp; B714</f>
        <v>https://earth.google.com/web/search/-30.9023059917539,-0.5553911770987</v>
      </c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ht="26.25" customHeight="1">
      <c r="A715" s="17" t="s">
        <v>1434</v>
      </c>
      <c r="B715" s="18" t="s">
        <v>1435</v>
      </c>
      <c r="C715" s="14">
        <v>1.0</v>
      </c>
      <c r="D715" s="15">
        <v>230.0</v>
      </c>
      <c r="E715" s="15">
        <v>7.0</v>
      </c>
      <c r="F715" s="16" t="str">
        <f t="array" ref="F715">"https://www.google.com/maps/search/?api=1&amp;query=" &amp; A715 &amp; "," &amp; B715</f>
        <v>https://www.google.com/maps/search/?api=1&amp;query=-3.0902262492776,-55.5390934740265</v>
      </c>
      <c r="G715" s="16" t="str">
        <f t="array" ref="G715">"https://earth.google.com/web/search/" &amp; A715 &amp; "," &amp; B715</f>
        <v>https://earth.google.com/web/search/-3.0902262492776,-55.5390934740265</v>
      </c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ht="26.25" customHeight="1">
      <c r="A716" s="17" t="s">
        <v>1436</v>
      </c>
      <c r="B716" s="18" t="s">
        <v>1437</v>
      </c>
      <c r="C716" s="14">
        <v>1.0</v>
      </c>
      <c r="D716" s="15">
        <v>230.0</v>
      </c>
      <c r="E716" s="15">
        <v>8.0</v>
      </c>
      <c r="F716" s="16" t="str">
        <f t="array" ref="F716">"https://www.google.com/maps/search/?api=1&amp;query=" &amp; A716 &amp; "," &amp; B716</f>
        <v>https://www.google.com/maps/search/?api=1&amp;query=-30.9022136146435,-0.5553903700089</v>
      </c>
      <c r="G716" s="16" t="str">
        <f t="array" ref="G716">"https://earth.google.com/web/search/" &amp; A716 &amp; "," &amp; B716</f>
        <v>https://earth.google.com/web/search/-30.9022136146435,-0.5553903700089</v>
      </c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ht="26.25" customHeight="1">
      <c r="A717" s="17" t="s">
        <v>1438</v>
      </c>
      <c r="B717" s="18" t="s">
        <v>1439</v>
      </c>
      <c r="C717" s="14">
        <v>1.0</v>
      </c>
      <c r="D717" s="15">
        <v>230.0</v>
      </c>
      <c r="E717" s="15">
        <v>9.0</v>
      </c>
      <c r="F717" s="16" t="str">
        <f t="array" ref="F717">"https://www.google.com/maps/search/?api=1&amp;query=" &amp; A717 &amp; "," &amp; B717</f>
        <v>https://www.google.com/maps/search/?api=1&amp;query=-30.9019213075477,-55.5388593832133</v>
      </c>
      <c r="G717" s="16" t="str">
        <f t="array" ref="G717">"https://earth.google.com/web/search/" &amp; A717 &amp; "," &amp; B717</f>
        <v>https://earth.google.com/web/search/-30.9019213075477,-55.5388593832133</v>
      </c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ht="26.25" customHeight="1">
      <c r="A718" s="17" t="s">
        <v>1440</v>
      </c>
      <c r="B718" s="18" t="s">
        <v>1441</v>
      </c>
      <c r="C718" s="14">
        <v>1.0</v>
      </c>
      <c r="D718" s="15">
        <v>230.0</v>
      </c>
      <c r="E718" s="15">
        <v>10.0</v>
      </c>
      <c r="F718" s="16" t="str">
        <f t="array" ref="F718">"https://www.google.com/maps/search/?api=1&amp;query=" &amp; A718 &amp; "," &amp; B718</f>
        <v>https://www.google.com/maps/search/?api=1&amp;query=-30.9016385482311,-55.5387917240969</v>
      </c>
      <c r="G718" s="16" t="str">
        <f t="array" ref="G718">"https://earth.google.com/web/search/" &amp; A718 &amp; "," &amp; B718</f>
        <v>https://earth.google.com/web/search/-30.9016385482311,-55.5387917240969</v>
      </c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ht="26.25" customHeight="1">
      <c r="A719" s="17" t="s">
        <v>1442</v>
      </c>
      <c r="B719" s="18" t="s">
        <v>1443</v>
      </c>
      <c r="C719" s="14">
        <v>1.0</v>
      </c>
      <c r="D719" s="15">
        <v>230.0</v>
      </c>
      <c r="E719" s="15">
        <v>11.0</v>
      </c>
      <c r="F719" s="16" t="str">
        <f t="array" ref="F719">"https://www.google.com/maps/search/?api=1&amp;query=" &amp; A719 &amp; "," &amp; B719</f>
        <v>https://www.google.com/maps/search/?api=1&amp;query=-30.9015352373003,-55.5390161209917</v>
      </c>
      <c r="G719" s="16" t="str">
        <f t="array" ref="G719">"https://earth.google.com/web/search/" &amp; A719 &amp; "," &amp; B719</f>
        <v>https://earth.google.com/web/search/-30.9015352373003,-55.5390161209917</v>
      </c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ht="26.25" customHeight="1">
      <c r="A720" s="17" t="s">
        <v>1444</v>
      </c>
      <c r="B720" s="18" t="s">
        <v>1445</v>
      </c>
      <c r="C720" s="14">
        <v>1.0</v>
      </c>
      <c r="D720" s="15">
        <v>230.0</v>
      </c>
      <c r="E720" s="15">
        <v>12.0</v>
      </c>
      <c r="F720" s="16" t="str">
        <f t="array" ref="F720">"https://www.google.com/maps/search/?api=1&amp;query=" &amp; A720 &amp; "," &amp; B720</f>
        <v>https://www.google.com/maps/search/?api=1&amp;query=-30.9013575744303,-55.5395866235824</v>
      </c>
      <c r="G720" s="16" t="str">
        <f t="array" ref="G720">"https://earth.google.com/web/search/" &amp; A720 &amp; "," &amp; B720</f>
        <v>https://earth.google.com/web/search/-30.9013575744303,-55.5395866235824</v>
      </c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ht="26.25" customHeight="1">
      <c r="A721" s="17" t="s">
        <v>1446</v>
      </c>
      <c r="B721" s="18" t="s">
        <v>1447</v>
      </c>
      <c r="C721" s="14">
        <v>1.0</v>
      </c>
      <c r="D721" s="15">
        <v>230.0</v>
      </c>
      <c r="E721" s="15">
        <v>13.0</v>
      </c>
      <c r="F721" s="16" t="str">
        <f t="array" ref="F721">"https://www.google.com/maps/search/?api=1&amp;query=" &amp; A721 &amp; "," &amp; B721</f>
        <v>https://www.google.com/maps/search/?api=1&amp;query=-3.0901426605857,-55.5396379239574</v>
      </c>
      <c r="G721" s="16" t="str">
        <f t="array" ref="G721">"https://earth.google.com/web/search/" &amp; A721 &amp; "," &amp; B721</f>
        <v>https://earth.google.com/web/search/-3.0901426605857,-55.5396379239574</v>
      </c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 ht="26.25" customHeight="1">
      <c r="A722" s="17" t="s">
        <v>1448</v>
      </c>
      <c r="B722" s="18" t="s">
        <v>1449</v>
      </c>
      <c r="C722" s="14">
        <v>1.0</v>
      </c>
      <c r="D722" s="15">
        <v>230.0</v>
      </c>
      <c r="E722" s="15">
        <v>14.0</v>
      </c>
      <c r="F722" s="16" t="str">
        <f t="array" ref="F722">"https://www.google.com/maps/search/?api=1&amp;query=" &amp; A722 &amp; "," &amp; B722</f>
        <v>https://www.google.com/maps/search/?api=1&amp;query=-3.0901633497186,-55.5397844930678</v>
      </c>
      <c r="G722" s="16" t="str">
        <f t="array" ref="G722">"https://earth.google.com/web/search/" &amp; A722 &amp; "," &amp; B722</f>
        <v>https://earth.google.com/web/search/-3.0901633497186,-55.5397844930678</v>
      </c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ht="26.25" customHeight="1">
      <c r="A723" s="17" t="s">
        <v>1450</v>
      </c>
      <c r="B723" s="18" t="s">
        <v>1451</v>
      </c>
      <c r="C723" s="14">
        <v>1.0</v>
      </c>
      <c r="D723" s="15">
        <v>230.0</v>
      </c>
      <c r="E723" s="15">
        <v>15.0</v>
      </c>
      <c r="F723" s="16" t="str">
        <f t="array" ref="F723">"https://www.google.com/maps/search/?api=1&amp;query=" &amp; A723 &amp; "," &amp; B723</f>
        <v>https://www.google.com/maps/search/?api=1&amp;query=-30.9018518434791,-5.5539947490072</v>
      </c>
      <c r="G723" s="16" t="str">
        <f t="array" ref="G723">"https://earth.google.com/web/search/" &amp; A723 &amp; "," &amp; B723</f>
        <v>https://earth.google.com/web/search/-30.9018518434791,-5.5539947490072</v>
      </c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 ht="26.25" customHeight="1">
      <c r="A724" s="17" t="s">
        <v>1452</v>
      </c>
      <c r="B724" s="18" t="s">
        <v>1453</v>
      </c>
      <c r="C724" s="14">
        <v>1.0</v>
      </c>
      <c r="D724" s="15">
        <v>230.0</v>
      </c>
      <c r="E724" s="15">
        <v>16.0</v>
      </c>
      <c r="F724" s="16" t="str">
        <f t="array" ref="F724">"https://www.google.com/maps/search/?api=1&amp;query=" &amp; A724 &amp; "," &amp; B724</f>
        <v>https://www.google.com/maps/search/?api=1&amp;query=-30.9019166756694,-55.5399810412266</v>
      </c>
      <c r="G724" s="16" t="str">
        <f t="array" ref="G724">"https://earth.google.com/web/search/" &amp; A724 &amp; "," &amp; B724</f>
        <v>https://earth.google.com/web/search/-30.9019166756694,-55.5399810412266</v>
      </c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ht="26.25" customHeight="1">
      <c r="A725" s="17" t="s">
        <v>1454</v>
      </c>
      <c r="B725" s="18" t="s">
        <v>1455</v>
      </c>
      <c r="C725" s="14">
        <v>1.0</v>
      </c>
      <c r="D725" s="15">
        <v>230.0</v>
      </c>
      <c r="E725" s="15">
        <v>17.0</v>
      </c>
      <c r="F725" s="16" t="str">
        <f t="array" ref="F725">"https://www.google.com/maps/search/?api=1&amp;query=" &amp; A725 &amp; "," &amp; B725</f>
        <v>https://www.google.com/maps/search/?api=1&amp;query=-30.9019793922054,-5.5539990605076</v>
      </c>
      <c r="G725" s="16" t="str">
        <f t="array" ref="G725">"https://earth.google.com/web/search/" &amp; A725 &amp; "," &amp; B725</f>
        <v>https://earth.google.com/web/search/-30.9019793922054,-5.5539990605076</v>
      </c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 ht="26.25" customHeight="1">
      <c r="A726" s="17" t="s">
        <v>1456</v>
      </c>
      <c r="B726" s="18" t="s">
        <v>1457</v>
      </c>
      <c r="C726" s="14">
        <v>1.0</v>
      </c>
      <c r="D726" s="15">
        <v>229.0</v>
      </c>
      <c r="E726" s="15">
        <v>1.0</v>
      </c>
      <c r="F726" s="16" t="str">
        <f t="array" ref="F726">"https://www.google.com/maps/search/?api=1&amp;query=" &amp; A726 &amp; "," &amp; B726</f>
        <v>https://www.google.com/maps/search/?api=1&amp;query=-30.9015278415359,-55.5407921437677</v>
      </c>
      <c r="G726" s="16" t="str">
        <f t="array" ref="G726">"https://earth.google.com/web/search/" &amp; A726 &amp; "," &amp; B726</f>
        <v>https://earth.google.com/web/search/-30.9015278415359,-55.5407921437677</v>
      </c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ht="26.25" customHeight="1">
      <c r="A727" s="17" t="s">
        <v>1458</v>
      </c>
      <c r="B727" s="18" t="s">
        <v>1459</v>
      </c>
      <c r="C727" s="14">
        <v>1.0</v>
      </c>
      <c r="D727" s="15">
        <v>229.0</v>
      </c>
      <c r="E727" s="15">
        <v>2.0</v>
      </c>
      <c r="F727" s="16" t="str">
        <f t="array" ref="F727">"https://www.google.com/maps/search/?api=1&amp;query=" &amp; A727 &amp; "," &amp; B727</f>
        <v>https://www.google.com/maps/search/?api=1&amp;query=-30.9015717578221,-55.5407084816835</v>
      </c>
      <c r="G727" s="16" t="str">
        <f t="array" ref="G727">"https://earth.google.com/web/search/" &amp; A727 &amp; "," &amp; B727</f>
        <v>https://earth.google.com/web/search/-30.9015717578221,-55.5407084816835</v>
      </c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ht="26.25" customHeight="1">
      <c r="A728" s="17" t="s">
        <v>1460</v>
      </c>
      <c r="B728" s="18" t="s">
        <v>1461</v>
      </c>
      <c r="C728" s="14">
        <v>1.0</v>
      </c>
      <c r="D728" s="15">
        <v>229.0</v>
      </c>
      <c r="E728" s="15">
        <v>3.0</v>
      </c>
      <c r="F728" s="16" t="str">
        <f t="array" ref="F728">"https://www.google.com/maps/search/?api=1&amp;query=" &amp; A728 &amp; "," &amp; B728</f>
        <v>https://www.google.com/maps/search/?api=1&amp;query=-30.9016356336902,-55.5405975030008</v>
      </c>
      <c r="G728" s="16" t="str">
        <f t="array" ref="G728">"https://earth.google.com/web/search/" &amp; A728 &amp; "," &amp; B728</f>
        <v>https://earth.google.com/web/search/-30.9016356336902,-55.5405975030008</v>
      </c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ht="26.25" customHeight="1">
      <c r="A729" s="17" t="s">
        <v>1462</v>
      </c>
      <c r="B729" s="18" t="s">
        <v>1463</v>
      </c>
      <c r="C729" s="14">
        <v>1.0</v>
      </c>
      <c r="D729" s="15">
        <v>229.0</v>
      </c>
      <c r="E729" s="15">
        <v>4.0</v>
      </c>
      <c r="F729" s="16" t="str">
        <f t="array" ref="F729">"https://www.google.com/maps/search/?api=1&amp;query=" &amp; A729 &amp; "," &amp; B729</f>
        <v>https://www.google.com/maps/search/?api=1&amp;query=-30.9016736708362,-55.5405264340184</v>
      </c>
      <c r="G729" s="16" t="str">
        <f t="array" ref="G729">"https://earth.google.com/web/search/" &amp; A729 &amp; "," &amp; B729</f>
        <v>https://earth.google.com/web/search/-30.9016736708362,-55.5405264340184</v>
      </c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ht="26.25" customHeight="1">
      <c r="A730" s="17" t="s">
        <v>1464</v>
      </c>
      <c r="B730" s="18" t="s">
        <v>1465</v>
      </c>
      <c r="C730" s="14">
        <v>1.0</v>
      </c>
      <c r="D730" s="15">
        <v>229.0</v>
      </c>
      <c r="E730" s="15">
        <v>5.0</v>
      </c>
      <c r="F730" s="16" t="str">
        <f t="array" ref="F730">"https://www.google.com/maps/search/?api=1&amp;query=" &amp; A730 &amp; "," &amp; B730</f>
        <v>https://www.google.com/maps/search/?api=1&amp;query=-3.0901717326611,-55.5404608341506</v>
      </c>
      <c r="G730" s="16" t="str">
        <f t="array" ref="G730">"https://earth.google.com/web/search/" &amp; A730 &amp; "," &amp; B730</f>
        <v>https://earth.google.com/web/search/-3.0901717326611,-55.5404608341506</v>
      </c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 ht="26.25" customHeight="1">
      <c r="A731" s="17" t="s">
        <v>1466</v>
      </c>
      <c r="B731" s="18" t="s">
        <v>1467</v>
      </c>
      <c r="C731" s="14">
        <v>1.0</v>
      </c>
      <c r="D731" s="15">
        <v>229.0</v>
      </c>
      <c r="E731" s="15">
        <v>6.0</v>
      </c>
      <c r="F731" s="16" t="str">
        <f t="array" ref="F731">"https://www.google.com/maps/search/?api=1&amp;query=" &amp; A731 &amp; "," &amp; B731</f>
        <v>https://www.google.com/maps/search/?api=1&amp;query=-30.9017430392233,-55.5404143054618</v>
      </c>
      <c r="G731" s="16" t="str">
        <f t="array" ref="G731">"https://earth.google.com/web/search/" &amp; A731 &amp; "," &amp; B731</f>
        <v>https://earth.google.com/web/search/-30.9017430392233,-55.5404143054618</v>
      </c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ht="26.25" customHeight="1">
      <c r="A732" s="17" t="s">
        <v>1468</v>
      </c>
      <c r="B732" s="18" t="s">
        <v>1469</v>
      </c>
      <c r="C732" s="14">
        <v>1.0</v>
      </c>
      <c r="D732" s="15">
        <v>229.0</v>
      </c>
      <c r="E732" s="15">
        <v>7.0</v>
      </c>
      <c r="F732" s="16" t="str">
        <f t="array" ref="F732">"https://www.google.com/maps/search/?api=1&amp;query=" &amp; A732 &amp; "," &amp; B732</f>
        <v>https://www.google.com/maps/search/?api=1&amp;query=-30.9018202440561,-55.5400266691614</v>
      </c>
      <c r="G732" s="16" t="str">
        <f t="array" ref="G732">"https://earth.google.com/web/search/" &amp; A732 &amp; "," &amp; B732</f>
        <v>https://earth.google.com/web/search/-30.9018202440561,-55.5400266691614</v>
      </c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ht="26.25" customHeight="1">
      <c r="A733" s="17" t="s">
        <v>1470</v>
      </c>
      <c r="B733" s="18" t="s">
        <v>1471</v>
      </c>
      <c r="C733" s="14">
        <v>1.0</v>
      </c>
      <c r="D733" s="15">
        <v>229.0</v>
      </c>
      <c r="E733" s="15">
        <v>8.0</v>
      </c>
      <c r="F733" s="16" t="str">
        <f t="array" ref="F733">"https://www.google.com/maps/search/?api=1&amp;query=" &amp; A733 &amp; "," &amp; B733</f>
        <v>https://www.google.com/maps/search/?api=1&amp;query=-30.9017479364425,-55.5399857204751</v>
      </c>
      <c r="G733" s="16" t="str">
        <f t="array" ref="G733">"https://earth.google.com/web/search/" &amp; A733 &amp; "," &amp; B733</f>
        <v>https://earth.google.com/web/search/-30.9017479364425,-55.5399857204751</v>
      </c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ht="26.25" customHeight="1">
      <c r="A734" s="17" t="s">
        <v>1472</v>
      </c>
      <c r="B734" s="18" t="s">
        <v>1473</v>
      </c>
      <c r="C734" s="14">
        <v>1.0</v>
      </c>
      <c r="D734" s="15">
        <v>229.0</v>
      </c>
      <c r="E734" s="15">
        <v>9.0</v>
      </c>
      <c r="F734" s="16" t="str">
        <f t="array" ref="F734">"https://www.google.com/maps/search/?api=1&amp;query=" &amp; A734 &amp; "," &amp; B734</f>
        <v>https://www.google.com/maps/search/?api=1&amp;query=-30.9011705536877,-55.5396671350235</v>
      </c>
      <c r="G734" s="16" t="str">
        <f t="array" ref="G734">"https://earth.google.com/web/search/" &amp; A734 &amp; "," &amp; B734</f>
        <v>https://earth.google.com/web/search/-30.9011705536877,-55.5396671350235</v>
      </c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ht="26.25" customHeight="1">
      <c r="A735" s="17" t="s">
        <v>1474</v>
      </c>
      <c r="B735" s="18" t="s">
        <v>1475</v>
      </c>
      <c r="C735" s="14">
        <v>1.0</v>
      </c>
      <c r="D735" s="15">
        <v>229.0</v>
      </c>
      <c r="E735" s="15">
        <v>10.0</v>
      </c>
      <c r="F735" s="16" t="str">
        <f t="array" ref="F735">"https://www.google.com/maps/search/?api=1&amp;query=" &amp; A735 &amp; "," &amp; B735</f>
        <v>https://www.google.com/maps/search/?api=1&amp;query=-30.9011374307161,-55.5397434598302</v>
      </c>
      <c r="G735" s="16" t="str">
        <f t="array" ref="G735">"https://earth.google.com/web/search/" &amp; A735 &amp; "," &amp; B735</f>
        <v>https://earth.google.com/web/search/-30.9011374307161,-55.5397434598302</v>
      </c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ht="26.25" customHeight="1">
      <c r="A736" s="17" t="s">
        <v>1476</v>
      </c>
      <c r="B736" s="18" t="s">
        <v>1477</v>
      </c>
      <c r="C736" s="14">
        <v>1.0</v>
      </c>
      <c r="D736" s="15">
        <v>229.0</v>
      </c>
      <c r="E736" s="15">
        <v>11.0</v>
      </c>
      <c r="F736" s="16" t="str">
        <f t="array" ref="F736">"https://www.google.com/maps/search/?api=1&amp;query=" &amp; A736 &amp; "," &amp; B736</f>
        <v>https://www.google.com/maps/search/?api=1&amp;query=-30.9011001895947,-55.5397928019003</v>
      </c>
      <c r="G736" s="16" t="str">
        <f t="array" ref="G736">"https://earth.google.com/web/search/" &amp; A736 &amp; "," &amp; B736</f>
        <v>https://earth.google.com/web/search/-30.9011001895947,-55.5397928019003</v>
      </c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 ht="26.25" customHeight="1">
      <c r="A737" s="17" t="s">
        <v>1478</v>
      </c>
      <c r="B737" s="18" t="s">
        <v>1479</v>
      </c>
      <c r="C737" s="14">
        <v>1.0</v>
      </c>
      <c r="D737" s="15">
        <v>229.0</v>
      </c>
      <c r="E737" s="15">
        <v>12.0</v>
      </c>
      <c r="F737" s="16" t="str">
        <f t="array" ref="F737">"https://www.google.com/maps/search/?api=1&amp;query=" &amp; A737 &amp; "," &amp; B737</f>
        <v>https://www.google.com/maps/search/?api=1&amp;query=-30.9010646422396,-55.5398540948834</v>
      </c>
      <c r="G737" s="16" t="str">
        <f t="array" ref="G737">"https://earth.google.com/web/search/" &amp; A737 &amp; "," &amp; B737</f>
        <v>https://earth.google.com/web/search/-30.9010646422396,-55.5398540948834</v>
      </c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ht="26.25" customHeight="1">
      <c r="A738" s="17" t="s">
        <v>1480</v>
      </c>
      <c r="B738" s="18" t="s">
        <v>1481</v>
      </c>
      <c r="C738" s="14">
        <v>1.0</v>
      </c>
      <c r="D738" s="15">
        <v>229.0</v>
      </c>
      <c r="E738" s="15">
        <v>13.0</v>
      </c>
      <c r="F738" s="16" t="str">
        <f t="array" ref="F738">"https://www.google.com/maps/search/?api=1&amp;query=" &amp; A738 &amp; "," &amp; B738</f>
        <v>https://www.google.com/maps/search/?api=1&amp;query=-30.9010491315738,-55.5399211185105</v>
      </c>
      <c r="G738" s="16" t="str">
        <f t="array" ref="G738">"https://earth.google.com/web/search/" &amp; A738 &amp; "," &amp; B738</f>
        <v>https://earth.google.com/web/search/-30.9010491315738,-55.5399211185105</v>
      </c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ht="26.25" customHeight="1">
      <c r="A739" s="17" t="s">
        <v>1482</v>
      </c>
      <c r="B739" s="18" t="s">
        <v>1483</v>
      </c>
      <c r="C739" s="14">
        <v>1.0</v>
      </c>
      <c r="D739" s="15">
        <v>229.0</v>
      </c>
      <c r="E739" s="15">
        <v>14.0</v>
      </c>
      <c r="F739" s="16" t="str">
        <f t="array" ref="F739">"https://www.google.com/maps/search/?api=1&amp;query=" &amp; A739 &amp; "," &amp; B739</f>
        <v>https://www.google.com/maps/search/?api=1&amp;query=-30.9008613109668,-55.5402954521159</v>
      </c>
      <c r="G739" s="16" t="str">
        <f t="array" ref="G739">"https://earth.google.com/web/search/" &amp; A739 &amp; "," &amp; B739</f>
        <v>https://earth.google.com/web/search/-30.9008613109668,-55.5402954521159</v>
      </c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ht="26.25" customHeight="1">
      <c r="A740" s="17" t="s">
        <v>1484</v>
      </c>
      <c r="B740" s="18" t="s">
        <v>1485</v>
      </c>
      <c r="C740" s="14">
        <v>1.0</v>
      </c>
      <c r="D740" s="15">
        <v>229.0</v>
      </c>
      <c r="E740" s="15">
        <v>15.0</v>
      </c>
      <c r="F740" s="16" t="str">
        <f t="array" ref="F740">"https://www.google.com/maps/search/?api=1&amp;query=" &amp; A740 &amp; "," &amp; B740</f>
        <v>https://www.google.com/maps/search/?api=1&amp;query=-30.9010945986135,-55.5406403752008</v>
      </c>
      <c r="G740" s="16" t="str">
        <f t="array" ref="G740">"https://earth.google.com/web/search/" &amp; A740 &amp; "," &amp; B740</f>
        <v>https://earth.google.com/web/search/-30.9010945986135,-55.5406403752008</v>
      </c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ht="26.25" customHeight="1">
      <c r="A741" s="17" t="s">
        <v>1486</v>
      </c>
      <c r="B741" s="18" t="s">
        <v>1487</v>
      </c>
      <c r="C741" s="14">
        <v>1.0</v>
      </c>
      <c r="D741" s="15">
        <v>229.0</v>
      </c>
      <c r="E741" s="15">
        <v>16.0</v>
      </c>
      <c r="F741" s="16" t="str">
        <f t="array" ref="F741">"https://www.google.com/maps/search/?api=1&amp;query=" &amp; A741 &amp; "," &amp; B741</f>
        <v>https://www.google.com/maps/search/?api=1&amp;query=-30.9011988804168,-55.5407335549162</v>
      </c>
      <c r="G741" s="16" t="str">
        <f t="array" ref="G741">"https://earth.google.com/web/search/" &amp; A741 &amp; "," &amp; B741</f>
        <v>https://earth.google.com/web/search/-30.9011988804168,-55.5407335549162</v>
      </c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ht="26.25" customHeight="1">
      <c r="A742" s="17" t="s">
        <v>1488</v>
      </c>
      <c r="B742" s="18" t="s">
        <v>1489</v>
      </c>
      <c r="C742" s="14">
        <v>1.0</v>
      </c>
      <c r="D742" s="15">
        <v>229.0</v>
      </c>
      <c r="E742" s="15">
        <v>17.0</v>
      </c>
      <c r="F742" s="16" t="str">
        <f t="array" ref="F742">"https://www.google.com/maps/search/?api=1&amp;query=" &amp; A742 &amp; "," &amp; B742</f>
        <v>https://www.google.com/maps/search/?api=1&amp;query=-30.9013076663237,-5.5540807888803</v>
      </c>
      <c r="G742" s="16" t="str">
        <f t="array" ref="G742">"https://earth.google.com/web/search/" &amp; A742 &amp; "," &amp; B742</f>
        <v>https://earth.google.com/web/search/-30.9013076663237,-5.5540807888803</v>
      </c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ht="26.25" customHeight="1">
      <c r="A743" s="17" t="s">
        <v>1490</v>
      </c>
      <c r="B743" s="18" t="s">
        <v>1491</v>
      </c>
      <c r="C743" s="14">
        <v>1.0</v>
      </c>
      <c r="D743" s="15">
        <v>229.0</v>
      </c>
      <c r="E743" s="15">
        <v>18.0</v>
      </c>
      <c r="F743" s="16" t="str">
        <f t="array" ref="F743">"https://www.google.com/maps/search/?api=1&amp;query=" &amp; A743 &amp; "," &amp; B743</f>
        <v>https://www.google.com/maps/search/?api=1&amp;query=-30.9014004945583,-55.5408495487172</v>
      </c>
      <c r="G743" s="16" t="str">
        <f t="array" ref="G743">"https://earth.google.com/web/search/" &amp; A743 &amp; "," &amp; B743</f>
        <v>https://earth.google.com/web/search/-30.9014004945583,-55.5408495487172</v>
      </c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 ht="26.25" customHeight="1">
      <c r="A744" s="17" t="s">
        <v>1492</v>
      </c>
      <c r="B744" s="18" t="s">
        <v>1493</v>
      </c>
      <c r="C744" s="14">
        <v>1.0</v>
      </c>
      <c r="D744" s="15">
        <v>228.0</v>
      </c>
      <c r="E744" s="15">
        <v>1.0</v>
      </c>
      <c r="F744" s="16" t="str">
        <f t="array" ref="F744">"https://www.google.com/maps/search/?api=1&amp;query=" &amp; A744 &amp; "," &amp; B744</f>
        <v>https://www.google.com/maps/search/?api=1&amp;query=-30.9010619229417,-55.5417048729515</v>
      </c>
      <c r="G744" s="16" t="str">
        <f t="array" ref="G744">"https://earth.google.com/web/search/" &amp; A744 &amp; "," &amp; B744</f>
        <v>https://earth.google.com/web/search/-30.9010619229417,-55.5417048729515</v>
      </c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ht="26.25" customHeight="1">
      <c r="A745" s="17" t="s">
        <v>1494</v>
      </c>
      <c r="B745" s="18" t="s">
        <v>1495</v>
      </c>
      <c r="C745" s="14">
        <v>1.0</v>
      </c>
      <c r="D745" s="15">
        <v>228.0</v>
      </c>
      <c r="E745" s="15">
        <v>2.0</v>
      </c>
      <c r="F745" s="16" t="str">
        <f t="array" ref="F745">"https://www.google.com/maps/search/?api=1&amp;query=" &amp; A745 &amp; "," &amp; B745</f>
        <v>https://www.google.com/maps/search/?api=1&amp;query=-30.9011236353207,-55.5415790285508</v>
      </c>
      <c r="G745" s="16" t="str">
        <f t="array" ref="G745">"https://earth.google.com/web/search/" &amp; A745 &amp; "," &amp; B745</f>
        <v>https://earth.google.com/web/search/-30.9011236353207,-55.5415790285508</v>
      </c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 ht="26.25" customHeight="1">
      <c r="A746" s="17" t="s">
        <v>1496</v>
      </c>
      <c r="B746" s="18" t="s">
        <v>1497</v>
      </c>
      <c r="C746" s="14">
        <v>1.0</v>
      </c>
      <c r="D746" s="15">
        <v>228.0</v>
      </c>
      <c r="E746" s="15">
        <v>3.0</v>
      </c>
      <c r="F746" s="16" t="str">
        <f t="array" ref="F746">"https://www.google.com/maps/search/?api=1&amp;query=" &amp; A746 &amp; "," &amp; B746</f>
        <v>https://www.google.com/maps/search/?api=1&amp;query=-30.9012897016578,-55.5412536497989</v>
      </c>
      <c r="G746" s="16" t="str">
        <f t="array" ref="G746">"https://earth.google.com/web/search/" &amp; A746 &amp; "," &amp; B746</f>
        <v>https://earth.google.com/web/search/-30.9012897016578,-55.5412536497989</v>
      </c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ht="26.25" customHeight="1">
      <c r="A747" s="17" t="s">
        <v>1498</v>
      </c>
      <c r="B747" s="18" t="s">
        <v>1499</v>
      </c>
      <c r="C747" s="14">
        <v>1.0</v>
      </c>
      <c r="D747" s="15">
        <v>228.0</v>
      </c>
      <c r="E747" s="15">
        <v>4.0</v>
      </c>
      <c r="F747" s="16" t="str">
        <f t="array" ref="F747">"https://www.google.com/maps/search/?api=1&amp;query=" &amp; A747 &amp; "," &amp; B747</f>
        <v>https://www.google.com/maps/search/?api=1&amp;query=-30.9013591421014,-55.5411621457353</v>
      </c>
      <c r="G747" s="16" t="str">
        <f t="array" ref="G747">"https://earth.google.com/web/search/" &amp; A747 &amp; "," &amp; B747</f>
        <v>https://earth.google.com/web/search/-30.9013591421014,-55.5411621457353</v>
      </c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 ht="26.25" customHeight="1">
      <c r="A748" s="17" t="s">
        <v>1500</v>
      </c>
      <c r="B748" s="18" t="s">
        <v>1501</v>
      </c>
      <c r="C748" s="14">
        <v>1.0</v>
      </c>
      <c r="D748" s="15">
        <v>228.0</v>
      </c>
      <c r="E748" s="15">
        <v>5.0</v>
      </c>
      <c r="F748" s="16" t="str">
        <f t="array" ref="F748">"https://www.google.com/maps/search/?api=1&amp;query=" &amp; A748 &amp; "," &amp; B748</f>
        <v>https://www.google.com/maps/search/?api=1&amp;query=-30.9013429249957,-55.5409886992976</v>
      </c>
      <c r="G748" s="16" t="str">
        <f t="array" ref="G748">"https://earth.google.com/web/search/" &amp; A748 &amp; "," &amp; B748</f>
        <v>https://earth.google.com/web/search/-30.9013429249957,-55.5409886992976</v>
      </c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ht="26.25" customHeight="1">
      <c r="A749" s="17" t="s">
        <v>1502</v>
      </c>
      <c r="B749" s="18" t="s">
        <v>1503</v>
      </c>
      <c r="C749" s="14">
        <v>1.0</v>
      </c>
      <c r="D749" s="15">
        <v>228.0</v>
      </c>
      <c r="E749" s="15">
        <v>6.0</v>
      </c>
      <c r="F749" s="16" t="str">
        <f t="array" ref="F749">"https://www.google.com/maps/search/?api=1&amp;query=" &amp; A749 &amp; "," &amp; B749</f>
        <v>https://www.google.com/maps/search/?api=1&amp;query=-0.3090102528128,-55.5407569898825</v>
      </c>
      <c r="G749" s="16" t="str">
        <f t="array" ref="G749">"https://earth.google.com/web/search/" &amp; A749 &amp; "," &amp; B749</f>
        <v>https://earth.google.com/web/search/-0.3090102528128,-55.5407569898825</v>
      </c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 ht="26.25" customHeight="1">
      <c r="A750" s="17" t="s">
        <v>1504</v>
      </c>
      <c r="B750" s="18" t="s">
        <v>1505</v>
      </c>
      <c r="C750" s="14">
        <v>1.0</v>
      </c>
      <c r="D750" s="15">
        <v>228.0</v>
      </c>
      <c r="E750" s="15">
        <v>7.0</v>
      </c>
      <c r="F750" s="16" t="str">
        <f t="array" ref="F750">"https://www.google.com/maps/search/?api=1&amp;query=" &amp; A750 &amp; "," &amp; B750</f>
        <v>https://www.google.com/maps/search/?api=1&amp;query=-30.9004848893337,-55.5410155165824</v>
      </c>
      <c r="G750" s="16" t="str">
        <f t="array" ref="G750">"https://earth.google.com/web/search/" &amp; A750 &amp; "," &amp; B750</f>
        <v>https://earth.google.com/web/search/-30.9004848893337,-55.5410155165824</v>
      </c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ht="26.25" customHeight="1">
      <c r="A751" s="17" t="s">
        <v>1506</v>
      </c>
      <c r="B751" s="18" t="s">
        <v>1507</v>
      </c>
      <c r="C751" s="14">
        <v>1.0</v>
      </c>
      <c r="D751" s="15">
        <v>228.0</v>
      </c>
      <c r="E751" s="15">
        <v>8.0</v>
      </c>
      <c r="F751" s="16" t="str">
        <f t="array" ref="F751">"https://www.google.com/maps/search/?api=1&amp;query=" &amp; A751 &amp; "," &amp; B751</f>
        <v>https://www.google.com/maps/search/?api=1&amp;query=-3.0900334628806,-55.5412922810727</v>
      </c>
      <c r="G751" s="16" t="str">
        <f t="array" ref="G751">"https://earth.google.com/web/search/" &amp; A751 &amp; "," &amp; B751</f>
        <v>https://earth.google.com/web/search/-3.0900334628806,-55.5412922810727</v>
      </c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 ht="26.25" customHeight="1">
      <c r="A752" s="17" t="s">
        <v>1508</v>
      </c>
      <c r="B752" s="18" t="s">
        <v>1509</v>
      </c>
      <c r="C752" s="14">
        <v>1.0</v>
      </c>
      <c r="D752" s="15">
        <v>228.0</v>
      </c>
      <c r="E752" s="15">
        <v>9.0</v>
      </c>
      <c r="F752" s="16" t="str">
        <f t="array" ref="F752">"https://www.google.com/maps/search/?api=1&amp;query=" &amp; A752 &amp; "," &amp; B752</f>
        <v>https://www.google.com/maps/search/?api=1&amp;query=-30.9006926934901,-5.5541659611762</v>
      </c>
      <c r="G752" s="16" t="str">
        <f t="array" ref="G752">"https://earth.google.com/web/search/" &amp; A752 &amp; "," &amp; B752</f>
        <v>https://earth.google.com/web/search/-30.9006926934901,-5.5541659611762</v>
      </c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ht="26.25" customHeight="1">
      <c r="A753" s="17" t="s">
        <v>1510</v>
      </c>
      <c r="B753" s="18" t="s">
        <v>1511</v>
      </c>
      <c r="C753" s="14">
        <v>1.0</v>
      </c>
      <c r="D753" s="15">
        <v>227.0</v>
      </c>
      <c r="E753" s="15">
        <v>1.0</v>
      </c>
      <c r="F753" s="16" t="str">
        <f t="array" ref="F753">"https://www.google.com/maps/search/?api=1&amp;query=" &amp; A753 &amp; "," &amp; B753</f>
        <v>https://www.google.com/maps/search/?api=1&amp;query=-30.9005523937325,-55.5426595109627</v>
      </c>
      <c r="G753" s="16" t="str">
        <f t="array" ref="G753">"https://earth.google.com/web/search/" &amp; A753 &amp; "," &amp; B753</f>
        <v>https://earth.google.com/web/search/-30.9005523937325,-55.5426595109627</v>
      </c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ht="26.25" customHeight="1">
      <c r="A754" s="17" t="s">
        <v>1512</v>
      </c>
      <c r="B754" s="18" t="s">
        <v>1513</v>
      </c>
      <c r="C754" s="14">
        <v>1.0</v>
      </c>
      <c r="D754" s="15">
        <v>227.0</v>
      </c>
      <c r="E754" s="15">
        <v>2.0</v>
      </c>
      <c r="F754" s="16" t="str">
        <f t="array" ref="F754">"https://www.google.com/maps/search/?api=1&amp;query=" &amp; A754 &amp; "," &amp; B754</f>
        <v>https://www.google.com/maps/search/?api=1&amp;query=-30.9006987245029,-55.5423670497946</v>
      </c>
      <c r="G754" s="16" t="str">
        <f t="array" ref="G754">"https://earth.google.com/web/search/" &amp; A754 &amp; "," &amp; B754</f>
        <v>https://earth.google.com/web/search/-30.9006987245029,-55.5423670497946</v>
      </c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ht="26.25" customHeight="1">
      <c r="A755" s="17" t="s">
        <v>1514</v>
      </c>
      <c r="B755" s="18" t="s">
        <v>1515</v>
      </c>
      <c r="C755" s="14">
        <v>1.0</v>
      </c>
      <c r="D755" s="15">
        <v>227.0</v>
      </c>
      <c r="E755" s="15">
        <v>3.0</v>
      </c>
      <c r="F755" s="16" t="str">
        <f t="array" ref="F755">"https://www.google.com/maps/search/?api=1&amp;query=" &amp; A755 &amp; "," &amp; B755</f>
        <v>https://www.google.com/maps/search/?api=1&amp;query=-30.9007530108523,-55.5422860310134</v>
      </c>
      <c r="G755" s="16" t="str">
        <f t="array" ref="G755">"https://earth.google.com/web/search/" &amp; A755 &amp; "," &amp; B755</f>
        <v>https://earth.google.com/web/search/-30.9007530108523,-55.5422860310134</v>
      </c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ht="26.25" customHeight="1">
      <c r="A756" s="17" t="s">
        <v>1516</v>
      </c>
      <c r="B756" s="18" t="s">
        <v>1517</v>
      </c>
      <c r="C756" s="14">
        <v>1.0</v>
      </c>
      <c r="D756" s="15">
        <v>227.0</v>
      </c>
      <c r="E756" s="15">
        <v>4.0</v>
      </c>
      <c r="F756" s="16" t="str">
        <f t="array" ref="F756">"https://www.google.com/maps/search/?api=1&amp;query=" &amp; A756 &amp; "," &amp; B756</f>
        <v>https://www.google.com/maps/search/?api=1&amp;query=-30.9007316534445,-55.5417941580084</v>
      </c>
      <c r="G756" s="16" t="str">
        <f t="array" ref="G756">"https://earth.google.com/web/search/" &amp; A756 &amp; "," &amp; B756</f>
        <v>https://earth.google.com/web/search/-30.9007316534445,-55.5417941580084</v>
      </c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ht="26.25" customHeight="1">
      <c r="A757" s="17" t="s">
        <v>1518</v>
      </c>
      <c r="B757" s="18" t="s">
        <v>1519</v>
      </c>
      <c r="C757" s="14">
        <v>1.0</v>
      </c>
      <c r="D757" s="15">
        <v>227.0</v>
      </c>
      <c r="E757" s="15">
        <v>5.0</v>
      </c>
      <c r="F757" s="16" t="str">
        <f t="array" ref="F757">"https://www.google.com/maps/search/?api=1&amp;query=" &amp; A757 &amp; "," &amp; B757</f>
        <v>https://www.google.com/maps/search/?api=1&amp;query=-30.9005980205587,-55.5417095176489</v>
      </c>
      <c r="G757" s="16" t="str">
        <f t="array" ref="G757">"https://earth.google.com/web/search/" &amp; A757 &amp; "," &amp; B757</f>
        <v>https://earth.google.com/web/search/-30.9005980205587,-55.5417095176489</v>
      </c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 ht="26.25" customHeight="1">
      <c r="A758" s="17" t="s">
        <v>1520</v>
      </c>
      <c r="B758" s="18" t="s">
        <v>1521</v>
      </c>
      <c r="C758" s="14">
        <v>1.0</v>
      </c>
      <c r="D758" s="15">
        <v>227.0</v>
      </c>
      <c r="E758" s="15">
        <v>6.0</v>
      </c>
      <c r="F758" s="16" t="str">
        <f t="array" ref="F758">"https://www.google.com/maps/search/?api=1&amp;query=" &amp; A758 &amp; "," &amp; B758</f>
        <v>https://www.google.com/maps/search/?api=1&amp;query=-30.9004755191971,-5.5541624112458</v>
      </c>
      <c r="G758" s="16" t="str">
        <f t="array" ref="G758">"https://earth.google.com/web/search/" &amp; A758 &amp; "," &amp; B758</f>
        <v>https://earth.google.com/web/search/-30.9004755191971,-5.5541624112458</v>
      </c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 ht="26.25" customHeight="1">
      <c r="A759" s="17" t="s">
        <v>1522</v>
      </c>
      <c r="B759" s="18" t="s">
        <v>1523</v>
      </c>
      <c r="C759" s="14">
        <v>1.0</v>
      </c>
      <c r="D759" s="15">
        <v>227.0</v>
      </c>
      <c r="E759" s="15">
        <v>7.0</v>
      </c>
      <c r="F759" s="16" t="str">
        <f t="array" ref="F759">"https://www.google.com/maps/search/?api=1&amp;query=" &amp; A759 &amp; "," &amp; B759</f>
        <v>https://www.google.com/maps/search/?api=1&amp;query=-30.9004281990633,-55.5415850919365</v>
      </c>
      <c r="G759" s="16" t="str">
        <f t="array" ref="G759">"https://earth.google.com/web/search/" &amp; A759 &amp; "," &amp; B759</f>
        <v>https://earth.google.com/web/search/-30.9004281990633,-55.5415850919365</v>
      </c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 ht="26.25" customHeight="1">
      <c r="A760" s="17" t="s">
        <v>1524</v>
      </c>
      <c r="B760" s="18" t="s">
        <v>1525</v>
      </c>
      <c r="C760" s="14">
        <v>1.0</v>
      </c>
      <c r="D760" s="15">
        <v>227.0</v>
      </c>
      <c r="E760" s="15">
        <v>8.0</v>
      </c>
      <c r="F760" s="16" t="str">
        <f t="array" ref="F760">"https://www.google.com/maps/search/?api=1&amp;query=" &amp; A760 &amp; "," &amp; B760</f>
        <v>https://www.google.com/maps/search/?api=1&amp;query=-30.8999419856801,-5.5542017620993</v>
      </c>
      <c r="G760" s="16" t="str">
        <f t="array" ref="G760">"https://earth.google.com/web/search/" &amp; A760 &amp; "," &amp; B760</f>
        <v>https://earth.google.com/web/search/-30.8999419856801,-5.5542017620993</v>
      </c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ht="26.25" customHeight="1">
      <c r="A761" s="17" t="s">
        <v>1526</v>
      </c>
      <c r="B761" s="18" t="s">
        <v>1527</v>
      </c>
      <c r="C761" s="14">
        <v>1.0</v>
      </c>
      <c r="D761" s="15">
        <v>227.0</v>
      </c>
      <c r="E761" s="15">
        <v>9.0</v>
      </c>
      <c r="F761" s="16" t="str">
        <f t="array" ref="F761">"https://www.google.com/maps/search/?api=1&amp;query=" &amp; A761 &amp; "," &amp; B761</f>
        <v>https://www.google.com/maps/search/?api=1&amp;query=-30.8998875151561,-55.5423478241849</v>
      </c>
      <c r="G761" s="16" t="str">
        <f t="array" ref="G761">"https://earth.google.com/web/search/" &amp; A761 &amp; "," &amp; B761</f>
        <v>https://earth.google.com/web/search/-30.8998875151561,-55.5423478241849</v>
      </c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 ht="26.25" customHeight="1">
      <c r="A762" s="17" t="s">
        <v>1528</v>
      </c>
      <c r="B762" s="18" t="s">
        <v>1529</v>
      </c>
      <c r="C762" s="14">
        <v>1.0</v>
      </c>
      <c r="D762" s="15">
        <v>227.0</v>
      </c>
      <c r="E762" s="15">
        <v>10.0</v>
      </c>
      <c r="F762" s="16" t="str">
        <f t="array" ref="F762">"https://www.google.com/maps/search/?api=1&amp;query=" &amp; A762 &amp; "," &amp; B762</f>
        <v>https://www.google.com/maps/search/?api=1&amp;query=-30.8999275772658,-55.5423922898504</v>
      </c>
      <c r="G762" s="16" t="str">
        <f t="array" ref="G762">"https://earth.google.com/web/search/" &amp; A762 &amp; "," &amp; B762</f>
        <v>https://earth.google.com/web/search/-30.8999275772658,-55.5423922898504</v>
      </c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 ht="26.25" customHeight="1">
      <c r="A763" s="17" t="s">
        <v>1530</v>
      </c>
      <c r="B763" s="18" t="s">
        <v>1531</v>
      </c>
      <c r="C763" s="14">
        <v>1.0</v>
      </c>
      <c r="D763" s="15">
        <v>227.0</v>
      </c>
      <c r="E763" s="15">
        <v>11.0</v>
      </c>
      <c r="F763" s="16" t="str">
        <f t="array" ref="F763">"https://www.google.com/maps/search/?api=1&amp;query=" &amp; A763 &amp; "," &amp; B763</f>
        <v>https://www.google.com/maps/search/?api=1&amp;query=-30.9000641168067,-55.5424767038438</v>
      </c>
      <c r="G763" s="16" t="str">
        <f t="array" ref="G763">"https://earth.google.com/web/search/" &amp; A763 &amp; "," &amp; B763</f>
        <v>https://earth.google.com/web/search/-30.9000641168067,-55.5424767038438</v>
      </c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 ht="26.25" customHeight="1">
      <c r="A764" s="17" t="s">
        <v>1532</v>
      </c>
      <c r="B764" s="18" t="s">
        <v>1533</v>
      </c>
      <c r="C764" s="14">
        <v>1.0</v>
      </c>
      <c r="D764" s="15">
        <v>227.0</v>
      </c>
      <c r="E764" s="15">
        <v>12.0</v>
      </c>
      <c r="F764" s="16" t="str">
        <f t="array" ref="F764">"https://www.google.com/maps/search/?api=1&amp;query=" &amp; A764 &amp; "," &amp; B764</f>
        <v>https://www.google.com/maps/search/?api=1&amp;query=-30.9001695548425,-0.0055542532895</v>
      </c>
      <c r="G764" s="16" t="str">
        <f t="array" ref="G764">"https://earth.google.com/web/search/" &amp; A764 &amp; "," &amp; B764</f>
        <v>https://earth.google.com/web/search/-30.9001695548425,-0.0055542532895</v>
      </c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ht="26.25" customHeight="1">
      <c r="A765" s="17" t="s">
        <v>1534</v>
      </c>
      <c r="B765" s="18" t="s">
        <v>1535</v>
      </c>
      <c r="C765" s="14">
        <v>1.0</v>
      </c>
      <c r="D765" s="15">
        <v>227.0</v>
      </c>
      <c r="E765" s="15">
        <v>13.0</v>
      </c>
      <c r="F765" s="16" t="str">
        <f t="array" ref="F765">"https://www.google.com/maps/search/?api=1&amp;query=" &amp; A765 &amp; "," &amp; B765</f>
        <v>https://www.google.com/maps/search/?api=1&amp;query=-30.9002272693687,-55.5425818282632</v>
      </c>
      <c r="G765" s="16" t="str">
        <f t="array" ref="G765">"https://earth.google.com/web/search/" &amp; A765 &amp; "," &amp; B765</f>
        <v>https://earth.google.com/web/search/-30.9002272693687,-55.5425818282632</v>
      </c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 ht="26.25" customHeight="1">
      <c r="A766" s="17" t="s">
        <v>1536</v>
      </c>
      <c r="B766" s="18" t="s">
        <v>1537</v>
      </c>
      <c r="C766" s="14">
        <v>1.0</v>
      </c>
      <c r="D766" s="15">
        <v>227.0</v>
      </c>
      <c r="E766" s="15">
        <v>14.0</v>
      </c>
      <c r="F766" s="16" t="str">
        <f t="array" ref="F766">"https://www.google.com/maps/search/?api=1&amp;query=" &amp; A766 &amp; "," &amp; B766</f>
        <v>https://www.google.com/maps/search/?api=1&amp;query=-3.0900292049608,-55.5426225522118</v>
      </c>
      <c r="G766" s="16" t="str">
        <f t="array" ref="G766">"https://earth.google.com/web/search/" &amp; A766 &amp; "," &amp; B766</f>
        <v>https://earth.google.com/web/search/-3.0900292049608,-55.5426225522118</v>
      </c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ht="26.25" customHeight="1">
      <c r="A767" s="17" t="s">
        <v>1538</v>
      </c>
      <c r="B767" s="18" t="s">
        <v>1539</v>
      </c>
      <c r="C767" s="14">
        <v>1.0</v>
      </c>
      <c r="D767" s="15">
        <v>227.0</v>
      </c>
      <c r="E767" s="15">
        <v>15.0</v>
      </c>
      <c r="F767" s="16" t="str">
        <f t="array" ref="F767">"https://www.google.com/maps/search/?api=1&amp;query=" &amp; A767 &amp; "," &amp; B767</f>
        <v>https://www.google.com/maps/search/?api=1&amp;query=-30.9003423724801,-55.5426626989965</v>
      </c>
      <c r="G767" s="16" t="str">
        <f t="array" ref="G767">"https://earth.google.com/web/search/" &amp; A767 &amp; "," &amp; B767</f>
        <v>https://earth.google.com/web/search/-30.9003423724801,-55.5426626989965</v>
      </c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ht="26.25" customHeight="1">
      <c r="A768" s="17" t="s">
        <v>1540</v>
      </c>
      <c r="B768" s="18" t="s">
        <v>1541</v>
      </c>
      <c r="C768" s="14">
        <v>1.0</v>
      </c>
      <c r="D768" s="15">
        <v>227.0</v>
      </c>
      <c r="E768" s="15">
        <v>16.0</v>
      </c>
      <c r="F768" s="16" t="str">
        <f t="array" ref="F768">"https://www.google.com/maps/search/?api=1&amp;query=" &amp; A768 &amp; "," &amp; B768</f>
        <v>https://www.google.com/maps/search/?api=1&amp;query=-30.9004569502131,-5.5542748706017</v>
      </c>
      <c r="G768" s="16" t="str">
        <f t="array" ref="G768">"https://earth.google.com/web/search/" &amp; A768 &amp; "," &amp; B768</f>
        <v>https://earth.google.com/web/search/-30.9004569502131,-5.5542748706017</v>
      </c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ht="26.25" customHeight="1">
      <c r="A769" s="17" t="s">
        <v>1542</v>
      </c>
      <c r="B769" s="18" t="s">
        <v>1543</v>
      </c>
      <c r="C769" s="14">
        <v>1.0</v>
      </c>
      <c r="D769" s="15">
        <v>226.0</v>
      </c>
      <c r="E769" s="15">
        <v>1.0</v>
      </c>
      <c r="F769" s="16" t="str">
        <f t="array" ref="F769">"https://www.google.com/maps/search/?api=1&amp;query=" &amp; A769 &amp; "," &amp; B769</f>
        <v>https://www.google.com/maps/search/?api=1&amp;query=-30.9000557152023,-5.5543596908436</v>
      </c>
      <c r="G769" s="16" t="str">
        <f t="array" ref="G769">"https://earth.google.com/web/search/" &amp; A769 &amp; "," &amp; B769</f>
        <v>https://earth.google.com/web/search/-30.9000557152023,-5.5543596908436</v>
      </c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ht="26.25" customHeight="1">
      <c r="A770" s="17" t="s">
        <v>1544</v>
      </c>
      <c r="B770" s="18" t="s">
        <v>1545</v>
      </c>
      <c r="C770" s="14">
        <v>1.0</v>
      </c>
      <c r="D770" s="15">
        <v>226.0</v>
      </c>
      <c r="E770" s="15">
        <v>2.0</v>
      </c>
      <c r="F770" s="16" t="str">
        <f t="array" ref="F770">"https://www.google.com/maps/search/?api=1&amp;query=" &amp; A770 &amp; "," &amp; B770</f>
        <v>https://www.google.com/maps/search/?api=1&amp;query=-30.9000818271328,-55.5435383029935</v>
      </c>
      <c r="G770" s="16" t="str">
        <f t="array" ref="G770">"https://earth.google.com/web/search/" &amp; A770 &amp; "," &amp; B770</f>
        <v>https://earth.google.com/web/search/-30.9000818271328,-55.5435383029935</v>
      </c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ht="26.25" customHeight="1">
      <c r="A771" s="17" t="s">
        <v>1546</v>
      </c>
      <c r="B771" s="18" t="s">
        <v>1547</v>
      </c>
      <c r="C771" s="14">
        <v>1.0</v>
      </c>
      <c r="D771" s="15">
        <v>226.0</v>
      </c>
      <c r="E771" s="15">
        <v>3.0</v>
      </c>
      <c r="F771" s="16" t="str">
        <f t="array" ref="F771">"https://www.google.com/maps/search/?api=1&amp;query=" &amp; A771 &amp; "," &amp; B771</f>
        <v>https://www.google.com/maps/search/?api=1&amp;query=-30.9001199773017,-55.5434508454055</v>
      </c>
      <c r="G771" s="16" t="str">
        <f t="array" ref="G771">"https://earth.google.com/web/search/" &amp; A771 &amp; "," &amp; B771</f>
        <v>https://earth.google.com/web/search/-30.9001199773017,-55.5434508454055</v>
      </c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ht="26.25" customHeight="1">
      <c r="A772" s="17" t="s">
        <v>1548</v>
      </c>
      <c r="B772" s="18" t="s">
        <v>1549</v>
      </c>
      <c r="C772" s="14">
        <v>1.0</v>
      </c>
      <c r="D772" s="15">
        <v>226.0</v>
      </c>
      <c r="E772" s="15">
        <v>4.0</v>
      </c>
      <c r="F772" s="16" t="str">
        <f t="array" ref="F772">"https://www.google.com/maps/search/?api=1&amp;query=" &amp; A772 &amp; "," &amp; B772</f>
        <v>https://www.google.com/maps/search/?api=1&amp;query=-30.9001522224157,-55.5433893970433</v>
      </c>
      <c r="G772" s="16" t="str">
        <f t="array" ref="G772">"https://earth.google.com/web/search/" &amp; A772 &amp; "," &amp; B772</f>
        <v>https://earth.google.com/web/search/-30.9001522224157,-55.5433893970433</v>
      </c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ht="26.25" customHeight="1">
      <c r="A773" s="17" t="s">
        <v>1550</v>
      </c>
      <c r="B773" s="18" t="s">
        <v>1551</v>
      </c>
      <c r="C773" s="14">
        <v>1.0</v>
      </c>
      <c r="D773" s="15">
        <v>226.0</v>
      </c>
      <c r="E773" s="15">
        <v>5.0</v>
      </c>
      <c r="F773" s="16" t="str">
        <f t="array" ref="F773">"https://www.google.com/maps/search/?api=1&amp;query=" &amp; A773 &amp; "," &amp; B773</f>
        <v>https://www.google.com/maps/search/?api=1&amp;query=-30.9001949240365,-55.5433208050701</v>
      </c>
      <c r="G773" s="16" t="str">
        <f t="array" ref="G773">"https://earth.google.com/web/search/" &amp; A773 &amp; "," &amp; B773</f>
        <v>https://earth.google.com/web/search/-30.9001949240365,-55.5433208050701</v>
      </c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 ht="26.25" customHeight="1">
      <c r="A774" s="17" t="s">
        <v>1552</v>
      </c>
      <c r="B774" s="18" t="s">
        <v>1553</v>
      </c>
      <c r="C774" s="14">
        <v>1.0</v>
      </c>
      <c r="D774" s="15">
        <v>226.0</v>
      </c>
      <c r="E774" s="15">
        <v>6.0</v>
      </c>
      <c r="F774" s="16" t="str">
        <f t="array" ref="F774">"https://www.google.com/maps/search/?api=1&amp;query=" &amp; A774 &amp; "," &amp; B774</f>
        <v>https://www.google.com/maps/search/?api=1&amp;query=-30.9002463323139,-55.5432493406334</v>
      </c>
      <c r="G774" s="16" t="str">
        <f t="array" ref="G774">"https://earth.google.com/web/search/" &amp; A774 &amp; "," &amp; B774</f>
        <v>https://earth.google.com/web/search/-30.9002463323139,-55.5432493406334</v>
      </c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ht="26.25" customHeight="1">
      <c r="A775" s="17" t="s">
        <v>1554</v>
      </c>
      <c r="B775" s="18" t="s">
        <v>1555</v>
      </c>
      <c r="C775" s="14">
        <v>1.0</v>
      </c>
      <c r="D775" s="15">
        <v>226.0</v>
      </c>
      <c r="E775" s="15">
        <v>7.0</v>
      </c>
      <c r="F775" s="16" t="str">
        <f t="array" ref="F775">"https://www.google.com/maps/search/?api=1&amp;query=" &amp; A775 &amp; "," &amp; B775</f>
        <v>https://www.google.com/maps/search/?api=1&amp;query=-30.9004071155209,-55.5428444748594</v>
      </c>
      <c r="G775" s="16" t="str">
        <f t="array" ref="G775">"https://earth.google.com/web/search/" &amp; A775 &amp; "," &amp; B775</f>
        <v>https://earth.google.com/web/search/-30.9004071155209,-55.5428444748594</v>
      </c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 ht="26.25" customHeight="1">
      <c r="A776" s="17" t="s">
        <v>1556</v>
      </c>
      <c r="B776" s="18" t="s">
        <v>1557</v>
      </c>
      <c r="C776" s="14">
        <v>1.0</v>
      </c>
      <c r="D776" s="15">
        <v>226.0</v>
      </c>
      <c r="E776" s="15">
        <v>8.0</v>
      </c>
      <c r="F776" s="16" t="str">
        <f t="array" ref="F776">"https://www.google.com/maps/search/?api=1&amp;query=" &amp; A776 &amp; "," &amp; B776</f>
        <v>https://www.google.com/maps/search/?api=1&amp;query=-3.0899822779156,-55.5424258122958</v>
      </c>
      <c r="G776" s="16" t="str">
        <f t="array" ref="G776">"https://earth.google.com/web/search/" &amp; A776 &amp; "," &amp; B776</f>
        <v>https://earth.google.com/web/search/-3.0899822779156,-55.5424258122958</v>
      </c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ht="26.25" customHeight="1">
      <c r="A777" s="17" t="s">
        <v>1558</v>
      </c>
      <c r="B777" s="18" t="s">
        <v>1559</v>
      </c>
      <c r="C777" s="14">
        <v>1.0</v>
      </c>
      <c r="D777" s="15">
        <v>226.0</v>
      </c>
      <c r="E777" s="15">
        <v>9.0</v>
      </c>
      <c r="F777" s="16" t="str">
        <f t="array" ref="F777">"https://www.google.com/maps/search/?api=1&amp;query=" &amp; A777 &amp; "," &amp; B777</f>
        <v>https://www.google.com/maps/search/?api=1&amp;query=-30.8996143338304,-55.5426010715545</v>
      </c>
      <c r="G777" s="16" t="str">
        <f t="array" ref="G777">"https://earth.google.com/web/search/" &amp; A777 &amp; "," &amp; B777</f>
        <v>https://earth.google.com/web/search/-30.8996143338304,-55.5426010715545</v>
      </c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 ht="26.25" customHeight="1">
      <c r="A778" s="17" t="s">
        <v>1560</v>
      </c>
      <c r="B778" s="18" t="s">
        <v>1561</v>
      </c>
      <c r="C778" s="14">
        <v>1.0</v>
      </c>
      <c r="D778" s="15">
        <v>226.0</v>
      </c>
      <c r="E778" s="15">
        <v>10.0</v>
      </c>
      <c r="F778" s="16" t="str">
        <f t="array" ref="F778">"https://www.google.com/maps/search/?api=1&amp;query=" &amp; A778 &amp; "," &amp; B778</f>
        <v>https://www.google.com/maps/search/?api=1&amp;query=-30.8995674604156,-55.5426926172519</v>
      </c>
      <c r="G778" s="16" t="str">
        <f t="array" ref="G778">"https://earth.google.com/web/search/" &amp; A778 &amp; "," &amp; B778</f>
        <v>https://earth.google.com/web/search/-30.8995674604156,-55.5426926172519</v>
      </c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ht="26.25" customHeight="1">
      <c r="A779" s="17" t="s">
        <v>1562</v>
      </c>
      <c r="B779" s="18" t="s">
        <v>1563</v>
      </c>
      <c r="C779" s="14">
        <v>1.0</v>
      </c>
      <c r="D779" s="15">
        <v>226.0</v>
      </c>
      <c r="E779" s="15">
        <v>11.0</v>
      </c>
      <c r="F779" s="16" t="str">
        <f t="array" ref="F779">"https://www.google.com/maps/search/?api=1&amp;query=" &amp; A779 &amp; "," &amp; B779</f>
        <v>https://www.google.com/maps/search/?api=1&amp;query=-30.8994455883459,-55.5429195015559</v>
      </c>
      <c r="G779" s="16" t="str">
        <f t="array" ref="G779">"https://earth.google.com/web/search/" &amp; A779 &amp; "," &amp; B779</f>
        <v>https://earth.google.com/web/search/-30.8994455883459,-55.5429195015559</v>
      </c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 ht="26.25" customHeight="1">
      <c r="A780" s="17" t="s">
        <v>1564</v>
      </c>
      <c r="B780" s="18" t="s">
        <v>1565</v>
      </c>
      <c r="C780" s="14">
        <v>1.0</v>
      </c>
      <c r="D780" s="15">
        <v>226.0</v>
      </c>
      <c r="E780" s="15">
        <v>12.0</v>
      </c>
      <c r="F780" s="16" t="str">
        <f t="array" ref="F780">"https://www.google.com/maps/search/?api=1&amp;query=" &amp; A780 &amp; "," &amp; B780</f>
        <v>https://www.google.com/maps/search/?api=1&amp;query=-30.8993140688432,-55.5431160372795</v>
      </c>
      <c r="G780" s="16" t="str">
        <f t="array" ref="G780">"https://earth.google.com/web/search/" &amp; A780 &amp; "," &amp; B780</f>
        <v>https://earth.google.com/web/search/-30.8993140688432,-55.5431160372795</v>
      </c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 ht="26.25" customHeight="1">
      <c r="A781" s="17" t="s">
        <v>1566</v>
      </c>
      <c r="B781" s="18" t="s">
        <v>1567</v>
      </c>
      <c r="C781" s="14">
        <v>1.0</v>
      </c>
      <c r="D781" s="15">
        <v>226.0</v>
      </c>
      <c r="E781" s="15">
        <v>13.0</v>
      </c>
      <c r="F781" s="16" t="str">
        <f t="array" ref="F781">"https://www.google.com/maps/search/?api=1&amp;query=" &amp; A781 &amp; "," &amp; B781</f>
        <v>https://www.google.com/maps/search/?api=1&amp;query=-30.8993379956749,-55.5431853408385</v>
      </c>
      <c r="G781" s="16" t="str">
        <f t="array" ref="G781">"https://earth.google.com/web/search/" &amp; A781 &amp; "," &amp; B781</f>
        <v>https://earth.google.com/web/search/-30.8993379956749,-55.5431853408385</v>
      </c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 ht="26.25" customHeight="1">
      <c r="A782" s="17" t="s">
        <v>1568</v>
      </c>
      <c r="B782" s="18" t="s">
        <v>1569</v>
      </c>
      <c r="C782" s="14">
        <v>1.0</v>
      </c>
      <c r="D782" s="15">
        <v>226.0</v>
      </c>
      <c r="E782" s="15">
        <v>14.0</v>
      </c>
      <c r="F782" s="16" t="str">
        <f t="array" ref="F782">"https://www.google.com/maps/search/?api=1&amp;query=" &amp; A782 &amp; "," &amp; B782</f>
        <v>https://www.google.com/maps/search/?api=1&amp;query=-30.8994064983025,-55.5432540811909</v>
      </c>
      <c r="G782" s="16" t="str">
        <f t="array" ref="G782">"https://earth.google.com/web/search/" &amp; A782 &amp; "," &amp; B782</f>
        <v>https://earth.google.com/web/search/-30.8994064983025,-55.5432540811909</v>
      </c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ht="26.25" customHeight="1">
      <c r="A783" s="17" t="s">
        <v>1570</v>
      </c>
      <c r="B783" s="18" t="s">
        <v>1571</v>
      </c>
      <c r="C783" s="14">
        <v>1.0</v>
      </c>
      <c r="D783" s="15">
        <v>226.0</v>
      </c>
      <c r="E783" s="15">
        <v>15.0</v>
      </c>
      <c r="F783" s="16" t="str">
        <f t="array" ref="F783">"https://www.google.com/maps/search/?api=1&amp;query=" &amp; A783 &amp; "," &amp; B783</f>
        <v>https://www.google.com/maps/search/?api=1&amp;query=-30.8994758466852,-55.5432969824009</v>
      </c>
      <c r="G783" s="16" t="str">
        <f t="array" ref="G783">"https://earth.google.com/web/search/" &amp; A783 &amp; "," &amp; B783</f>
        <v>https://earth.google.com/web/search/-30.8994758466852,-55.5432969824009</v>
      </c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 ht="26.25" customHeight="1">
      <c r="A784" s="17" t="s">
        <v>1572</v>
      </c>
      <c r="B784" s="18" t="s">
        <v>1573</v>
      </c>
      <c r="C784" s="14">
        <v>1.0</v>
      </c>
      <c r="D784" s="15">
        <v>226.0</v>
      </c>
      <c r="E784" s="15">
        <v>16.0</v>
      </c>
      <c r="F784" s="16" t="str">
        <f t="array" ref="F784">"https://www.google.com/maps/search/?api=1&amp;query=" &amp; A784 &amp; "," &amp; B784</f>
        <v>https://www.google.com/maps/search/?api=1&amp;query=-30.8995330622534,-55.5433476496418</v>
      </c>
      <c r="G784" s="16" t="str">
        <f t="array" ref="G784">"https://earth.google.com/web/search/" &amp; A784 &amp; "," &amp; B784</f>
        <v>https://earth.google.com/web/search/-30.8995330622534,-55.5433476496418</v>
      </c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ht="26.25" customHeight="1">
      <c r="A785" s="17" t="s">
        <v>1574</v>
      </c>
      <c r="B785" s="18" t="s">
        <v>1575</v>
      </c>
      <c r="C785" s="14">
        <v>1.0</v>
      </c>
      <c r="D785" s="15">
        <v>226.0</v>
      </c>
      <c r="E785" s="15">
        <v>17.0</v>
      </c>
      <c r="F785" s="16" t="str">
        <f t="array" ref="F785">"https://www.google.com/maps/search/?api=1&amp;query=" &amp; A785 &amp; "," &amp; B785</f>
        <v>https://www.google.com/maps/search/?api=1&amp;query=-30.8996261072775,-55.5433999588933</v>
      </c>
      <c r="G785" s="16" t="str">
        <f t="array" ref="G785">"https://earth.google.com/web/search/" &amp; A785 &amp; "," &amp; B785</f>
        <v>https://earth.google.com/web/search/-30.8996261072775,-55.5433999588933</v>
      </c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ht="26.25" customHeight="1">
      <c r="A786" s="17" t="s">
        <v>1576</v>
      </c>
      <c r="B786" s="18" t="s">
        <v>1577</v>
      </c>
      <c r="C786" s="14">
        <v>1.0</v>
      </c>
      <c r="D786" s="15">
        <v>226.0</v>
      </c>
      <c r="E786" s="15">
        <v>18.0</v>
      </c>
      <c r="F786" s="16" t="str">
        <f t="array" ref="F786">"https://www.google.com/maps/search/?api=1&amp;query=" &amp; A786 &amp; "," &amp; B786</f>
        <v>https://www.google.com/maps/search/?api=1&amp;query=-30.8997202863523,-5.5543472141518</v>
      </c>
      <c r="G786" s="16" t="str">
        <f t="array" ref="G786">"https://earth.google.com/web/search/" &amp; A786 &amp; "," &amp; B786</f>
        <v>https://earth.google.com/web/search/-30.8997202863523,-5.5543472141518</v>
      </c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ht="26.25" customHeight="1">
      <c r="A787" s="17" t="s">
        <v>1578</v>
      </c>
      <c r="B787" s="18" t="s">
        <v>1579</v>
      </c>
      <c r="C787" s="14">
        <v>1.0</v>
      </c>
      <c r="D787" s="15">
        <v>226.0</v>
      </c>
      <c r="E787" s="15">
        <v>19.0</v>
      </c>
      <c r="F787" s="16" t="str">
        <f t="array" ref="F787">"https://www.google.com/maps/search/?api=1&amp;query=" &amp; A787 &amp; "," &amp; B787</f>
        <v>https://www.google.com/maps/search/?api=1&amp;query=-30.8998016895989,-55.5435343040881</v>
      </c>
      <c r="G787" s="16" t="str">
        <f t="array" ref="G787">"https://earth.google.com/web/search/" &amp; A787 &amp; "," &amp; B787</f>
        <v>https://earth.google.com/web/search/-30.8998016895989,-55.5435343040881</v>
      </c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ht="26.25" customHeight="1">
      <c r="A788" s="17" t="s">
        <v>1580</v>
      </c>
      <c r="B788" s="18" t="s">
        <v>1581</v>
      </c>
      <c r="C788" s="14">
        <v>1.0</v>
      </c>
      <c r="D788" s="15">
        <v>226.0</v>
      </c>
      <c r="E788" s="15">
        <v>20.0</v>
      </c>
      <c r="F788" s="16" t="str">
        <f t="array" ref="F788">"https://www.google.com/maps/search/?api=1&amp;query=" &amp; A788 &amp; "," &amp; B788</f>
        <v>https://www.google.com/maps/search/?api=1&amp;query=-3.0899889889631,-5.5543592441913</v>
      </c>
      <c r="G788" s="16" t="str">
        <f t="array" ref="G788">"https://earth.google.com/web/search/" &amp; A788 &amp; "," &amp; B788</f>
        <v>https://earth.google.com/web/search/-3.0899889889631,-5.5543592441913</v>
      </c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ht="26.25" customHeight="1">
      <c r="A789" s="17" t="s">
        <v>1582</v>
      </c>
      <c r="B789" s="18" t="s">
        <v>1583</v>
      </c>
      <c r="C789" s="14">
        <v>1.0</v>
      </c>
      <c r="D789" s="15">
        <v>226.0</v>
      </c>
      <c r="E789" s="15">
        <v>21.0</v>
      </c>
      <c r="F789" s="16" t="str">
        <f t="array" ref="F789">"https://www.google.com/maps/search/?api=1&amp;query=" &amp; A789 &amp; "," &amp; B789</f>
        <v>https://www.google.com/maps/search/?api=1&amp;query=-30.8999841344258,-5.5543648682277</v>
      </c>
      <c r="G789" s="16" t="str">
        <f t="array" ref="G789">"https://earth.google.com/web/search/" &amp; A789 &amp; "," &amp; B789</f>
        <v>https://earth.google.com/web/search/-30.8999841344258,-5.5543648682277</v>
      </c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 ht="26.25" customHeight="1">
      <c r="A790" s="17" t="s">
        <v>1584</v>
      </c>
      <c r="B790" s="18" t="s">
        <v>1585</v>
      </c>
      <c r="C790" s="14">
        <v>1.0</v>
      </c>
      <c r="D790" s="15">
        <v>185.0</v>
      </c>
      <c r="E790" s="15">
        <v>1.0</v>
      </c>
      <c r="F790" s="16" t="str">
        <f t="array" ref="F790">"https://www.google.com/maps/search/?api=1&amp;query=" &amp; A790 &amp; "," &amp; B790</f>
        <v>https://www.google.com/maps/search/?api=1&amp;query=-30.9021762674063,-5.5537622753463</v>
      </c>
      <c r="G790" s="16" t="str">
        <f t="array" ref="G790">"https://earth.google.com/web/search/" &amp; A790 &amp; "," &amp; B790</f>
        <v>https://earth.google.com/web/search/-30.9021762674063,-5.5537622753463</v>
      </c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 ht="26.25" customHeight="1">
      <c r="A791" s="17" t="s">
        <v>1586</v>
      </c>
      <c r="B791" s="18" t="s">
        <v>1587</v>
      </c>
      <c r="C791" s="14">
        <v>1.0</v>
      </c>
      <c r="D791" s="15">
        <v>185.0</v>
      </c>
      <c r="E791" s="15">
        <v>2.0</v>
      </c>
      <c r="F791" s="16" t="str">
        <f t="array" ref="F791">"https://www.google.com/maps/search/?api=1&amp;query=" &amp; A791 &amp; "," &amp; B791</f>
        <v>https://www.google.com/maps/search/?api=1&amp;query=-3.0902212067572,-55.5375527496267</v>
      </c>
      <c r="G791" s="16" t="str">
        <f t="array" ref="G791">"https://earth.google.com/web/search/" &amp; A791 &amp; "," &amp; B791</f>
        <v>https://earth.google.com/web/search/-3.0902212067572,-55.5375527496267</v>
      </c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ht="26.25" customHeight="1">
      <c r="A792" s="17" t="s">
        <v>1588</v>
      </c>
      <c r="B792" s="18" t="s">
        <v>1589</v>
      </c>
      <c r="C792" s="14">
        <v>1.0</v>
      </c>
      <c r="D792" s="15">
        <v>185.0</v>
      </c>
      <c r="E792" s="15">
        <v>3.0</v>
      </c>
      <c r="F792" s="16" t="str">
        <f t="array" ref="F792">"https://www.google.com/maps/search/?api=1&amp;query=" &amp; A792 &amp; "," &amp; B792</f>
        <v>https://www.google.com/maps/search/?api=1&amp;query=-30.9023223167147,-55.5373118355414</v>
      </c>
      <c r="G792" s="16" t="str">
        <f t="array" ref="G792">"https://earth.google.com/web/search/" &amp; A792 &amp; "," &amp; B792</f>
        <v>https://earth.google.com/web/search/-30.9023223167147,-55.5373118355414</v>
      </c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ht="26.25" customHeight="1">
      <c r="A793" s="17" t="s">
        <v>1590</v>
      </c>
      <c r="B793" s="18" t="s">
        <v>1591</v>
      </c>
      <c r="C793" s="14">
        <v>1.0</v>
      </c>
      <c r="D793" s="15">
        <v>185.0</v>
      </c>
      <c r="E793" s="15">
        <v>4.0</v>
      </c>
      <c r="F793" s="16" t="str">
        <f t="array" ref="F793">"https://www.google.com/maps/search/?api=1&amp;query=" &amp; A793 &amp; "," &amp; B793</f>
        <v>https://www.google.com/maps/search/?api=1&amp;query=-30.9018546749789,-55.5363451041953</v>
      </c>
      <c r="G793" s="16" t="str">
        <f t="array" ref="G793">"https://earth.google.com/web/search/" &amp; A793 &amp; "," &amp; B793</f>
        <v>https://earth.google.com/web/search/-30.9018546749789,-55.5363451041953</v>
      </c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 ht="26.25" customHeight="1">
      <c r="A794" s="17" t="s">
        <v>1592</v>
      </c>
      <c r="B794" s="18" t="s">
        <v>1593</v>
      </c>
      <c r="C794" s="14">
        <v>1.0</v>
      </c>
      <c r="D794" s="15">
        <v>185.0</v>
      </c>
      <c r="E794" s="15">
        <v>5.0</v>
      </c>
      <c r="F794" s="16" t="str">
        <f t="array" ref="F794">"https://www.google.com/maps/search/?api=1&amp;query=" &amp; A794 &amp; "," &amp; B794</f>
        <v>https://www.google.com/maps/search/?api=1&amp;query=-30.9017442745536,-55.5365325594379</v>
      </c>
      <c r="G794" s="16" t="str">
        <f t="array" ref="G794">"https://earth.google.com/web/search/" &amp; A794 &amp; "," &amp; B794</f>
        <v>https://earth.google.com/web/search/-30.9017442745536,-55.5365325594379</v>
      </c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ht="26.25" customHeight="1">
      <c r="A795" s="17" t="s">
        <v>1594</v>
      </c>
      <c r="B795" s="18" t="s">
        <v>1595</v>
      </c>
      <c r="C795" s="14">
        <v>1.0</v>
      </c>
      <c r="D795" s="15">
        <v>185.0</v>
      </c>
      <c r="E795" s="15">
        <v>6.0</v>
      </c>
      <c r="F795" s="16" t="str">
        <f t="array" ref="F795">"https://www.google.com/maps/search/?api=1&amp;query=" &amp; A795 &amp; "," &amp; B795</f>
        <v>https://www.google.com/maps/search/?api=1&amp;query=-3.0901685023776,-55.5366290654682</v>
      </c>
      <c r="G795" s="16" t="str">
        <f t="array" ref="G795">"https://earth.google.com/web/search/" &amp; A795 &amp; "," &amp; B795</f>
        <v>https://earth.google.com/web/search/-3.0901685023776,-55.5366290654682</v>
      </c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ht="26.25" customHeight="1">
      <c r="A796" s="17" t="s">
        <v>1596</v>
      </c>
      <c r="B796" s="18" t="s">
        <v>1597</v>
      </c>
      <c r="C796" s="14">
        <v>1.0</v>
      </c>
      <c r="D796" s="15">
        <v>185.0</v>
      </c>
      <c r="E796" s="15">
        <v>7.0</v>
      </c>
      <c r="F796" s="16" t="str">
        <f t="array" ref="F796">"https://www.google.com/maps/search/?api=1&amp;query=" &amp; A796 &amp; "," &amp; B796</f>
        <v>https://www.google.com/maps/search/?api=1&amp;query=-30.9016730670086,-55.5367253533342</v>
      </c>
      <c r="G796" s="16" t="str">
        <f t="array" ref="G796">"https://earth.google.com/web/search/" &amp; A796 &amp; "," &amp; B796</f>
        <v>https://earth.google.com/web/search/-30.9016730670086,-55.5367253533342</v>
      </c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ht="26.25" customHeight="1">
      <c r="A797" s="17" t="s">
        <v>1598</v>
      </c>
      <c r="B797" s="18" t="s">
        <v>1599</v>
      </c>
      <c r="C797" s="14">
        <v>1.0</v>
      </c>
      <c r="D797" s="15">
        <v>185.0</v>
      </c>
      <c r="E797" s="15">
        <v>8.0</v>
      </c>
      <c r="F797" s="16" t="str">
        <f t="array" ref="F797">"https://www.google.com/maps/search/?api=1&amp;query=" &amp; A797 &amp; "," &amp; B797</f>
        <v>https://www.google.com/maps/search/?api=1&amp;query=-30.9016260787651,-55.5367973234866</v>
      </c>
      <c r="G797" s="16" t="str">
        <f t="array" ref="G797">"https://earth.google.com/web/search/" &amp; A797 &amp; "," &amp; B797</f>
        <v>https://earth.google.com/web/search/-30.9016260787651,-55.5367973234866</v>
      </c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ht="26.25" customHeight="1">
      <c r="A798" s="17" t="s">
        <v>1600</v>
      </c>
      <c r="B798" s="18" t="s">
        <v>1601</v>
      </c>
      <c r="C798" s="14">
        <v>1.0</v>
      </c>
      <c r="D798" s="15">
        <v>185.0</v>
      </c>
      <c r="E798" s="15">
        <v>9.0</v>
      </c>
      <c r="F798" s="16" t="str">
        <f t="array" ref="F798">"https://www.google.com/maps/search/?api=1&amp;query=" &amp; A798 &amp; "," &amp; B798</f>
        <v>https://www.google.com/maps/search/?api=1&amp;query=-30.9015853098035,-55.5368692099804</v>
      </c>
      <c r="G798" s="16" t="str">
        <f t="array" ref="G798">"https://earth.google.com/web/search/" &amp; A798 &amp; "," &amp; B798</f>
        <v>https://earth.google.com/web/search/-30.9015853098035,-55.5368692099804</v>
      </c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ht="26.25" customHeight="1">
      <c r="A799" s="17" t="s">
        <v>1602</v>
      </c>
      <c r="B799" s="18" t="s">
        <v>1603</v>
      </c>
      <c r="C799" s="14">
        <v>1.0</v>
      </c>
      <c r="D799" s="15">
        <v>185.0</v>
      </c>
      <c r="E799" s="15">
        <v>10.0</v>
      </c>
      <c r="F799" s="16" t="str">
        <f t="array" ref="F799">"https://www.google.com/maps/search/?api=1&amp;query=" &amp; A799 &amp; "," &amp; B799</f>
        <v>https://www.google.com/maps/search/?api=1&amp;query=-30.9015001505067,-5.5537026114976</v>
      </c>
      <c r="G799" s="16" t="str">
        <f t="array" ref="G799">"https://earth.google.com/web/search/" &amp; A799 &amp; "," &amp; B799</f>
        <v>https://earth.google.com/web/search/-30.9015001505067,-5.5537026114976</v>
      </c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 ht="26.25" customHeight="1">
      <c r="A800" s="17" t="s">
        <v>1604</v>
      </c>
      <c r="B800" s="18" t="s">
        <v>1605</v>
      </c>
      <c r="C800" s="14">
        <v>1.0</v>
      </c>
      <c r="D800" s="15">
        <v>185.0</v>
      </c>
      <c r="E800" s="15">
        <v>11.0</v>
      </c>
      <c r="F800" s="16" t="str">
        <f t="array" ref="F800">"https://www.google.com/maps/search/?api=1&amp;query=" &amp; A800 &amp; "," &amp; B800</f>
        <v>https://www.google.com/maps/search/?api=1&amp;query=-30.9014652963008,-55.5371523228686</v>
      </c>
      <c r="G800" s="16" t="str">
        <f t="array" ref="G800">"https://earth.google.com/web/search/" &amp; A800 &amp; "," &amp; B800</f>
        <v>https://earth.google.com/web/search/-30.9014652963008,-55.5371523228686</v>
      </c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ht="26.25" customHeight="1">
      <c r="A801" s="17" t="s">
        <v>1606</v>
      </c>
      <c r="B801" s="18" t="s">
        <v>1607</v>
      </c>
      <c r="C801" s="14">
        <v>1.0</v>
      </c>
      <c r="D801" s="15">
        <v>185.0</v>
      </c>
      <c r="E801" s="15">
        <v>12.0</v>
      </c>
      <c r="F801" s="16" t="str">
        <f t="array" ref="F801">"https://www.google.com/maps/search/?api=1&amp;query=" &amp; A801 &amp; "," &amp; B801</f>
        <v>https://www.google.com/maps/search/?api=1&amp;query=-30.9015133027059,-55.5371756858227</v>
      </c>
      <c r="G801" s="16" t="str">
        <f t="array" ref="G801">"https://earth.google.com/web/search/" &amp; A801 &amp; "," &amp; B801</f>
        <v>https://earth.google.com/web/search/-30.9015133027059,-55.5371756858227</v>
      </c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ht="26.25" customHeight="1">
      <c r="A802" s="17" t="s">
        <v>1608</v>
      </c>
      <c r="B802" s="18" t="s">
        <v>1609</v>
      </c>
      <c r="C802" s="14">
        <v>1.0</v>
      </c>
      <c r="D802" s="15">
        <v>185.0</v>
      </c>
      <c r="E802" s="15">
        <v>13.0</v>
      </c>
      <c r="F802" s="16" t="str">
        <f t="array" ref="F802">"https://www.google.com/maps/search/?api=1&amp;query=" &amp; A802 &amp; "," &amp; B802</f>
        <v>https://www.google.com/maps/search/?api=1&amp;query=-30.9015613942655,-55.5372097916469</v>
      </c>
      <c r="G802" s="16" t="str">
        <f t="array" ref="G802">"https://earth.google.com/web/search/" &amp; A802 &amp; "," &amp; B802</f>
        <v>https://earth.google.com/web/search/-30.9015613942655,-55.5372097916469</v>
      </c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 ht="26.25" customHeight="1">
      <c r="A803" s="17" t="s">
        <v>1610</v>
      </c>
      <c r="B803" s="18" t="s">
        <v>1611</v>
      </c>
      <c r="C803" s="14">
        <v>1.0</v>
      </c>
      <c r="D803" s="15">
        <v>185.0</v>
      </c>
      <c r="E803" s="15">
        <v>14.0</v>
      </c>
      <c r="F803" s="16" t="str">
        <f t="array" ref="F803">"https://www.google.com/maps/search/?api=1&amp;query=" &amp; A803 &amp; "," &amp; B803</f>
        <v>https://www.google.com/maps/search/?api=1&amp;query=-30.9016223934471,-5.5537262070003</v>
      </c>
      <c r="G803" s="16" t="str">
        <f t="array" ref="G803">"https://earth.google.com/web/search/" &amp; A803 &amp; "," &amp; B803</f>
        <v>https://earth.google.com/web/search/-30.9016223934471,-5.5537262070003</v>
      </c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ht="26.25" customHeight="1">
      <c r="A804" s="17" t="s">
        <v>1612</v>
      </c>
      <c r="B804" s="18" t="s">
        <v>1613</v>
      </c>
      <c r="C804" s="14">
        <v>1.0</v>
      </c>
      <c r="D804" s="15">
        <v>185.0</v>
      </c>
      <c r="E804" s="15">
        <v>15.0</v>
      </c>
      <c r="F804" s="16" t="str">
        <f t="array" ref="F804">"https://www.google.com/maps/search/?api=1&amp;query=" &amp; A804 &amp; "," &amp; B804</f>
        <v>https://www.google.com/maps/search/?api=1&amp;query=-30.9016794482238,-5.5537301026472</v>
      </c>
      <c r="G804" s="16" t="str">
        <f t="array" ref="G804">"https://earth.google.com/web/search/" &amp; A804 &amp; "," &amp; B804</f>
        <v>https://earth.google.com/web/search/-30.9016794482238,-5.5537301026472</v>
      </c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 ht="26.25" customHeight="1">
      <c r="A805" s="17" t="s">
        <v>1614</v>
      </c>
      <c r="B805" s="18" t="s">
        <v>1615</v>
      </c>
      <c r="C805" s="14">
        <v>1.0</v>
      </c>
      <c r="D805" s="15">
        <v>185.0</v>
      </c>
      <c r="E805" s="15">
        <v>16.0</v>
      </c>
      <c r="F805" s="16" t="str">
        <f t="array" ref="F805">"https://www.google.com/maps/search/?api=1&amp;query=" &amp; A805 &amp; "," &amp; B805</f>
        <v>https://www.google.com/maps/search/?api=1&amp;query=-30.9018047616059,-55.5373881838921</v>
      </c>
      <c r="G805" s="16" t="str">
        <f t="array" ref="G805">"https://earth.google.com/web/search/" &amp; A805 &amp; "," &amp; B805</f>
        <v>https://earth.google.com/web/search/-30.9018047616059,-55.5373881838921</v>
      </c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 ht="26.25" customHeight="1">
      <c r="A806" s="17" t="s">
        <v>1616</v>
      </c>
      <c r="B806" s="18" t="s">
        <v>1617</v>
      </c>
      <c r="C806" s="14">
        <v>1.0</v>
      </c>
      <c r="D806" s="15">
        <v>185.0</v>
      </c>
      <c r="E806" s="15">
        <v>17.0</v>
      </c>
      <c r="F806" s="16" t="str">
        <f t="array" ref="F806">"https://www.google.com/maps/search/?api=1&amp;query=" &amp; A806 &amp; "," &amp; B806</f>
        <v>https://www.google.com/maps/search/?api=1&amp;query=-30.9018577928966,-55.5374258032133</v>
      </c>
      <c r="G806" s="16" t="str">
        <f t="array" ref="G806">"https://earth.google.com/web/search/" &amp; A806 &amp; "," &amp; B806</f>
        <v>https://earth.google.com/web/search/-30.9018577928966,-55.5374258032133</v>
      </c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 ht="26.25" customHeight="1">
      <c r="A807" s="17" t="s">
        <v>1618</v>
      </c>
      <c r="B807" s="18" t="s">
        <v>1619</v>
      </c>
      <c r="C807" s="14">
        <v>1.0</v>
      </c>
      <c r="D807" s="15">
        <v>185.0</v>
      </c>
      <c r="E807" s="15">
        <v>18.0</v>
      </c>
      <c r="F807" s="16" t="str">
        <f t="array" ref="F807">"https://www.google.com/maps/search/?api=1&amp;query=" &amp; A807 &amp; "," &amp; B807</f>
        <v>https://www.google.com/maps/search/?api=1&amp;query=-30.9019099109738,-55.5374610686707</v>
      </c>
      <c r="G807" s="16" t="str">
        <f t="array" ref="G807">"https://earth.google.com/web/search/" &amp; A807 &amp; "," &amp; B807</f>
        <v>https://earth.google.com/web/search/-30.9019099109738,-55.5374610686707</v>
      </c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ht="26.25" customHeight="1">
      <c r="A808" s="17" t="s">
        <v>1620</v>
      </c>
      <c r="B808" s="18" t="s">
        <v>1621</v>
      </c>
      <c r="C808" s="14">
        <v>1.0</v>
      </c>
      <c r="D808" s="15">
        <v>185.0</v>
      </c>
      <c r="E808" s="15">
        <v>19.0</v>
      </c>
      <c r="F808" s="16" t="str">
        <f t="array" ref="F808">"https://www.google.com/maps/search/?api=1&amp;query=" &amp; A808 &amp; "," &amp; B808</f>
        <v>https://www.google.com/maps/search/?api=1&amp;query=-30.9020077082275,-55.5375416211463</v>
      </c>
      <c r="G808" s="16" t="str">
        <f t="array" ref="G808">"https://earth.google.com/web/search/" &amp; A808 &amp; "," &amp; B808</f>
        <v>https://earth.google.com/web/search/-30.9020077082275,-55.5375416211463</v>
      </c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ht="26.25" customHeight="1">
      <c r="A809" s="17" t="s">
        <v>1622</v>
      </c>
      <c r="B809" s="18" t="s">
        <v>1623</v>
      </c>
      <c r="C809" s="14">
        <v>1.0</v>
      </c>
      <c r="D809" s="15">
        <v>185.0</v>
      </c>
      <c r="E809" s="15">
        <v>20.0</v>
      </c>
      <c r="F809" s="16" t="str">
        <f t="array" ref="F809">"https://www.google.com/maps/search/?api=1&amp;query=" &amp; A809 &amp; "," &amp; B809</f>
        <v>https://www.google.com/maps/search/?api=1&amp;query=-30.9020892073062,-55.5375953967828</v>
      </c>
      <c r="G809" s="16" t="str">
        <f t="array" ref="G809">"https://earth.google.com/web/search/" &amp; A809 &amp; "," &amp; B809</f>
        <v>https://earth.google.com/web/search/-30.9020892073062,-55.5375953967828</v>
      </c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 ht="26.25" customHeight="1">
      <c r="A810" s="17" t="s">
        <v>1624</v>
      </c>
      <c r="B810" s="18" t="s">
        <v>1625</v>
      </c>
      <c r="C810" s="14">
        <v>1.0</v>
      </c>
      <c r="D810" s="15">
        <v>186.0</v>
      </c>
      <c r="E810" s="15">
        <v>1.0</v>
      </c>
      <c r="F810" s="16" t="str">
        <f t="array" ref="F810">"https://www.google.com/maps/search/?api=1&amp;query=" &amp; A810 &amp; "," &amp; B810</f>
        <v>https://www.google.com/maps/search/?api=1&amp;query=-30.9017074998574,-5.5538428704668</v>
      </c>
      <c r="G810" s="16" t="str">
        <f t="array" ref="G810">"https://earth.google.com/web/search/" &amp; A810 &amp; "," &amp; B810</f>
        <v>https://earth.google.com/web/search/-30.9017074998574,-5.5538428704668</v>
      </c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ht="26.25" customHeight="1">
      <c r="A811" s="17" t="s">
        <v>1626</v>
      </c>
      <c r="B811" s="18" t="s">
        <v>1627</v>
      </c>
      <c r="C811" s="14">
        <v>1.0</v>
      </c>
      <c r="D811" s="15">
        <v>186.0</v>
      </c>
      <c r="E811" s="15">
        <v>2.0</v>
      </c>
      <c r="F811" s="16" t="str">
        <f t="array" ref="F811">"https://www.google.com/maps/search/?api=1&amp;query=" &amp; A811 &amp; "," &amp; B811</f>
        <v>https://www.google.com/maps/search/?api=1&amp;query=-30.9017615569737,-55.5383344186894</v>
      </c>
      <c r="G811" s="16" t="str">
        <f t="array" ref="G811">"https://earth.google.com/web/search/" &amp; A811 &amp; "," &amp; B811</f>
        <v>https://earth.google.com/web/search/-30.9017615569737,-55.5383344186894</v>
      </c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ht="26.25" customHeight="1">
      <c r="A812" s="17" t="s">
        <v>1628</v>
      </c>
      <c r="B812" s="18" t="s">
        <v>1629</v>
      </c>
      <c r="C812" s="14">
        <v>1.0</v>
      </c>
      <c r="D812" s="15">
        <v>186.0</v>
      </c>
      <c r="E812" s="15">
        <v>3.0</v>
      </c>
      <c r="F812" s="16" t="str">
        <f t="array" ref="F812">"https://www.google.com/maps/search/?api=1&amp;query=" &amp; A812 &amp; "," &amp; B812</f>
        <v>https://www.google.com/maps/search/?api=1&amp;query=-30.9018476710668,-55.5381746722807</v>
      </c>
      <c r="G812" s="16" t="str">
        <f t="array" ref="G812">"https://earth.google.com/web/search/" &amp; A812 &amp; "," &amp; B812</f>
        <v>https://earth.google.com/web/search/-30.9018476710668,-55.5381746722807</v>
      </c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ht="26.25" customHeight="1">
      <c r="A813" s="17" t="s">
        <v>1630</v>
      </c>
      <c r="B813" s="18" t="s">
        <v>1631</v>
      </c>
      <c r="C813" s="14">
        <v>1.0</v>
      </c>
      <c r="D813" s="15">
        <v>186.0</v>
      </c>
      <c r="E813" s="15">
        <v>4.0</v>
      </c>
      <c r="F813" s="16" t="str">
        <f t="array" ref="F813">"https://www.google.com/maps/search/?api=1&amp;query=" &amp; A813 &amp; "," &amp; B813</f>
        <v>https://www.google.com/maps/search/?api=1&amp;query=-30.9019021352963,-55.5380620486078</v>
      </c>
      <c r="G813" s="16" t="str">
        <f t="array" ref="G813">"https://earth.google.com/web/search/" &amp; A813 &amp; "," &amp; B813</f>
        <v>https://earth.google.com/web/search/-30.9019021352963,-55.5380620486078</v>
      </c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ht="26.25" customHeight="1">
      <c r="A814" s="17" t="s">
        <v>1632</v>
      </c>
      <c r="B814" s="18" t="s">
        <v>1633</v>
      </c>
      <c r="C814" s="14">
        <v>1.0</v>
      </c>
      <c r="D814" s="15">
        <v>186.0</v>
      </c>
      <c r="E814" s="15">
        <v>5.0</v>
      </c>
      <c r="F814" s="16" t="str">
        <f t="array" ref="F814">"https://www.google.com/maps/search/?api=1&amp;query=" &amp; A814 &amp; "," &amp; B814</f>
        <v>https://www.google.com/maps/search/?api=1&amp;query=-30.9019588303878,-55.5379658094094</v>
      </c>
      <c r="G814" s="16" t="str">
        <f t="array" ref="G814">"https://earth.google.com/web/search/" &amp; A814 &amp; "," &amp; B814</f>
        <v>https://earth.google.com/web/search/-30.9019588303878,-55.5379658094094</v>
      </c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ht="26.25" customHeight="1">
      <c r="A815" s="17" t="s">
        <v>1634</v>
      </c>
      <c r="B815" s="18" t="s">
        <v>1635</v>
      </c>
      <c r="C815" s="14">
        <v>1.0</v>
      </c>
      <c r="D815" s="15">
        <v>186.0</v>
      </c>
      <c r="E815" s="15">
        <v>6.0</v>
      </c>
      <c r="F815" s="16" t="str">
        <f t="array" ref="F815">"https://www.google.com/maps/search/?api=1&amp;query=" &amp; A815 &amp; "," &amp; B815</f>
        <v>https://www.google.com/maps/search/?api=1&amp;query=-30.9020515487951,-55.5378004895683</v>
      </c>
      <c r="G815" s="16" t="str">
        <f t="array" ref="G815">"https://earth.google.com/web/search/" &amp; A815 &amp; "," &amp; B815</f>
        <v>https://earth.google.com/web/search/-30.9020515487951,-55.5378004895683</v>
      </c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 ht="26.25" customHeight="1">
      <c r="A816" s="17" t="s">
        <v>1636</v>
      </c>
      <c r="B816" s="18" t="s">
        <v>1637</v>
      </c>
      <c r="C816" s="14">
        <v>1.0</v>
      </c>
      <c r="D816" s="15">
        <v>186.0</v>
      </c>
      <c r="E816" s="15">
        <v>7.0</v>
      </c>
      <c r="F816" s="16" t="str">
        <f t="array" ref="F816">"https://www.google.com/maps/search/?api=1&amp;query=" &amp; A816 &amp; "," &amp; B816</f>
        <v>https://www.google.com/maps/search/?api=1&amp;query=-30.9020675828078,-55.5377185531946</v>
      </c>
      <c r="G816" s="16" t="str">
        <f t="array" ref="G816">"https://earth.google.com/web/search/" &amp; A816 &amp; "," &amp; B816</f>
        <v>https://earth.google.com/web/search/-30.9020675828078,-55.5377185531946</v>
      </c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ht="26.25" customHeight="1">
      <c r="A817" s="17" t="s">
        <v>1638</v>
      </c>
      <c r="B817" s="18" t="s">
        <v>1639</v>
      </c>
      <c r="C817" s="14">
        <v>1.0</v>
      </c>
      <c r="D817" s="15">
        <v>186.0</v>
      </c>
      <c r="E817" s="15">
        <v>8.0</v>
      </c>
      <c r="F817" s="16" t="str">
        <f t="array" ref="F817">"https://www.google.com/maps/search/?api=1&amp;query=" &amp; A817 &amp; "," &amp; B817</f>
        <v>https://www.google.com/maps/search/?api=1&amp;query=-30.9019591977997,-55.5376431714601</v>
      </c>
      <c r="G817" s="16" t="str">
        <f t="array" ref="G817">"https://earth.google.com/web/search/" &amp; A817 &amp; "," &amp; B817</f>
        <v>https://earth.google.com/web/search/-30.9019591977997,-55.5376431714601</v>
      </c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ht="26.25" customHeight="1">
      <c r="A818" s="17" t="s">
        <v>1640</v>
      </c>
      <c r="B818" s="18" t="s">
        <v>1641</v>
      </c>
      <c r="C818" s="14">
        <v>1.0</v>
      </c>
      <c r="D818" s="15">
        <v>186.0</v>
      </c>
      <c r="E818" s="15">
        <v>9.0</v>
      </c>
      <c r="F818" s="16" t="str">
        <f t="array" ref="F818">"https://www.google.com/maps/search/?api=1&amp;query=" &amp; A818 &amp; "," &amp; B818</f>
        <v>https://www.google.com/maps/search/?api=1&amp;query=-30.9016335288475,-55.5374029474778</v>
      </c>
      <c r="G818" s="16" t="str">
        <f t="array" ref="G818">"https://earth.google.com/web/search/" &amp; A818 &amp; "," &amp; B818</f>
        <v>https://earth.google.com/web/search/-30.9016335288475,-55.5374029474778</v>
      </c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ht="26.25" customHeight="1">
      <c r="A819" s="17" t="s">
        <v>1642</v>
      </c>
      <c r="B819" s="18" t="s">
        <v>1643</v>
      </c>
      <c r="C819" s="14">
        <v>1.0</v>
      </c>
      <c r="D819" s="15">
        <v>186.0</v>
      </c>
      <c r="E819" s="15">
        <v>10.0</v>
      </c>
      <c r="F819" s="16" t="str">
        <f t="array" ref="F819">"https://www.google.com/maps/search/?api=1&amp;query=" &amp; A819 &amp; "," &amp; B819</f>
        <v>https://www.google.com/maps/search/?api=1&amp;query=-3.0901532812417,-55.5373348023231</v>
      </c>
      <c r="G819" s="16" t="str">
        <f t="array" ref="G819">"https://earth.google.com/web/search/" &amp; A819 &amp; "," &amp; B819</f>
        <v>https://earth.google.com/web/search/-3.0901532812417,-55.5373348023231</v>
      </c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ht="26.25" customHeight="1">
      <c r="A820" s="17" t="s">
        <v>1644</v>
      </c>
      <c r="B820" s="18" t="s">
        <v>1645</v>
      </c>
      <c r="C820" s="14">
        <v>1.0</v>
      </c>
      <c r="D820" s="15">
        <v>186.0</v>
      </c>
      <c r="E820" s="15">
        <v>11.0</v>
      </c>
      <c r="F820" s="16" t="str">
        <f t="array" ref="F820">"https://www.google.com/maps/search/?api=1&amp;query=" &amp; A820 &amp; "," &amp; B820</f>
        <v>https://www.google.com/maps/search/?api=1&amp;query=-3.0901424908621,-55.5372489659906</v>
      </c>
      <c r="G820" s="16" t="str">
        <f t="array" ref="G820">"https://earth.google.com/web/search/" &amp; A820 &amp; "," &amp; B820</f>
        <v>https://earth.google.com/web/search/-3.0901424908621,-55.5372489659906</v>
      </c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ht="26.25" customHeight="1">
      <c r="A821" s="17" t="s">
        <v>1646</v>
      </c>
      <c r="B821" s="18" t="s">
        <v>1647</v>
      </c>
      <c r="C821" s="14">
        <v>1.0</v>
      </c>
      <c r="D821" s="15">
        <v>186.0</v>
      </c>
      <c r="E821" s="15">
        <v>12.0</v>
      </c>
      <c r="F821" s="16" t="str">
        <f t="array" ref="F821">"https://www.google.com/maps/search/?api=1&amp;query=" &amp; A821 &amp; "," &amp; B821</f>
        <v>https://www.google.com/maps/search/?api=1&amp;query=-30.9013328900568,-55.5373209630592</v>
      </c>
      <c r="G821" s="16" t="str">
        <f t="array" ref="G821">"https://earth.google.com/web/search/" &amp; A821 &amp; "," &amp; B821</f>
        <v>https://earth.google.com/web/search/-30.9013328900568,-55.5373209630592</v>
      </c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 ht="26.25" customHeight="1">
      <c r="A822" s="17" t="s">
        <v>1648</v>
      </c>
      <c r="B822" s="18" t="s">
        <v>1649</v>
      </c>
      <c r="C822" s="14">
        <v>1.0</v>
      </c>
      <c r="D822" s="15">
        <v>186.0</v>
      </c>
      <c r="E822" s="15">
        <v>13.0</v>
      </c>
      <c r="F822" s="16" t="str">
        <f t="array" ref="F822">"https://www.google.com/maps/search/?api=1&amp;query=" &amp; A822 &amp; "," &amp; B822</f>
        <v>https://www.google.com/maps/search/?api=1&amp;query=-30.9013040562886,-55.5373672095465</v>
      </c>
      <c r="G822" s="16" t="str">
        <f t="array" ref="G822">"https://earth.google.com/web/search/" &amp; A822 &amp; "," &amp; B822</f>
        <v>https://earth.google.com/web/search/-30.9013040562886,-55.5373672095465</v>
      </c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ht="26.25" customHeight="1">
      <c r="A823" s="17" t="s">
        <v>1650</v>
      </c>
      <c r="B823" s="18" t="s">
        <v>1651</v>
      </c>
      <c r="C823" s="14">
        <v>1.0</v>
      </c>
      <c r="D823" s="15">
        <v>186.0</v>
      </c>
      <c r="E823" s="15">
        <v>14.0</v>
      </c>
      <c r="F823" s="16" t="str">
        <f t="array" ref="F823">"https://www.google.com/maps/search/?api=1&amp;query=" &amp; A823 &amp; "," &amp; B823</f>
        <v>https://www.google.com/maps/search/?api=1&amp;query=-30.9012719403002,-55.5374329374221</v>
      </c>
      <c r="G823" s="16" t="str">
        <f t="array" ref="G823">"https://earth.google.com/web/search/" &amp; A823 &amp; "," &amp; B823</f>
        <v>https://earth.google.com/web/search/-30.9012719403002,-55.5374329374221</v>
      </c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ht="26.25" customHeight="1">
      <c r="A824" s="17" t="s">
        <v>1652</v>
      </c>
      <c r="B824" s="18" t="s">
        <v>1653</v>
      </c>
      <c r="C824" s="14">
        <v>1.0</v>
      </c>
      <c r="D824" s="15">
        <v>186.0</v>
      </c>
      <c r="E824" s="15">
        <v>15.0</v>
      </c>
      <c r="F824" s="16" t="str">
        <f t="array" ref="F824">"https://www.google.com/maps/search/?api=1&amp;query=" &amp; A824 &amp; "," &amp; B824</f>
        <v>https://www.google.com/maps/search/?api=1&amp;query=-0.3090104884942,-55.5378483826037</v>
      </c>
      <c r="G824" s="16" t="str">
        <f t="array" ref="G824">"https://earth.google.com/web/search/" &amp; A824 &amp; "," &amp; B824</f>
        <v>https://earth.google.com/web/search/-0.3090104884942,-55.5378483826037</v>
      </c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ht="26.25" customHeight="1">
      <c r="A825" s="17" t="s">
        <v>1654</v>
      </c>
      <c r="B825" s="18" t="s">
        <v>1655</v>
      </c>
      <c r="C825" s="14">
        <v>1.0</v>
      </c>
      <c r="D825" s="15">
        <v>186.0</v>
      </c>
      <c r="E825" s="15">
        <v>16.0</v>
      </c>
      <c r="F825" s="16" t="str">
        <f t="array" ref="F825">"https://www.google.com/maps/search/?api=1&amp;query=" &amp; A825 &amp; "," &amp; B825</f>
        <v>https://www.google.com/maps/search/?api=1&amp;query=-30.9009993290485,-55.5379139085722</v>
      </c>
      <c r="G825" s="16" t="str">
        <f t="array" ref="G825">"https://earth.google.com/web/search/" &amp; A825 &amp; "," &amp; B825</f>
        <v>https://earth.google.com/web/search/-30.9009993290485,-55.5379139085722</v>
      </c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ht="26.25" customHeight="1">
      <c r="A826" s="17" t="s">
        <v>1656</v>
      </c>
      <c r="B826" s="18" t="s">
        <v>1657</v>
      </c>
      <c r="C826" s="14">
        <v>1.0</v>
      </c>
      <c r="D826" s="15">
        <v>186.0</v>
      </c>
      <c r="E826" s="15">
        <v>17.0</v>
      </c>
      <c r="F826" s="16" t="str">
        <f t="array" ref="F826">"https://www.google.com/maps/search/?api=1&amp;query=" &amp; A826 &amp; "," &amp; B826</f>
        <v>https://www.google.com/maps/search/?api=1&amp;query=-30.9009664405982,-5.5537987787949</v>
      </c>
      <c r="G826" s="16" t="str">
        <f t="array" ref="G826">"https://earth.google.com/web/search/" &amp; A826 &amp; "," &amp; B826</f>
        <v>https://earth.google.com/web/search/-30.9009664405982,-5.5537987787949</v>
      </c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ht="26.25" customHeight="1">
      <c r="A827" s="17" t="s">
        <v>1658</v>
      </c>
      <c r="B827" s="18" t="s">
        <v>1659</v>
      </c>
      <c r="C827" s="14">
        <v>1.0</v>
      </c>
      <c r="D827" s="15">
        <v>186.0</v>
      </c>
      <c r="E827" s="15">
        <v>18.0</v>
      </c>
      <c r="F827" s="16" t="str">
        <f t="array" ref="F827">"https://www.google.com/maps/search/?api=1&amp;query=" &amp; A827 &amp; "," &amp; B827</f>
        <v>https://www.google.com/maps/search/?api=1&amp;query=-30.9010130491897,-55.5380965329706</v>
      </c>
      <c r="G827" s="16" t="str">
        <f t="array" ref="G827">"https://earth.google.com/web/search/" &amp; A827 &amp; "," &amp; B827</f>
        <v>https://earth.google.com/web/search/-30.9010130491897,-55.5380965329706</v>
      </c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ht="26.25" customHeight="1">
      <c r="A828" s="17" t="s">
        <v>1660</v>
      </c>
      <c r="B828" s="18" t="s">
        <v>1661</v>
      </c>
      <c r="C828" s="14">
        <v>1.0</v>
      </c>
      <c r="D828" s="15">
        <v>186.0</v>
      </c>
      <c r="E828" s="15">
        <v>19.0</v>
      </c>
      <c r="F828" s="16" t="str">
        <f t="array" ref="F828">"https://www.google.com/maps/search/?api=1&amp;query=" &amp; A828 &amp; "," &amp; B828</f>
        <v>https://www.google.com/maps/search/?api=1&amp;query=-30.9010803894025,-55.5381436764969</v>
      </c>
      <c r="G828" s="16" t="str">
        <f t="array" ref="G828">"https://earth.google.com/web/search/" &amp; A828 &amp; "," &amp; B828</f>
        <v>https://earth.google.com/web/search/-30.9010803894025,-55.5381436764969</v>
      </c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ht="26.25" customHeight="1">
      <c r="A829" s="17" t="s">
        <v>1662</v>
      </c>
      <c r="B829" s="18" t="s">
        <v>1663</v>
      </c>
      <c r="C829" s="14">
        <v>1.0</v>
      </c>
      <c r="D829" s="15">
        <v>186.0</v>
      </c>
      <c r="E829" s="15">
        <v>20.0</v>
      </c>
      <c r="F829" s="16" t="str">
        <f t="array" ref="F829">"https://www.google.com/maps/search/?api=1&amp;query=" &amp; A829 &amp; "," &amp; B829</f>
        <v>https://www.google.com/maps/search/?api=1&amp;query=-30.9011666582945,-55.5382042712273</v>
      </c>
      <c r="G829" s="16" t="str">
        <f t="array" ref="G829">"https://earth.google.com/web/search/" &amp; A829 &amp; "," &amp; B829</f>
        <v>https://earth.google.com/web/search/-30.9011666582945,-55.5382042712273</v>
      </c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ht="26.25" customHeight="1">
      <c r="A830" s="17" t="s">
        <v>1664</v>
      </c>
      <c r="B830" s="18" t="s">
        <v>1665</v>
      </c>
      <c r="C830" s="14">
        <v>1.0</v>
      </c>
      <c r="D830" s="15">
        <v>186.0</v>
      </c>
      <c r="E830" s="15">
        <v>21.0</v>
      </c>
      <c r="F830" s="16" t="str">
        <f t="array" ref="F830">"https://www.google.com/maps/search/?api=1&amp;query=" &amp; A830 &amp; "," &amp; B830</f>
        <v>https://www.google.com/maps/search/?api=1&amp;query=-0.3090123349069,-55.5382495359816</v>
      </c>
      <c r="G830" s="16" t="str">
        <f t="array" ref="G830">"https://earth.google.com/web/search/" &amp; A830 &amp; "," &amp; B830</f>
        <v>https://earth.google.com/web/search/-0.3090123349069,-55.5382495359816</v>
      </c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ht="26.25" customHeight="1">
      <c r="A831" s="17" t="s">
        <v>1666</v>
      </c>
      <c r="B831" s="18" t="s">
        <v>1667</v>
      </c>
      <c r="C831" s="14">
        <v>1.0</v>
      </c>
      <c r="D831" s="15">
        <v>186.0</v>
      </c>
      <c r="E831" s="15">
        <v>22.0</v>
      </c>
      <c r="F831" s="16" t="str">
        <f t="array" ref="F831">"https://www.google.com/maps/search/?api=1&amp;query=" &amp; A831 &amp; "," &amp; B831</f>
        <v>https://www.google.com/maps/search/?api=1&amp;query=-30.9015508619723,-55.5384781866218</v>
      </c>
      <c r="G831" s="16" t="str">
        <f t="array" ref="G831">"https://earth.google.com/web/search/" &amp; A831 &amp; "," &amp; B831</f>
        <v>https://earth.google.com/web/search/-30.9015508619723,-55.5384781866218</v>
      </c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 ht="26.25" customHeight="1">
      <c r="A832" s="17" t="s">
        <v>1668</v>
      </c>
      <c r="B832" s="18" t="s">
        <v>1669</v>
      </c>
      <c r="C832" s="14">
        <v>1.0</v>
      </c>
      <c r="D832" s="15">
        <v>186.0</v>
      </c>
      <c r="E832" s="15">
        <v>23.0</v>
      </c>
      <c r="F832" s="16" t="str">
        <f t="array" ref="F832">"https://www.google.com/maps/search/?api=1&amp;query=" &amp; A832 &amp; "," &amp; B832</f>
        <v>https://www.google.com/maps/search/?api=1&amp;query=-30.9015978466333,-55.5385056096479</v>
      </c>
      <c r="G832" s="16" t="str">
        <f t="array" ref="G832">"https://earth.google.com/web/search/" &amp; A832 &amp; "," &amp; B832</f>
        <v>https://earth.google.com/web/search/-30.9015978466333,-55.5385056096479</v>
      </c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ht="26.25" customHeight="1">
      <c r="A833" s="17" t="s">
        <v>1670</v>
      </c>
      <c r="B833" s="18" t="s">
        <v>1671</v>
      </c>
      <c r="C833" s="14">
        <v>1.0</v>
      </c>
      <c r="D833" s="15">
        <v>187.0</v>
      </c>
      <c r="E833" s="15">
        <v>1.0</v>
      </c>
      <c r="F833" s="16" t="str">
        <f t="array" ref="F833">"https://www.google.com/maps/search/?api=1&amp;query=" &amp; A833 &amp; "," &amp; B833</f>
        <v>https://www.google.com/maps/search/?api=1&amp;query=-30.9013060652023,-55.5392124515717</v>
      </c>
      <c r="G833" s="16" t="str">
        <f t="array" ref="G833">"https://earth.google.com/web/search/" &amp; A833 &amp; "," &amp; B833</f>
        <v>https://earth.google.com/web/search/-30.9013060652023,-55.5392124515717</v>
      </c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ht="26.25" customHeight="1">
      <c r="A834" s="17" t="s">
        <v>1672</v>
      </c>
      <c r="B834" s="18" t="s">
        <v>1673</v>
      </c>
      <c r="C834" s="14">
        <v>1.0</v>
      </c>
      <c r="D834" s="15">
        <v>187.0</v>
      </c>
      <c r="E834" s="15">
        <v>2.0</v>
      </c>
      <c r="F834" s="16" t="str">
        <f t="array" ref="F834">"https://www.google.com/maps/search/?api=1&amp;query=" &amp; A834 &amp; "," &amp; B834</f>
        <v>https://www.google.com/maps/search/?api=1&amp;query=-3.0901351607812,-55.5391656980794</v>
      </c>
      <c r="G834" s="16" t="str">
        <f t="array" ref="G834">"https://earth.google.com/web/search/" &amp; A834 &amp; "," &amp; B834</f>
        <v>https://earth.google.com/web/search/-3.0901351607812,-55.5391656980794</v>
      </c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ht="26.25" customHeight="1">
      <c r="A835" s="17" t="s">
        <v>1674</v>
      </c>
      <c r="B835" s="18" t="s">
        <v>1675</v>
      </c>
      <c r="C835" s="14">
        <v>1.0</v>
      </c>
      <c r="D835" s="15">
        <v>187.0</v>
      </c>
      <c r="E835" s="15">
        <v>3.0</v>
      </c>
      <c r="F835" s="16" t="str">
        <f t="array" ref="F835">"https://www.google.com/maps/search/?api=1&amp;query=" &amp; A835 &amp; "," &amp; B835</f>
        <v>https://www.google.com/maps/search/?api=1&amp;query=-30.9014291633602,-55.5389750789521</v>
      </c>
      <c r="G835" s="16" t="str">
        <f t="array" ref="G835">"https://earth.google.com/web/search/" &amp; A835 &amp; "," &amp; B835</f>
        <v>https://earth.google.com/web/search/-30.9014291633602,-55.5389750789521</v>
      </c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ht="26.25" customHeight="1">
      <c r="A836" s="17" t="s">
        <v>1676</v>
      </c>
      <c r="B836" s="18" t="s">
        <v>1677</v>
      </c>
      <c r="C836" s="14">
        <v>1.0</v>
      </c>
      <c r="D836" s="15">
        <v>187.0</v>
      </c>
      <c r="E836" s="15">
        <v>4.0</v>
      </c>
      <c r="F836" s="16" t="str">
        <f t="array" ref="F836">"https://www.google.com/maps/search/?api=1&amp;query=" &amp; A836 &amp; "," &amp; B836</f>
        <v>https://www.google.com/maps/search/?api=1&amp;query=-30.9015101556958,-55.5388420254968</v>
      </c>
      <c r="G836" s="16" t="str">
        <f t="array" ref="G836">"https://earth.google.com/web/search/" &amp; A836 &amp; "," &amp; B836</f>
        <v>https://earth.google.com/web/search/-30.9015101556958,-55.5388420254968</v>
      </c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ht="26.25" customHeight="1">
      <c r="A837" s="17" t="s">
        <v>1678</v>
      </c>
      <c r="B837" s="18" t="s">
        <v>1679</v>
      </c>
      <c r="C837" s="14">
        <v>1.0</v>
      </c>
      <c r="D837" s="15">
        <v>187.0</v>
      </c>
      <c r="E837" s="15">
        <v>5.0</v>
      </c>
      <c r="F837" s="16" t="str">
        <f t="array" ref="F837">"https://www.google.com/maps/search/?api=1&amp;query=" &amp; A837 &amp; "," &amp; B837</f>
        <v>https://www.google.com/maps/search/?api=1&amp;query=-30.9013813802759,-55.5384718576937</v>
      </c>
      <c r="G837" s="16" t="str">
        <f t="array" ref="G837">"https://earth.google.com/web/search/" &amp; A837 &amp; "," &amp; B837</f>
        <v>https://earth.google.com/web/search/-30.9013813802759,-55.5384718576937</v>
      </c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ht="26.25" customHeight="1">
      <c r="A838" s="17" t="s">
        <v>1680</v>
      </c>
      <c r="B838" s="18" t="s">
        <v>1681</v>
      </c>
      <c r="C838" s="14">
        <v>1.0</v>
      </c>
      <c r="D838" s="15">
        <v>187.0</v>
      </c>
      <c r="E838" s="15">
        <v>6.0</v>
      </c>
      <c r="F838" s="16" t="str">
        <f t="array" ref="F838">"https://www.google.com/maps/search/?api=1&amp;query=" &amp; A838 &amp; "," &amp; B838</f>
        <v>https://www.google.com/maps/search/?api=1&amp;query=-30.9012780204064,-55.5383856667004</v>
      </c>
      <c r="G838" s="16" t="str">
        <f t="array" ref="G838">"https://earth.google.com/web/search/" &amp; A838 &amp; "," &amp; B838</f>
        <v>https://earth.google.com/web/search/-30.9012780204064,-55.5383856667004</v>
      </c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ht="26.25" customHeight="1">
      <c r="A839" s="17" t="s">
        <v>1682</v>
      </c>
      <c r="B839" s="18" t="s">
        <v>1683</v>
      </c>
      <c r="C839" s="14">
        <v>1.0</v>
      </c>
      <c r="D839" s="15">
        <v>187.0</v>
      </c>
      <c r="E839" s="15">
        <v>7.0</v>
      </c>
      <c r="F839" s="16" t="str">
        <f t="array" ref="F839">"https://www.google.com/maps/search/?api=1&amp;query=" &amp; A839 &amp; "," &amp; B839</f>
        <v>https://www.google.com/maps/search/?api=1&amp;query=-30.9010577710448,-55.5382399683222</v>
      </c>
      <c r="G839" s="16" t="str">
        <f t="array" ref="G839">"https://earth.google.com/web/search/" &amp; A839 &amp; "," &amp; B839</f>
        <v>https://earth.google.com/web/search/-30.9010577710448,-55.5382399683222</v>
      </c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ht="26.25" customHeight="1">
      <c r="A840" s="17" t="s">
        <v>1684</v>
      </c>
      <c r="B840" s="18" t="s">
        <v>1685</v>
      </c>
      <c r="C840" s="14">
        <v>1.0</v>
      </c>
      <c r="D840" s="15">
        <v>187.0</v>
      </c>
      <c r="E840" s="15">
        <v>8.0</v>
      </c>
      <c r="F840" s="16" t="str">
        <f t="array" ref="F840">"https://www.google.com/maps/search/?api=1&amp;query=" &amp; A840 &amp; "," &amp; B840</f>
        <v>https://www.google.com/maps/search/?api=1&amp;query=-30.9010088252327,-55.5381937862968</v>
      </c>
      <c r="G840" s="16" t="str">
        <f t="array" ref="G840">"https://earth.google.com/web/search/" &amp; A840 &amp; "," &amp; B840</f>
        <v>https://earth.google.com/web/search/-30.9010088252327,-55.5381937862968</v>
      </c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ht="26.25" customHeight="1">
      <c r="A841" s="17" t="s">
        <v>1686</v>
      </c>
      <c r="B841" s="18" t="s">
        <v>1687</v>
      </c>
      <c r="C841" s="14">
        <v>1.0</v>
      </c>
      <c r="D841" s="15">
        <v>187.0</v>
      </c>
      <c r="E841" s="15">
        <v>9.0</v>
      </c>
      <c r="F841" s="16" t="str">
        <f t="array" ref="F841">"https://www.google.com/maps/search/?api=1&amp;query=" &amp; A841 &amp; "," &amp; B841</f>
        <v>https://www.google.com/maps/search/?api=1&amp;query=-3.0900823542087,-55.5382562306067</v>
      </c>
      <c r="G841" s="16" t="str">
        <f t="array" ref="G841">"https://earth.google.com/web/search/" &amp; A841 &amp; "," &amp; B841</f>
        <v>https://earth.google.com/web/search/-3.0900823542087,-55.5382562306067</v>
      </c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ht="26.25" customHeight="1">
      <c r="A842" s="17" t="s">
        <v>1688</v>
      </c>
      <c r="B842" s="18" t="s">
        <v>1689</v>
      </c>
      <c r="C842" s="14">
        <v>1.0</v>
      </c>
      <c r="D842" s="15">
        <v>187.0</v>
      </c>
      <c r="E842" s="15">
        <v>10.0</v>
      </c>
      <c r="F842" s="16" t="str">
        <f t="array" ref="F842">"https://www.google.com/maps/search/?api=1&amp;query=" &amp; A842 &amp; "," &amp; B842</f>
        <v>https://www.google.com/maps/search/?api=1&amp;query=-30.9007527939941,-55.5383932477125</v>
      </c>
      <c r="G842" s="16" t="str">
        <f t="array" ref="G842">"https://earth.google.com/web/search/" &amp; A842 &amp; "," &amp; B842</f>
        <v>https://earth.google.com/web/search/-30.9007527939941,-55.5383932477125</v>
      </c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ht="26.25" customHeight="1">
      <c r="A843" s="17" t="s">
        <v>1690</v>
      </c>
      <c r="B843" s="18" t="s">
        <v>1691</v>
      </c>
      <c r="C843" s="14">
        <v>1.0</v>
      </c>
      <c r="D843" s="15">
        <v>187.0</v>
      </c>
      <c r="E843" s="15">
        <v>11.0</v>
      </c>
      <c r="F843" s="16" t="str">
        <f t="array" ref="F843">"https://www.google.com/maps/search/?api=1&amp;query=" &amp; A843 &amp; "," &amp; B843</f>
        <v>https://www.google.com/maps/search/?api=1&amp;query=-30.9007025863489,-55.5384878294332</v>
      </c>
      <c r="G843" s="16" t="str">
        <f t="array" ref="G843">"https://earth.google.com/web/search/" &amp; A843 &amp; "," &amp; B843</f>
        <v>https://earth.google.com/web/search/-30.9007025863489,-55.5384878294332</v>
      </c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ht="26.25" customHeight="1">
      <c r="A844" s="17" t="s">
        <v>1692</v>
      </c>
      <c r="B844" s="18" t="s">
        <v>1693</v>
      </c>
      <c r="C844" s="14">
        <v>1.0</v>
      </c>
      <c r="D844" s="15">
        <v>187.0</v>
      </c>
      <c r="E844" s="15">
        <v>12.0</v>
      </c>
      <c r="F844" s="16" t="str">
        <f t="array" ref="F844">"https://www.google.com/maps/search/?api=1&amp;query=" &amp; A844 &amp; "," &amp; B844</f>
        <v>https://www.google.com/maps/search/?api=1&amp;query=-3.0900652950682,-55.5386032432771</v>
      </c>
      <c r="G844" s="16" t="str">
        <f t="array" ref="G844">"https://earth.google.com/web/search/" &amp; A844 &amp; "," &amp; B844</f>
        <v>https://earth.google.com/web/search/-3.0900652950682,-55.5386032432771</v>
      </c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ht="26.25" customHeight="1">
      <c r="A845" s="17" t="s">
        <v>1694</v>
      </c>
      <c r="B845" s="18" t="s">
        <v>1695</v>
      </c>
      <c r="C845" s="14">
        <v>1.0</v>
      </c>
      <c r="D845" s="15">
        <v>187.0</v>
      </c>
      <c r="E845" s="15">
        <v>13.0</v>
      </c>
      <c r="F845" s="16" t="str">
        <f t="array" ref="F845">"https://www.google.com/maps/search/?api=1&amp;query=" &amp; A845 &amp; "," &amp; B845</f>
        <v>https://www.google.com/maps/search/?api=1&amp;query=-30.9005280634462,-55.5388339057183</v>
      </c>
      <c r="G845" s="16" t="str">
        <f t="array" ref="G845">"https://earth.google.com/web/search/" &amp; A845 &amp; "," &amp; B845</f>
        <v>https://earth.google.com/web/search/-30.9005280634462,-55.5388339057183</v>
      </c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 ht="26.25" customHeight="1">
      <c r="A846" s="17" t="s">
        <v>1696</v>
      </c>
      <c r="B846" s="18" t="s">
        <v>1697</v>
      </c>
      <c r="C846" s="14">
        <v>1.0</v>
      </c>
      <c r="D846" s="15">
        <v>187.0</v>
      </c>
      <c r="E846" s="15">
        <v>14.0</v>
      </c>
      <c r="F846" s="16" t="str">
        <f t="array" ref="F846">"https://www.google.com/maps/search/?api=1&amp;query=" &amp; A846 &amp; "," &amp; B846</f>
        <v>https://www.google.com/maps/search/?api=1&amp;query=-30.9005945428607,-55.5390433076613</v>
      </c>
      <c r="G846" s="16" t="str">
        <f t="array" ref="G846">"https://earth.google.com/web/search/" &amp; A846 &amp; "," &amp; B846</f>
        <v>https://earth.google.com/web/search/-30.9005945428607,-55.5390433076613</v>
      </c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 ht="26.25" customHeight="1">
      <c r="A847" s="17" t="s">
        <v>1698</v>
      </c>
      <c r="B847" s="18" t="s">
        <v>1699</v>
      </c>
      <c r="C847" s="14">
        <v>1.0</v>
      </c>
      <c r="D847" s="15">
        <v>187.0</v>
      </c>
      <c r="E847" s="15">
        <v>15.0</v>
      </c>
      <c r="F847" s="16" t="str">
        <f t="array" ref="F847">"https://www.google.com/maps/search/?api=1&amp;query=" &amp; A847 &amp; "," &amp; B847</f>
        <v>https://www.google.com/maps/search/?api=1&amp;query=-30.9006869812603,-55.5391134892403</v>
      </c>
      <c r="G847" s="16" t="str">
        <f t="array" ref="G847">"https://earth.google.com/web/search/" &amp; A847 &amp; "," &amp; B847</f>
        <v>https://earth.google.com/web/search/-30.9006869812603,-55.5391134892403</v>
      </c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 ht="26.25" customHeight="1">
      <c r="A848" s="17" t="s">
        <v>1700</v>
      </c>
      <c r="B848" s="18" t="s">
        <v>1701</v>
      </c>
      <c r="C848" s="14">
        <v>1.0</v>
      </c>
      <c r="D848" s="15">
        <v>187.0</v>
      </c>
      <c r="E848" s="15">
        <v>16.0</v>
      </c>
      <c r="F848" s="16" t="str">
        <f t="array" ref="F848">"https://www.google.com/maps/search/?api=1&amp;query=" &amp; A848 &amp; "," &amp; B848</f>
        <v>https://www.google.com/maps/search/?api=1&amp;query=-30.9007510740951,-5.5539152038327</v>
      </c>
      <c r="G848" s="16" t="str">
        <f t="array" ref="G848">"https://earth.google.com/web/search/" &amp; A848 &amp; "," &amp; B848</f>
        <v>https://earth.google.com/web/search/-30.9007510740951,-5.5539152038327</v>
      </c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ht="26.25" customHeight="1">
      <c r="A849" s="17" t="s">
        <v>1702</v>
      </c>
      <c r="B849" s="18" t="s">
        <v>1703</v>
      </c>
      <c r="C849" s="14">
        <v>1.0</v>
      </c>
      <c r="D849" s="15">
        <v>187.0</v>
      </c>
      <c r="E849" s="15">
        <v>17.0</v>
      </c>
      <c r="F849" s="16" t="str">
        <f t="array" ref="F849">"https://www.google.com/maps/search/?api=1&amp;query=" &amp; A849 &amp; "," &amp; B849</f>
        <v>https://www.google.com/maps/search/?api=1&amp;query=-30.9008639796082,-55.5392353574245</v>
      </c>
      <c r="G849" s="16" t="str">
        <f t="array" ref="G849">"https://earth.google.com/web/search/" &amp; A849 &amp; "," &amp; B849</f>
        <v>https://earth.google.com/web/search/-30.9008639796082,-55.5392353574245</v>
      </c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 ht="26.25" customHeight="1">
      <c r="A850" s="17" t="s">
        <v>1704</v>
      </c>
      <c r="B850" s="18" t="s">
        <v>1705</v>
      </c>
      <c r="C850" s="14">
        <v>1.0</v>
      </c>
      <c r="D850" s="15">
        <v>187.0</v>
      </c>
      <c r="E850" s="15">
        <v>18.0</v>
      </c>
      <c r="F850" s="16" t="str">
        <f t="array" ref="F850">"https://www.google.com/maps/search/?api=1&amp;query=" &amp; A850 &amp; "," &amp; B850</f>
        <v>https://www.google.com/maps/search/?api=1&amp;query=-30.9010309183245,-55.5393382263867</v>
      </c>
      <c r="G850" s="16" t="str">
        <f t="array" ref="G850">"https://earth.google.com/web/search/" &amp; A850 &amp; "," &amp; B850</f>
        <v>https://earth.google.com/web/search/-30.9010309183245,-55.5393382263867</v>
      </c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ht="26.25" customHeight="1">
      <c r="A851" s="17" t="s">
        <v>1706</v>
      </c>
      <c r="B851" s="18" t="s">
        <v>1707</v>
      </c>
      <c r="C851" s="14">
        <v>1.0</v>
      </c>
      <c r="D851" s="15">
        <v>187.0</v>
      </c>
      <c r="E851" s="15">
        <v>19.0</v>
      </c>
      <c r="F851" s="16" t="str">
        <f t="array" ref="F851">"https://www.google.com/maps/search/?api=1&amp;query=" &amp; A851 &amp; "," &amp; B851</f>
        <v>https://www.google.com/maps/search/?api=1&amp;query=-30.9011024331981,-55.5393901891775</v>
      </c>
      <c r="G851" s="16" t="str">
        <f t="array" ref="G851">"https://earth.google.com/web/search/" &amp; A851 &amp; "," &amp; B851</f>
        <v>https://earth.google.com/web/search/-30.9011024331981,-55.5393901891775</v>
      </c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ht="26.25" customHeight="1">
      <c r="A852" s="17" t="s">
        <v>1708</v>
      </c>
      <c r="B852" s="18" t="s">
        <v>1709</v>
      </c>
      <c r="C852" s="14">
        <v>1.0</v>
      </c>
      <c r="D852" s="15">
        <v>188.0</v>
      </c>
      <c r="E852" s="15">
        <v>1.0</v>
      </c>
      <c r="F852" s="16" t="str">
        <f t="array" ref="F852">"https://www.google.com/maps/search/?api=1&amp;query=" &amp; A852 &amp; "," &amp; B852</f>
        <v>https://www.google.com/maps/search/?api=1&amp;query=-30.9007368838627,-5.5540283321444</v>
      </c>
      <c r="G852" s="16" t="str">
        <f t="array" ref="G852">"https://earth.google.com/web/search/" &amp; A852 &amp; "," &amp; B852</f>
        <v>https://earth.google.com/web/search/-30.9007368838627,-5.5540283321444</v>
      </c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ht="26.25" customHeight="1">
      <c r="A853" s="17" t="s">
        <v>1710</v>
      </c>
      <c r="B853" s="18" t="s">
        <v>1711</v>
      </c>
      <c r="C853" s="14">
        <v>1.0</v>
      </c>
      <c r="D853" s="15">
        <v>188.0</v>
      </c>
      <c r="E853" s="15">
        <v>2.0</v>
      </c>
      <c r="F853" s="16" t="str">
        <f t="array" ref="F853">"https://www.google.com/maps/search/?api=1&amp;query=" &amp; A853 &amp; "," &amp; B853</f>
        <v>https://www.google.com/maps/search/?api=1&amp;query=-30.9010752242575,-55.5396605405385</v>
      </c>
      <c r="G853" s="16" t="str">
        <f t="array" ref="G853">"https://earth.google.com/web/search/" &amp; A853 &amp; "," &amp; B853</f>
        <v>https://earth.google.com/web/search/-30.9010752242575,-55.5396605405385</v>
      </c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ht="26.25" customHeight="1">
      <c r="A854" s="17" t="s">
        <v>1712</v>
      </c>
      <c r="B854" s="18" t="s">
        <v>1713</v>
      </c>
      <c r="C854" s="14">
        <v>1.0</v>
      </c>
      <c r="D854" s="15">
        <v>188.0</v>
      </c>
      <c r="E854" s="15">
        <v>3.0</v>
      </c>
      <c r="F854" s="16" t="str">
        <f t="array" ref="F854">"https://www.google.com/maps/search/?api=1&amp;query=" &amp; A854 &amp; "," &amp; B854</f>
        <v>https://www.google.com/maps/search/?api=1&amp;query=-30.9010834895092,-55.5394839716835</v>
      </c>
      <c r="G854" s="16" t="str">
        <f t="array" ref="G854">"https://earth.google.com/web/search/" &amp; A854 &amp; "," &amp; B854</f>
        <v>https://earth.google.com/web/search/-30.9010834895092,-55.5394839716835</v>
      </c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ht="26.25" customHeight="1">
      <c r="A855" s="17" t="s">
        <v>1714</v>
      </c>
      <c r="B855" s="18" t="s">
        <v>1715</v>
      </c>
      <c r="C855" s="14">
        <v>1.0</v>
      </c>
      <c r="D855" s="15">
        <v>188.0</v>
      </c>
      <c r="E855" s="15">
        <v>4.0</v>
      </c>
      <c r="F855" s="16" t="str">
        <f t="array" ref="F855">"https://www.google.com/maps/search/?api=1&amp;query=" &amp; A855 &amp; "," &amp; B855</f>
        <v>https://www.google.com/maps/search/?api=1&amp;query=-3.0900826942565,-55.5393056862897</v>
      </c>
      <c r="G855" s="16" t="str">
        <f t="array" ref="G855">"https://earth.google.com/web/search/" &amp; A855 &amp; "," &amp; B855</f>
        <v>https://earth.google.com/web/search/-3.0900826942565,-55.5393056862897</v>
      </c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ht="26.25" customHeight="1">
      <c r="A856" s="17" t="s">
        <v>1716</v>
      </c>
      <c r="B856" s="18" t="s">
        <v>1717</v>
      </c>
      <c r="C856" s="14">
        <v>1.0</v>
      </c>
      <c r="D856" s="15">
        <v>188.0</v>
      </c>
      <c r="E856" s="15">
        <v>5.0</v>
      </c>
      <c r="F856" s="16" t="str">
        <f t="array" ref="F856">"https://www.google.com/maps/search/?api=1&amp;query=" &amp; A856 &amp; "," &amp; B856</f>
        <v>https://www.google.com/maps/search/?api=1&amp;query=-30.9005686806024,-55.5391604587614</v>
      </c>
      <c r="G856" s="16" t="str">
        <f t="array" ref="G856">"https://earth.google.com/web/search/" &amp; A856 &amp; "," &amp; B856</f>
        <v>https://earth.google.com/web/search/-30.9005686806024,-55.5391604587614</v>
      </c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ht="26.25" customHeight="1">
      <c r="A857" s="17" t="s">
        <v>1718</v>
      </c>
      <c r="B857" s="18" t="s">
        <v>1719</v>
      </c>
      <c r="C857" s="14">
        <v>1.0</v>
      </c>
      <c r="D857" s="15">
        <v>188.0</v>
      </c>
      <c r="E857" s="15">
        <v>6.0</v>
      </c>
      <c r="F857" s="16" t="str">
        <f t="array" ref="F857">"https://www.google.com/maps/search/?api=1&amp;query=" &amp; A857 &amp; "," &amp; B857</f>
        <v>https://www.google.com/maps/search/?api=1&amp;query=-3.0900492270274,-55.5391001719088</v>
      </c>
      <c r="G857" s="16" t="str">
        <f t="array" ref="G857">"https://earth.google.com/web/search/" &amp; A857 &amp; "," &amp; B857</f>
        <v>https://earth.google.com/web/search/-3.0900492270274,-55.5391001719088</v>
      </c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ht="26.25" customHeight="1">
      <c r="A858" s="17" t="s">
        <v>1720</v>
      </c>
      <c r="B858" s="18" t="s">
        <v>1721</v>
      </c>
      <c r="C858" s="14">
        <v>1.0</v>
      </c>
      <c r="D858" s="15">
        <v>188.0</v>
      </c>
      <c r="E858" s="15">
        <v>7.0</v>
      </c>
      <c r="F858" s="16" t="str">
        <f t="array" ref="F858">"https://www.google.com/maps/search/?api=1&amp;query=" &amp; A858 &amp; "," &amp; B858</f>
        <v>https://www.google.com/maps/search/?api=1&amp;query=-30.9002987195356,-55.5392796543089</v>
      </c>
      <c r="G858" s="16" t="str">
        <f t="array" ref="G858">"https://earth.google.com/web/search/" &amp; A858 &amp; "," &amp; B858</f>
        <v>https://earth.google.com/web/search/-30.9002987195356,-55.5392796543089</v>
      </c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ht="26.25" customHeight="1">
      <c r="A859" s="17" t="s">
        <v>1722</v>
      </c>
      <c r="B859" s="18" t="s">
        <v>1723</v>
      </c>
      <c r="C859" s="14">
        <v>1.0</v>
      </c>
      <c r="D859" s="15">
        <v>188.0</v>
      </c>
      <c r="E859" s="15">
        <v>8.0</v>
      </c>
      <c r="F859" s="16" t="str">
        <f t="array" ref="F859">"https://www.google.com/maps/search/?api=1&amp;query=" &amp; A859 &amp; "," &amp; B859</f>
        <v>https://www.google.com/maps/search/?api=1&amp;query=-30.9002183486138,-55.5394344424728</v>
      </c>
      <c r="G859" s="16" t="str">
        <f t="array" ref="G859">"https://earth.google.com/web/search/" &amp; A859 &amp; "," &amp; B859</f>
        <v>https://earth.google.com/web/search/-30.9002183486138,-55.5394344424728</v>
      </c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ht="26.25" customHeight="1">
      <c r="A860" s="17" t="s">
        <v>1724</v>
      </c>
      <c r="B860" s="18" t="s">
        <v>1725</v>
      </c>
      <c r="C860" s="14">
        <v>1.0</v>
      </c>
      <c r="D860" s="15">
        <v>188.0</v>
      </c>
      <c r="E860" s="15">
        <v>9.0</v>
      </c>
      <c r="F860" s="16" t="str">
        <f t="array" ref="F860">"https://www.google.com/maps/search/?api=1&amp;query=" &amp; A860 &amp; "," &amp; B860</f>
        <v>https://www.google.com/maps/search/?api=1&amp;query=-30.9001596521565,-55.5395454752952</v>
      </c>
      <c r="G860" s="16" t="str">
        <f t="array" ref="G860">"https://earth.google.com/web/search/" &amp; A860 &amp; "," &amp; B860</f>
        <v>https://earth.google.com/web/search/-30.9001596521565,-55.5395454752952</v>
      </c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ht="26.25" customHeight="1">
      <c r="A861" s="17" t="s">
        <v>1726</v>
      </c>
      <c r="B861" s="18" t="s">
        <v>1727</v>
      </c>
      <c r="C861" s="14">
        <v>1.0</v>
      </c>
      <c r="D861" s="15">
        <v>188.0</v>
      </c>
      <c r="E861" s="15">
        <v>10.0</v>
      </c>
      <c r="F861" s="16" t="str">
        <f t="array" ref="F861">"https://www.google.com/maps/search/?api=1&amp;query=" &amp; A861 &amp; "," &amp; B861</f>
        <v>https://www.google.com/maps/search/?api=1&amp;query=-30.9001301311004,-55.5396113824194</v>
      </c>
      <c r="G861" s="16" t="str">
        <f t="array" ref="G861">"https://earth.google.com/web/search/" &amp; A861 &amp; "," &amp; B861</f>
        <v>https://earth.google.com/web/search/-30.9001301311004,-55.5396113824194</v>
      </c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ht="26.25" customHeight="1">
      <c r="A862" s="17" t="s">
        <v>1728</v>
      </c>
      <c r="B862" s="18" t="s">
        <v>1729</v>
      </c>
      <c r="C862" s="14">
        <v>1.0</v>
      </c>
      <c r="D862" s="15">
        <v>188.0</v>
      </c>
      <c r="E862" s="15">
        <v>11.0</v>
      </c>
      <c r="F862" s="16" t="str">
        <f t="array" ref="F862">"https://www.google.com/maps/search/?api=1&amp;query=" &amp; A862 &amp; "," &amp; B862</f>
        <v>https://www.google.com/maps/search/?api=1&amp;query=-30.9000890698024,-55.5396774596172</v>
      </c>
      <c r="G862" s="16" t="str">
        <f t="array" ref="G862">"https://earth.google.com/web/search/" &amp; A862 &amp; "," &amp; B862</f>
        <v>https://earth.google.com/web/search/-30.9000890698024,-55.5396774596172</v>
      </c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ht="26.25" customHeight="1">
      <c r="A863" s="17" t="s">
        <v>1730</v>
      </c>
      <c r="B863" s="18" t="s">
        <v>1731</v>
      </c>
      <c r="C863" s="14">
        <v>1.0</v>
      </c>
      <c r="D863" s="15">
        <v>188.0</v>
      </c>
      <c r="E863" s="15">
        <v>12.0</v>
      </c>
      <c r="F863" s="16" t="str">
        <f t="array" ref="F863">"https://www.google.com/maps/search/?api=1&amp;query=" &amp; A863 &amp; "," &amp; B863</f>
        <v>https://www.google.com/maps/search/?api=1&amp;query=-30.9000611437303,-55.5397473938854</v>
      </c>
      <c r="G863" s="16" t="str">
        <f t="array" ref="G863">"https://earth.google.com/web/search/" &amp; A863 &amp; "," &amp; B863</f>
        <v>https://earth.google.com/web/search/-30.9000611437303,-55.5397473938854</v>
      </c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ht="26.25" customHeight="1">
      <c r="A864" s="17" t="s">
        <v>1732</v>
      </c>
      <c r="B864" s="18" t="s">
        <v>1733</v>
      </c>
      <c r="C864" s="14">
        <v>1.0</v>
      </c>
      <c r="D864" s="15">
        <v>188.0</v>
      </c>
      <c r="E864" s="15">
        <v>13.0</v>
      </c>
      <c r="F864" s="16" t="str">
        <f t="array" ref="F864">"https://www.google.com/maps/search/?api=1&amp;query=" &amp; A864 &amp; "," &amp; B864</f>
        <v>https://www.google.com/maps/search/?api=1&amp;query=-30.9000246713337,-55.5398050847498</v>
      </c>
      <c r="G864" s="16" t="str">
        <f t="array" ref="G864">"https://earth.google.com/web/search/" &amp; A864 &amp; "," &amp; B864</f>
        <v>https://earth.google.com/web/search/-30.9000246713337,-55.5398050847498</v>
      </c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ht="26.25" customHeight="1">
      <c r="A865" s="17" t="s">
        <v>1734</v>
      </c>
      <c r="B865" s="18" t="s">
        <v>1735</v>
      </c>
      <c r="C865" s="14">
        <v>1.0</v>
      </c>
      <c r="D865" s="15">
        <v>188.0</v>
      </c>
      <c r="E865" s="15">
        <v>14.0</v>
      </c>
      <c r="F865" s="16" t="str">
        <f t="array" ref="F865">"https://www.google.com/maps/search/?api=1&amp;query=" &amp; A865 &amp; "," &amp; B865</f>
        <v>https://www.google.com/maps/search/?api=1&amp;query=-30.9000760255131,-55.5399532531723</v>
      </c>
      <c r="G865" s="16" t="str">
        <f t="array" ref="G865">"https://earth.google.com/web/search/" &amp; A865 &amp; "," &amp; B865</f>
        <v>https://earth.google.com/web/search/-30.9000760255131,-55.5399532531723</v>
      </c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ht="26.25" customHeight="1">
      <c r="A866" s="17" t="s">
        <v>1736</v>
      </c>
      <c r="B866" s="18" t="s">
        <v>1737</v>
      </c>
      <c r="C866" s="14">
        <v>1.0</v>
      </c>
      <c r="D866" s="15">
        <v>188.0</v>
      </c>
      <c r="E866" s="15">
        <v>15.0</v>
      </c>
      <c r="F866" s="16" t="str">
        <f t="array" ref="F866">"https://www.google.com/maps/search/?api=1&amp;query=" &amp; A866 &amp; "," &amp; B866</f>
        <v>https://www.google.com/maps/search/?api=1&amp;query=-30.9001529067848,-55.5399943347356</v>
      </c>
      <c r="G866" s="16" t="str">
        <f t="array" ref="G866">"https://earth.google.com/web/search/" &amp; A866 &amp; "," &amp; B866</f>
        <v>https://earth.google.com/web/search/-30.9001529067848,-55.5399943347356</v>
      </c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ht="26.25" customHeight="1">
      <c r="A867" s="17" t="s">
        <v>1738</v>
      </c>
      <c r="B867" s="18" t="s">
        <v>1739</v>
      </c>
      <c r="C867" s="14">
        <v>1.0</v>
      </c>
      <c r="D867" s="15">
        <v>188.0</v>
      </c>
      <c r="E867" s="15">
        <v>16.0</v>
      </c>
      <c r="F867" s="16" t="str">
        <f t="array" ref="F867">"https://www.google.com/maps/search/?api=1&amp;query=" &amp; A867 &amp; "," &amp; B867</f>
        <v>https://www.google.com/maps/search/?api=1&amp;query=-3.0900215802662,-55.5400421916428</v>
      </c>
      <c r="G867" s="16" t="str">
        <f t="array" ref="G867">"https://earth.google.com/web/search/" &amp; A867 &amp; "," &amp; B867</f>
        <v>https://earth.google.com/web/search/-3.0900215802662,-55.5400421916428</v>
      </c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 ht="26.25" customHeight="1">
      <c r="A868" s="17" t="s">
        <v>1740</v>
      </c>
      <c r="B868" s="18" t="s">
        <v>1741</v>
      </c>
      <c r="C868" s="14">
        <v>1.0</v>
      </c>
      <c r="D868" s="15">
        <v>188.0</v>
      </c>
      <c r="E868" s="15">
        <v>17.0</v>
      </c>
      <c r="F868" s="16" t="str">
        <f t="array" ref="F868">"https://www.google.com/maps/search/?api=1&amp;query=" &amp; A868 &amp; "," &amp; B868</f>
        <v>https://www.google.com/maps/search/?api=1&amp;query=-30.9002870857884,-55.5400885137726</v>
      </c>
      <c r="G868" s="16" t="str">
        <f t="array" ref="G868">"https://earth.google.com/web/search/" &amp; A868 &amp; "," &amp; B868</f>
        <v>https://earth.google.com/web/search/-30.9002870857884,-55.5400885137726</v>
      </c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ht="26.25" customHeight="1">
      <c r="A869" s="17" t="s">
        <v>1742</v>
      </c>
      <c r="B869" s="18" t="s">
        <v>1743</v>
      </c>
      <c r="C869" s="14">
        <v>1.0</v>
      </c>
      <c r="D869" s="15">
        <v>188.0</v>
      </c>
      <c r="E869" s="15">
        <v>18.0</v>
      </c>
      <c r="F869" s="16" t="str">
        <f t="array" ref="F869">"https://www.google.com/maps/search/?api=1&amp;query=" &amp; A869 &amp; "," &amp; B869</f>
        <v>https://www.google.com/maps/search/?api=1&amp;query=-30.9003578483828,-55.5401358863141</v>
      </c>
      <c r="G869" s="16" t="str">
        <f t="array" ref="G869">"https://earth.google.com/web/search/" &amp; A869 &amp; "," &amp; B869</f>
        <v>https://earth.google.com/web/search/-30.9003578483828,-55.5401358863141</v>
      </c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ht="26.25" customHeight="1">
      <c r="A870" s="17" t="s">
        <v>1744</v>
      </c>
      <c r="B870" s="18" t="s">
        <v>1745</v>
      </c>
      <c r="C870" s="14">
        <v>1.0</v>
      </c>
      <c r="D870" s="15">
        <v>188.0</v>
      </c>
      <c r="E870" s="15">
        <v>19.0</v>
      </c>
      <c r="F870" s="16" t="str">
        <f t="array" ref="F870">"https://www.google.com/maps/search/?api=1&amp;query=" &amp; A870 &amp; "," &amp; B870</f>
        <v>https://www.google.com/maps/search/?api=1&amp;query=-30.9005262739409,-55.5402373646918</v>
      </c>
      <c r="G870" s="16" t="str">
        <f t="array" ref="G870">"https://earth.google.com/web/search/" &amp; A870 &amp; "," &amp; B870</f>
        <v>https://earth.google.com/web/search/-30.9005262739409,-55.5402373646918</v>
      </c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ht="26.25" customHeight="1">
      <c r="A871" s="17" t="s">
        <v>1746</v>
      </c>
      <c r="B871" s="18" t="s">
        <v>1747</v>
      </c>
      <c r="C871" s="14">
        <v>1.0</v>
      </c>
      <c r="D871" s="15">
        <v>188.0</v>
      </c>
      <c r="E871" s="15">
        <v>20.0</v>
      </c>
      <c r="F871" s="16" t="str">
        <f t="array" ref="F871">"https://www.google.com/maps/search/?api=1&amp;query=" &amp; A871 &amp; "," &amp; B871</f>
        <v>https://www.google.com/maps/search/?api=1&amp;query=-30.9006483322524,-55.5403147050468</v>
      </c>
      <c r="G871" s="16" t="str">
        <f t="array" ref="G871">"https://earth.google.com/web/search/" &amp; A871 &amp; "," &amp; B871</f>
        <v>https://earth.google.com/web/search/-30.9006483322524,-55.5403147050468</v>
      </c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ht="26.25" customHeight="1">
      <c r="A872" s="17" t="s">
        <v>1748</v>
      </c>
      <c r="B872" s="18" t="s">
        <v>1749</v>
      </c>
      <c r="C872" s="14">
        <v>1.0</v>
      </c>
      <c r="D872" s="15">
        <v>189.0</v>
      </c>
      <c r="E872" s="15">
        <v>1.0</v>
      </c>
      <c r="F872" s="16" t="str">
        <f t="array" ref="F872">"https://www.google.com/maps/search/?api=1&amp;query=" &amp; A872 &amp; "," &amp; B872</f>
        <v>https://www.google.com/maps/search/?api=1&amp;query=-3.0899808087968,-55.5420387643365</v>
      </c>
      <c r="G872" s="16" t="str">
        <f t="array" ref="G872">"https://earth.google.com/web/search/" &amp; A872 &amp; "," &amp; B872</f>
        <v>https://earth.google.com/web/search/-3.0899808087968,-55.5420387643365</v>
      </c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ht="26.25" customHeight="1">
      <c r="A873" s="17" t="s">
        <v>1750</v>
      </c>
      <c r="B873" s="18" t="s">
        <v>1751</v>
      </c>
      <c r="C873" s="14">
        <v>1.0</v>
      </c>
      <c r="D873" s="15">
        <v>189.0</v>
      </c>
      <c r="E873" s="15">
        <v>2.0</v>
      </c>
      <c r="F873" s="16" t="str">
        <f t="array" ref="F873">"https://www.google.com/maps/search/?api=1&amp;query=" &amp; A873 &amp; "," &amp; B873</f>
        <v>https://www.google.com/maps/search/?api=1&amp;query=-30.8999076558609,-55.5418681884091</v>
      </c>
      <c r="G873" s="16" t="str">
        <f t="array" ref="G873">"https://earth.google.com/web/search/" &amp; A873 &amp; "," &amp; B873</f>
        <v>https://earth.google.com/web/search/-30.8999076558609,-55.5418681884091</v>
      </c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 ht="26.25" customHeight="1">
      <c r="A874" s="17" t="s">
        <v>1752</v>
      </c>
      <c r="B874" s="18" t="s">
        <v>1753</v>
      </c>
      <c r="C874" s="14">
        <v>1.0</v>
      </c>
      <c r="D874" s="15">
        <v>189.0</v>
      </c>
      <c r="E874" s="15">
        <v>3.0</v>
      </c>
      <c r="F874" s="16" t="str">
        <f t="array" ref="F874">"https://www.google.com/maps/search/?api=1&amp;query=" &amp; A874 &amp; "," &amp; B874</f>
        <v>https://www.google.com/maps/search/?api=1&amp;query=-30.8999561735876,-55.5417738039687</v>
      </c>
      <c r="G874" s="16" t="str">
        <f t="array" ref="G874">"https://earth.google.com/web/search/" &amp; A874 &amp; "," &amp; B874</f>
        <v>https://earth.google.com/web/search/-30.8999561735876,-55.5417738039687</v>
      </c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ht="26.25" customHeight="1">
      <c r="A875" s="17" t="s">
        <v>1754</v>
      </c>
      <c r="B875" s="18" t="s">
        <v>1755</v>
      </c>
      <c r="C875" s="14">
        <v>1.0</v>
      </c>
      <c r="D875" s="15">
        <v>189.0</v>
      </c>
      <c r="E875" s="15">
        <v>4.0</v>
      </c>
      <c r="F875" s="16" t="str">
        <f t="array" ref="F875">"https://www.google.com/maps/search/?api=1&amp;query=" &amp; A875 &amp; "," &amp; B875</f>
        <v>https://www.google.com/maps/search/?api=1&amp;query=-30.9001127958718,-55.5415177895694</v>
      </c>
      <c r="G875" s="16" t="str">
        <f t="array" ref="G875">"https://earth.google.com/web/search/" &amp; A875 &amp; "," &amp; B875</f>
        <v>https://earth.google.com/web/search/-30.9001127958718,-55.5415177895694</v>
      </c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 ht="26.25" customHeight="1">
      <c r="A876" s="17" t="s">
        <v>1756</v>
      </c>
      <c r="B876" s="18" t="s">
        <v>1757</v>
      </c>
      <c r="C876" s="14">
        <v>1.0</v>
      </c>
      <c r="D876" s="15">
        <v>189.0</v>
      </c>
      <c r="E876" s="15">
        <v>5.0</v>
      </c>
      <c r="F876" s="16" t="str">
        <f t="array" ref="F876">"https://www.google.com/maps/search/?api=1&amp;query=" &amp; A876 &amp; "," &amp; B876</f>
        <v>https://www.google.com/maps/search/?api=1&amp;query=-30.8999978980679,-5.5541293263021</v>
      </c>
      <c r="G876" s="16" t="str">
        <f t="array" ref="G876">"https://earth.google.com/web/search/" &amp; A876 &amp; "," &amp; B876</f>
        <v>https://earth.google.com/web/search/-30.8999978980679,-5.5541293263021</v>
      </c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 ht="26.25" customHeight="1">
      <c r="A877" s="17" t="s">
        <v>1758</v>
      </c>
      <c r="B877" s="18" t="s">
        <v>1759</v>
      </c>
      <c r="C877" s="14">
        <v>1.0</v>
      </c>
      <c r="D877" s="15">
        <v>189.0</v>
      </c>
      <c r="E877" s="15">
        <v>6.0</v>
      </c>
      <c r="F877" s="16" t="str">
        <f t="array" ref="F877">"https://www.google.com/maps/search/?api=1&amp;query=" &amp; A877 &amp; "," &amp; B877</f>
        <v>https://www.google.com/maps/search/?api=1&amp;query=-30.8999285961299,-55.5412412519249</v>
      </c>
      <c r="G877" s="16" t="str">
        <f t="array" ref="G877">"https://earth.google.com/web/search/" &amp; A877 &amp; "," &amp; B877</f>
        <v>https://earth.google.com/web/search/-30.8999285961299,-55.5412412519249</v>
      </c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ht="26.25" customHeight="1">
      <c r="A878" s="17" t="s">
        <v>1760</v>
      </c>
      <c r="B878" s="18" t="s">
        <v>1761</v>
      </c>
      <c r="C878" s="14">
        <v>1.0</v>
      </c>
      <c r="D878" s="15">
        <v>189.0</v>
      </c>
      <c r="E878" s="15">
        <v>7.0</v>
      </c>
      <c r="F878" s="16" t="str">
        <f t="array" ref="F878">"https://www.google.com/maps/search/?api=1&amp;query=" &amp; A878 &amp; "," &amp; B878</f>
        <v>https://www.google.com/maps/search/?api=1&amp;query=-30.8996221184731,-55.5410172880143</v>
      </c>
      <c r="G878" s="16" t="str">
        <f t="array" ref="G878">"https://earth.google.com/web/search/" &amp; A878 &amp; "," &amp; B878</f>
        <v>https://earth.google.com/web/search/-30.8996221184731,-55.5410172880143</v>
      </c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 ht="26.25" customHeight="1">
      <c r="A879" s="17" t="s">
        <v>1762</v>
      </c>
      <c r="B879" s="18" t="s">
        <v>1763</v>
      </c>
      <c r="C879" s="14">
        <v>1.0</v>
      </c>
      <c r="D879" s="15">
        <v>189.0</v>
      </c>
      <c r="E879" s="15">
        <v>8.0</v>
      </c>
      <c r="F879" s="16" t="str">
        <f t="array" ref="F879">"https://www.google.com/maps/search/?api=1&amp;query=" &amp; A879 &amp; "," &amp; B879</f>
        <v>https://www.google.com/maps/search/?api=1&amp;query=-30.8995450099101,-55.5409459067957</v>
      </c>
      <c r="G879" s="16" t="str">
        <f t="array" ref="G879">"https://earth.google.com/web/search/" &amp; A879 &amp; "," &amp; B879</f>
        <v>https://earth.google.com/web/search/-30.8995450099101,-55.5409459067957</v>
      </c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 ht="26.25" customHeight="1">
      <c r="A880" s="17" t="s">
        <v>1764</v>
      </c>
      <c r="B880" s="18" t="s">
        <v>1765</v>
      </c>
      <c r="C880" s="14">
        <v>1.0</v>
      </c>
      <c r="D880" s="15">
        <v>189.0</v>
      </c>
      <c r="E880" s="15">
        <v>9.0</v>
      </c>
      <c r="F880" s="16" t="str">
        <f t="array" ref="F880">"https://www.google.com/maps/search/?api=1&amp;query=" &amp; A880 &amp; "," &amp; B880</f>
        <v>https://www.google.com/maps/search/?api=1&amp;query=-30.8993679296502,-55.5410206354865</v>
      </c>
      <c r="G880" s="16" t="str">
        <f t="array" ref="G880">"https://earth.google.com/web/search/" &amp; A880 &amp; "," &amp; B880</f>
        <v>https://earth.google.com/web/search/-30.8993679296502,-55.5410206354865</v>
      </c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ht="26.25" customHeight="1">
      <c r="A881" s="17" t="s">
        <v>1766</v>
      </c>
      <c r="B881" s="18" t="s">
        <v>1767</v>
      </c>
      <c r="C881" s="14">
        <v>1.0</v>
      </c>
      <c r="D881" s="15">
        <v>190.0</v>
      </c>
      <c r="E881" s="15">
        <v>1.0</v>
      </c>
      <c r="F881" s="16" t="str">
        <f t="array" ref="F881">"https://www.google.com/maps/search/?api=1&amp;query=" &amp; A881 &amp; "," &amp; B881</f>
        <v>https://www.google.com/maps/search/?api=1&amp;query=-30.8993538113655,-55.5428983809807</v>
      </c>
      <c r="G881" s="16" t="str">
        <f t="array" ref="G881">"https://earth.google.com/web/search/" &amp; A881 &amp; "," &amp; B881</f>
        <v>https://earth.google.com/web/search/-30.8993538113655,-55.5428983809807</v>
      </c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ht="26.25" customHeight="1">
      <c r="A882" s="17" t="s">
        <v>1768</v>
      </c>
      <c r="B882" s="18" t="s">
        <v>1769</v>
      </c>
      <c r="C882" s="14">
        <v>1.0</v>
      </c>
      <c r="D882" s="15">
        <v>190.0</v>
      </c>
      <c r="E882" s="15">
        <v>2.0</v>
      </c>
      <c r="F882" s="16" t="str">
        <f t="array" ref="F882">"https://www.google.com/maps/search/?api=1&amp;query=" &amp; A882 &amp; "," &amp; B882</f>
        <v>https://www.google.com/maps/search/?api=1&amp;query=-30.8994718198101,-5.5542657875662</v>
      </c>
      <c r="G882" s="16" t="str">
        <f t="array" ref="G882">"https://earth.google.com/web/search/" &amp; A882 &amp; "," &amp; B882</f>
        <v>https://earth.google.com/web/search/-30.8994718198101,-5.5542657875662</v>
      </c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ht="26.25" customHeight="1">
      <c r="A883" s="17" t="s">
        <v>1770</v>
      </c>
      <c r="B883" s="18" t="s">
        <v>1771</v>
      </c>
      <c r="C883" s="14">
        <v>1.0</v>
      </c>
      <c r="D883" s="15">
        <v>190.0</v>
      </c>
      <c r="E883" s="15">
        <v>3.0</v>
      </c>
      <c r="F883" s="16" t="str">
        <f t="array" ref="F883">"https://www.google.com/maps/search/?api=1&amp;query=" &amp; A883 &amp; "," &amp; B883</f>
        <v>https://www.google.com/maps/search/?api=1&amp;query=-30.8995345677224,-55.5425151804646</v>
      </c>
      <c r="G883" s="16" t="str">
        <f t="array" ref="G883">"https://earth.google.com/web/search/" &amp; A883 &amp; "," &amp; B883</f>
        <v>https://earth.google.com/web/search/-30.8995345677224,-55.5425151804646</v>
      </c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ht="26.25" customHeight="1">
      <c r="A884" s="17" t="s">
        <v>1772</v>
      </c>
      <c r="B884" s="18" t="s">
        <v>1773</v>
      </c>
      <c r="C884" s="14">
        <v>1.0</v>
      </c>
      <c r="D884" s="15">
        <v>190.0</v>
      </c>
      <c r="E884" s="15">
        <v>4.0</v>
      </c>
      <c r="F884" s="16" t="str">
        <f t="array" ref="F884">"https://www.google.com/maps/search/?api=1&amp;query=" &amp; A884 &amp; "," &amp; B884</f>
        <v>https://www.google.com/maps/search/?api=1&amp;query=-30.8995950054744,-5.5542385261588</v>
      </c>
      <c r="G884" s="16" t="str">
        <f t="array" ref="G884">"https://earth.google.com/web/search/" &amp; A884 &amp; "," &amp; B884</f>
        <v>https://earth.google.com/web/search/-30.8995950054744,-5.5542385261588</v>
      </c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ht="26.25" customHeight="1">
      <c r="A885" s="17" t="s">
        <v>1774</v>
      </c>
      <c r="B885" s="18" t="s">
        <v>1775</v>
      </c>
      <c r="C885" s="14">
        <v>1.0</v>
      </c>
      <c r="D885" s="15">
        <v>190.0</v>
      </c>
      <c r="E885" s="15">
        <v>5.0</v>
      </c>
      <c r="F885" s="16" t="str">
        <f t="array" ref="F885">"https://www.google.com/maps/search/?api=1&amp;query=" &amp; A885 &amp; "," &amp; B885</f>
        <v>https://www.google.com/maps/search/?api=1&amp;query=-30.8988482702087,-55.5419937079268</v>
      </c>
      <c r="G885" s="16" t="str">
        <f t="array" ref="G885">"https://earth.google.com/web/search/" &amp; A885 &amp; "," &amp; B885</f>
        <v>https://earth.google.com/web/search/-30.8988482702087,-55.5419937079268</v>
      </c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ht="26.25" customHeight="1">
      <c r="A886" s="17" t="s">
        <v>1776</v>
      </c>
      <c r="B886" s="18" t="s">
        <v>1777</v>
      </c>
      <c r="C886" s="14">
        <v>1.0</v>
      </c>
      <c r="D886" s="15">
        <v>190.0</v>
      </c>
      <c r="E886" s="15">
        <v>6.0</v>
      </c>
      <c r="F886" s="16" t="str">
        <f t="array" ref="F886">"https://www.google.com/maps/search/?api=1&amp;query=" &amp; A886 &amp; "," &amp; B886</f>
        <v>https://www.google.com/maps/search/?api=1&amp;query=-30.8987509886421,-55.5421641677721</v>
      </c>
      <c r="G886" s="16" t="str">
        <f t="array" ref="G886">"https://earth.google.com/web/search/" &amp; A886 &amp; "," &amp; B886</f>
        <v>https://earth.google.com/web/search/-30.8987509886421,-55.5421641677721</v>
      </c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ht="26.25" customHeight="1">
      <c r="A887" s="17" t="s">
        <v>1778</v>
      </c>
      <c r="B887" s="18" t="s">
        <v>1779</v>
      </c>
      <c r="C887" s="14">
        <v>1.0</v>
      </c>
      <c r="D887" s="15">
        <v>190.0</v>
      </c>
      <c r="E887" s="15">
        <v>7.0</v>
      </c>
      <c r="F887" s="16" t="str">
        <f t="array" ref="F887">"https://www.google.com/maps/search/?api=1&amp;query=" &amp; A887 &amp; "," &amp; B887</f>
        <v>https://www.google.com/maps/search/?api=1&amp;query=-30.8987195564006,-5.5542262734812</v>
      </c>
      <c r="G887" s="16" t="str">
        <f t="array" ref="G887">"https://earth.google.com/web/search/" &amp; A887 &amp; "," &amp; B887</f>
        <v>https://earth.google.com/web/search/-30.8987195564006,-5.5542262734812</v>
      </c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ht="26.25" customHeight="1">
      <c r="A888" s="17" t="s">
        <v>1780</v>
      </c>
      <c r="B888" s="18" t="s">
        <v>1781</v>
      </c>
      <c r="C888" s="14">
        <v>1.0</v>
      </c>
      <c r="D888" s="15">
        <v>190.0</v>
      </c>
      <c r="E888" s="15">
        <v>8.0</v>
      </c>
      <c r="F888" s="16" t="str">
        <f t="array" ref="F888">"https://www.google.com/maps/search/?api=1&amp;query=" &amp; A888 &amp; "," &amp; B888</f>
        <v>https://www.google.com/maps/search/?api=1&amp;query=-30.8986401730833,-55.5424126983571</v>
      </c>
      <c r="G888" s="16" t="str">
        <f t="array" ref="G888">"https://earth.google.com/web/search/" &amp; A888 &amp; "," &amp; B888</f>
        <v>https://earth.google.com/web/search/-30.8986401730833,-55.5424126983571</v>
      </c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ht="26.25" customHeight="1">
      <c r="A889" s="17" t="s">
        <v>1782</v>
      </c>
      <c r="B889" s="18" t="s">
        <v>1783</v>
      </c>
      <c r="C889" s="14">
        <v>1.0</v>
      </c>
      <c r="D889" s="15">
        <v>190.0</v>
      </c>
      <c r="E889" s="15">
        <v>9.0</v>
      </c>
      <c r="F889" s="16" t="str">
        <f t="array" ref="F889">"https://www.google.com/maps/search/?api=1&amp;query=" &amp; A889 &amp; "," &amp; B889</f>
        <v>https://www.google.com/maps/search/?api=1&amp;query=-30.8985833676843,-55.5426687926474</v>
      </c>
      <c r="G889" s="16" t="str">
        <f t="array" ref="G889">"https://earth.google.com/web/search/" &amp; A889 &amp; "," &amp; B889</f>
        <v>https://earth.google.com/web/search/-30.8985833676843,-55.5426687926474</v>
      </c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ht="26.25" customHeight="1">
      <c r="A890" s="17" t="s">
        <v>1784</v>
      </c>
      <c r="B890" s="18" t="s">
        <v>1785</v>
      </c>
      <c r="C890" s="14">
        <v>1.0</v>
      </c>
      <c r="D890" s="15">
        <v>190.0</v>
      </c>
      <c r="E890" s="15">
        <v>10.0</v>
      </c>
      <c r="F890" s="16" t="str">
        <f t="array" ref="F890">"https://www.google.com/maps/search/?api=1&amp;query=" &amp; A890 &amp; "," &amp; B890</f>
        <v>https://www.google.com/maps/search/?api=1&amp;query=-3.0898788948376,-55.5428040889904</v>
      </c>
      <c r="G890" s="16" t="str">
        <f t="array" ref="G890">"https://earth.google.com/web/search/" &amp; A890 &amp; "," &amp; B890</f>
        <v>https://earth.google.com/web/search/-3.0898788948376,-55.5428040889904</v>
      </c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ht="26.25" customHeight="1">
      <c r="A891" s="17" t="s">
        <v>1786</v>
      </c>
      <c r="B891" s="18" t="s">
        <v>1787</v>
      </c>
      <c r="C891" s="14">
        <v>1.0</v>
      </c>
      <c r="D891" s="15">
        <v>190.0</v>
      </c>
      <c r="E891" s="15">
        <v>11.0</v>
      </c>
      <c r="F891" s="16" t="str">
        <f t="array" ref="F891">"https://www.google.com/maps/search/?api=1&amp;query=" &amp; A891 &amp; "," &amp; B891</f>
        <v>https://www.google.com/maps/search/?api=1&amp;query=-30.8989446458185,-55.5429037260542</v>
      </c>
      <c r="G891" s="16" t="str">
        <f t="array" ref="G891">"https://earth.google.com/web/search/" &amp; A891 &amp; "," &amp; B891</f>
        <v>https://earth.google.com/web/search/-30.8989446458185,-55.5429037260542</v>
      </c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ht="26.25" customHeight="1">
      <c r="A892" s="17" t="s">
        <v>1788</v>
      </c>
      <c r="B892" s="18" t="s">
        <v>1789</v>
      </c>
      <c r="C892" s="14">
        <v>1.0</v>
      </c>
      <c r="D892" s="15">
        <v>190.0</v>
      </c>
      <c r="E892" s="15">
        <v>12.0</v>
      </c>
      <c r="F892" s="16" t="str">
        <f t="array" ref="F892">"https://www.google.com/maps/search/?api=1&amp;query=" &amp; A892 &amp; "," &amp; B892</f>
        <v>https://www.google.com/maps/search/?api=1&amp;query=-30.8990590203809,-55.5429910045694</v>
      </c>
      <c r="G892" s="16" t="str">
        <f t="array" ref="G892">"https://earth.google.com/web/search/" &amp; A892 &amp; "," &amp; B892</f>
        <v>https://earth.google.com/web/search/-30.8990590203809,-55.5429910045694</v>
      </c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ht="26.25" customHeight="1">
      <c r="A893" s="17" t="s">
        <v>1790</v>
      </c>
      <c r="B893" s="18" t="s">
        <v>1791</v>
      </c>
      <c r="C893" s="14">
        <v>1.0</v>
      </c>
      <c r="D893" s="15">
        <v>180.0</v>
      </c>
      <c r="E893" s="15">
        <v>1.0</v>
      </c>
      <c r="F893" s="16" t="str">
        <f t="array" ref="F893">"https://www.google.com/maps/search/?api=1&amp;query=" &amp; A893 &amp; "," &amp; B893</f>
        <v>https://www.google.com/maps/search/?api=1&amp;query=-30.9014807336292,-55.5368482930629</v>
      </c>
      <c r="G893" s="16" t="str">
        <f t="array" ref="G893">"https://earth.google.com/web/search/" &amp; A893 &amp; "," &amp; B893</f>
        <v>https://earth.google.com/web/search/-30.9014807336292,-55.5368482930629</v>
      </c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 ht="26.25" customHeight="1">
      <c r="A894" s="17" t="s">
        <v>1792</v>
      </c>
      <c r="B894" s="18" t="s">
        <v>1793</v>
      </c>
      <c r="C894" s="14">
        <v>1.0</v>
      </c>
      <c r="D894" s="15">
        <v>180.0</v>
      </c>
      <c r="E894" s="15">
        <v>2.0</v>
      </c>
      <c r="F894" s="16" t="str">
        <f t="array" ref="F894">"https://www.google.com/maps/search/?api=1&amp;query=" &amp; A894 &amp; "," &amp; B894</f>
        <v>https://www.google.com/maps/search/?api=1&amp;query=-3.0901523438319,-55.5367667682808</v>
      </c>
      <c r="G894" s="16" t="str">
        <f t="array" ref="G894">"https://earth.google.com/web/search/" &amp; A894 &amp; "," &amp; B894</f>
        <v>https://earth.google.com/web/search/-3.0901523438319,-55.5367667682808</v>
      </c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ht="26.25" customHeight="1">
      <c r="A895" s="17" t="s">
        <v>1794</v>
      </c>
      <c r="B895" s="18" t="s">
        <v>1795</v>
      </c>
      <c r="C895" s="14">
        <v>1.0</v>
      </c>
      <c r="D895" s="15">
        <v>180.0</v>
      </c>
      <c r="E895" s="15">
        <v>3.0</v>
      </c>
      <c r="F895" s="16" t="str">
        <f t="array" ref="F895">"https://www.google.com/maps/search/?api=1&amp;query=" &amp; A895 &amp; "," &amp; B895</f>
        <v>https://www.google.com/maps/search/?api=1&amp;query=-0.3090164227398,-55.5365752331978</v>
      </c>
      <c r="G895" s="16" t="str">
        <f t="array" ref="G895">"https://earth.google.com/web/search/" &amp; A895 &amp; "," &amp; B895</f>
        <v>https://earth.google.com/web/search/-0.3090164227398,-55.5365752331978</v>
      </c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 ht="26.25" customHeight="1">
      <c r="A896" s="17" t="s">
        <v>1796</v>
      </c>
      <c r="B896" s="18" t="s">
        <v>1797</v>
      </c>
      <c r="C896" s="14">
        <v>1.0</v>
      </c>
      <c r="D896" s="15">
        <v>180.0</v>
      </c>
      <c r="E896" s="15">
        <v>4.0</v>
      </c>
      <c r="F896" s="16" t="str">
        <f t="array" ref="F896">"https://www.google.com/maps/search/?api=1&amp;query=" &amp; A896 &amp; "," &amp; B896</f>
        <v>https://www.google.com/maps/search/?api=1&amp;query=-30.9017375486207,-55.5363728045927</v>
      </c>
      <c r="G896" s="16" t="str">
        <f t="array" ref="G896">"https://earth.google.com/web/search/" &amp; A896 &amp; "," &amp; B896</f>
        <v>https://earth.google.com/web/search/-30.9017375486207,-55.5363728045927</v>
      </c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 ht="26.25" customHeight="1">
      <c r="A897" s="17" t="s">
        <v>1798</v>
      </c>
      <c r="B897" s="18" t="s">
        <v>1799</v>
      </c>
      <c r="C897" s="14">
        <v>1.0</v>
      </c>
      <c r="D897" s="15">
        <v>180.0</v>
      </c>
      <c r="E897" s="15">
        <v>5.0</v>
      </c>
      <c r="F897" s="16" t="str">
        <f t="array" ref="F897">"https://www.google.com/maps/search/?api=1&amp;query=" &amp; A897 &amp; "," &amp; B897</f>
        <v>https://www.google.com/maps/search/?api=1&amp;query=-30.9015783971215,-55.5361266078975</v>
      </c>
      <c r="G897" s="16" t="str">
        <f t="array" ref="G897">"https://earth.google.com/web/search/" &amp; A897 &amp; "," &amp; B897</f>
        <v>https://earth.google.com/web/search/-30.9015783971215,-55.5361266078975</v>
      </c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ht="26.25" customHeight="1">
      <c r="A898" s="17" t="s">
        <v>1800</v>
      </c>
      <c r="B898" s="18" t="s">
        <v>1801</v>
      </c>
      <c r="C898" s="14">
        <v>1.0</v>
      </c>
      <c r="D898" s="15">
        <v>180.0</v>
      </c>
      <c r="E898" s="15">
        <v>6.0</v>
      </c>
      <c r="F898" s="16" t="str">
        <f t="array" ref="F898">"https://www.google.com/maps/search/?api=1&amp;query=" &amp; A898 &amp; "," &amp; B898</f>
        <v>https://www.google.com/maps/search/?api=1&amp;query=-3.0901503205584,-5.5536067090054</v>
      </c>
      <c r="G898" s="16" t="str">
        <f t="array" ref="G898">"https://earth.google.com/web/search/" &amp; A898 &amp; "," &amp; B898</f>
        <v>https://earth.google.com/web/search/-3.0901503205584,-5.5536067090054</v>
      </c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ht="26.25" customHeight="1">
      <c r="A899" s="17" t="s">
        <v>1802</v>
      </c>
      <c r="B899" s="18" t="s">
        <v>1803</v>
      </c>
      <c r="C899" s="14">
        <v>1.0</v>
      </c>
      <c r="D899" s="15">
        <v>180.0</v>
      </c>
      <c r="E899" s="15">
        <v>7.0</v>
      </c>
      <c r="F899" s="16" t="str">
        <f t="array" ref="F899">"https://www.google.com/maps/search/?api=1&amp;query=" &amp; A899 &amp; "," &amp; B899</f>
        <v>https://www.google.com/maps/search/?api=1&amp;query=-30.9013054755393,-55.5358990117957</v>
      </c>
      <c r="G899" s="16" t="str">
        <f t="array" ref="G899">"https://earth.google.com/web/search/" &amp; A899 &amp; "," &amp; B899</f>
        <v>https://earth.google.com/web/search/-30.9013054755393,-55.5358990117957</v>
      </c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ht="26.25" customHeight="1">
      <c r="A900" s="17" t="s">
        <v>1804</v>
      </c>
      <c r="B900" s="18" t="s">
        <v>1805</v>
      </c>
      <c r="C900" s="14">
        <v>1.0</v>
      </c>
      <c r="D900" s="15">
        <v>180.0</v>
      </c>
      <c r="E900" s="15">
        <v>8.0</v>
      </c>
      <c r="F900" s="16" t="str">
        <f t="array" ref="F900">"https://www.google.com/maps/search/?api=1&amp;query=" &amp; A900 &amp; "," &amp; B900</f>
        <v>https://www.google.com/maps/search/?api=1&amp;query=-30.9011579579155,-55.5358236750451</v>
      </c>
      <c r="G900" s="16" t="str">
        <f t="array" ref="G900">"https://earth.google.com/web/search/" &amp; A900 &amp; "," &amp; B900</f>
        <v>https://earth.google.com/web/search/-30.9011579579155,-55.5358236750451</v>
      </c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ht="26.25" customHeight="1">
      <c r="A901" s="17" t="s">
        <v>1806</v>
      </c>
      <c r="B901" s="18" t="s">
        <v>1807</v>
      </c>
      <c r="C901" s="14">
        <v>1.0</v>
      </c>
      <c r="D901" s="15">
        <v>180.0</v>
      </c>
      <c r="E901" s="15">
        <v>9.0</v>
      </c>
      <c r="F901" s="16" t="str">
        <f t="array" ref="F901">"https://www.google.com/maps/search/?api=1&amp;query=" &amp; A901 &amp; "," &amp; B901</f>
        <v>https://www.google.com/maps/search/?api=1&amp;query=-30.9009304457051,-55.5360250954764</v>
      </c>
      <c r="G901" s="16" t="str">
        <f t="array" ref="G901">"https://earth.google.com/web/search/" &amp; A901 &amp; "," &amp; B901</f>
        <v>https://earth.google.com/web/search/-30.9009304457051,-55.5360250954764</v>
      </c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ht="26.25" customHeight="1">
      <c r="A902" s="17" t="s">
        <v>1808</v>
      </c>
      <c r="B902" s="18" t="s">
        <v>1809</v>
      </c>
      <c r="C902" s="14">
        <v>1.0</v>
      </c>
      <c r="D902" s="15">
        <v>180.0</v>
      </c>
      <c r="E902" s="15">
        <v>10.0</v>
      </c>
      <c r="F902" s="16" t="str">
        <f t="array" ref="F902">"https://www.google.com/maps/search/?api=1&amp;query=" &amp; A902 &amp; "," &amp; B902</f>
        <v>https://www.google.com/maps/search/?api=1&amp;query=-30.9007123150005,-55.5364450249713</v>
      </c>
      <c r="G902" s="16" t="str">
        <f t="array" ref="G902">"https://earth.google.com/web/search/" &amp; A902 &amp; "," &amp; B902</f>
        <v>https://earth.google.com/web/search/-30.9007123150005,-55.5364450249713</v>
      </c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ht="26.25" customHeight="1">
      <c r="A903" s="17" t="s">
        <v>1810</v>
      </c>
      <c r="B903" s="18" t="s">
        <v>1811</v>
      </c>
      <c r="C903" s="14">
        <v>1.0</v>
      </c>
      <c r="D903" s="15">
        <v>180.0</v>
      </c>
      <c r="E903" s="15">
        <v>11.0</v>
      </c>
      <c r="F903" s="16" t="str">
        <f t="array" ref="F903">"https://www.google.com/maps/search/?api=1&amp;query=" &amp; A903 &amp; "," &amp; B903</f>
        <v>https://www.google.com/maps/search/?api=1&amp;query=-30.9007036385183,-55.5366279743852</v>
      </c>
      <c r="G903" s="16" t="str">
        <f t="array" ref="G903">"https://earth.google.com/web/search/" &amp; A903 &amp; "," &amp; B903</f>
        <v>https://earth.google.com/web/search/-30.9007036385183,-55.5366279743852</v>
      </c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ht="26.25" customHeight="1">
      <c r="A904" s="17" t="s">
        <v>1812</v>
      </c>
      <c r="B904" s="18" t="s">
        <v>1813</v>
      </c>
      <c r="C904" s="14">
        <v>1.0</v>
      </c>
      <c r="D904" s="15">
        <v>180.0</v>
      </c>
      <c r="E904" s="15">
        <v>12.0</v>
      </c>
      <c r="F904" s="16" t="str">
        <f t="array" ref="F904">"https://www.google.com/maps/search/?api=1&amp;query=" &amp; A904 &amp; "," &amp; B904</f>
        <v>https://www.google.com/maps/search/?api=1&amp;query=-30.9008765973324,-55.5367460009435</v>
      </c>
      <c r="G904" s="16" t="str">
        <f t="array" ref="G904">"https://earth.google.com/web/search/" &amp; A904 &amp; "," &amp; B904</f>
        <v>https://earth.google.com/web/search/-30.9008765973324,-55.5367460009435</v>
      </c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ht="26.25" customHeight="1">
      <c r="A905" s="17" t="s">
        <v>1814</v>
      </c>
      <c r="B905" s="18" t="s">
        <v>1815</v>
      </c>
      <c r="C905" s="14">
        <v>1.0</v>
      </c>
      <c r="D905" s="15">
        <v>180.0</v>
      </c>
      <c r="E905" s="15">
        <v>13.0</v>
      </c>
      <c r="F905" s="16" t="str">
        <f t="array" ref="F905">"https://www.google.com/maps/search/?api=1&amp;query=" &amp; A905 &amp; "," &amp; B905</f>
        <v>https://www.google.com/maps/search/?api=1&amp;query=-30.9010598371553,-55.5368690605533</v>
      </c>
      <c r="G905" s="16" t="str">
        <f t="array" ref="G905">"https://earth.google.com/web/search/" &amp; A905 &amp; "," &amp; B905</f>
        <v>https://earth.google.com/web/search/-30.9010598371553,-55.5368690605533</v>
      </c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ht="26.25" customHeight="1">
      <c r="A906" s="17" t="s">
        <v>1816</v>
      </c>
      <c r="B906" s="18" t="s">
        <v>1817</v>
      </c>
      <c r="C906" s="14">
        <v>1.0</v>
      </c>
      <c r="D906" s="15">
        <v>180.0</v>
      </c>
      <c r="E906" s="15">
        <v>14.0</v>
      </c>
      <c r="F906" s="16" t="str">
        <f t="array" ref="F906">"https://www.google.com/maps/search/?api=1&amp;query=" &amp; A906 &amp; "," &amp; B906</f>
        <v>https://www.google.com/maps/search/?api=1&amp;query=-30.9011120568808,-55.5369099482777</v>
      </c>
      <c r="G906" s="16" t="str">
        <f t="array" ref="G906">"https://earth.google.com/web/search/" &amp; A906 &amp; "," &amp; B906</f>
        <v>https://earth.google.com/web/search/-30.9011120568808,-55.5369099482777</v>
      </c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ht="26.25" customHeight="1">
      <c r="A907" s="17" t="s">
        <v>1818</v>
      </c>
      <c r="B907" s="18" t="s">
        <v>1819</v>
      </c>
      <c r="C907" s="14">
        <v>1.0</v>
      </c>
      <c r="D907" s="15">
        <v>180.0</v>
      </c>
      <c r="E907" s="15">
        <v>15.0</v>
      </c>
      <c r="F907" s="16" t="str">
        <f t="array" ref="F907">"https://www.google.com/maps/search/?api=1&amp;query=" &amp; A907 &amp; "," &amp; B907</f>
        <v>https://www.google.com/maps/search/?api=1&amp;query=-30.9011584869332,-55.5369661147976</v>
      </c>
      <c r="G907" s="16" t="str">
        <f t="array" ref="G907">"https://earth.google.com/web/search/" &amp; A907 &amp; "," &amp; B907</f>
        <v>https://earth.google.com/web/search/-30.9011584869332,-55.5369661147976</v>
      </c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 ht="26.25" customHeight="1">
      <c r="A908" s="17" t="s">
        <v>1820</v>
      </c>
      <c r="B908" s="18" t="s">
        <v>1821</v>
      </c>
      <c r="C908" s="14">
        <v>1.0</v>
      </c>
      <c r="D908" s="15">
        <v>180.0</v>
      </c>
      <c r="E908" s="15">
        <v>16.0</v>
      </c>
      <c r="F908" s="16" t="str">
        <f t="array" ref="F908">"https://www.google.com/maps/search/?api=1&amp;query=" &amp; A908 &amp; "," &amp; B908</f>
        <v>https://www.google.com/maps/search/?api=1&amp;query=-30.9012496035664,-55.5370176071885</v>
      </c>
      <c r="G908" s="16" t="str">
        <f t="array" ref="G908">"https://earth.google.com/web/search/" &amp; A908 &amp; "," &amp; B908</f>
        <v>https://earth.google.com/web/search/-30.9012496035664,-55.5370176071885</v>
      </c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ht="26.25" customHeight="1">
      <c r="A909" s="17" t="s">
        <v>1822</v>
      </c>
      <c r="B909" s="18" t="s">
        <v>1823</v>
      </c>
      <c r="C909" s="14">
        <v>1.0</v>
      </c>
      <c r="D909" s="15">
        <v>180.0</v>
      </c>
      <c r="E909" s="15">
        <v>17.0</v>
      </c>
      <c r="F909" s="16" t="str">
        <f t="array" ref="F909">"https://www.google.com/maps/search/?api=1&amp;query=" &amp; A909 &amp; "," &amp; B909</f>
        <v>https://www.google.com/maps/search/?api=1&amp;query=-30.9013191023008,-55.5370588028139</v>
      </c>
      <c r="G909" s="16" t="str">
        <f t="array" ref="G909">"https://earth.google.com/web/search/" &amp; A909 &amp; "," &amp; B909</f>
        <v>https://earth.google.com/web/search/-30.9013191023008,-55.5370588028139</v>
      </c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ht="26.25" customHeight="1">
      <c r="A910" s="17" t="s">
        <v>1824</v>
      </c>
      <c r="B910" s="18" t="s">
        <v>1825</v>
      </c>
      <c r="C910" s="14">
        <v>1.0</v>
      </c>
      <c r="D910" s="15">
        <v>179.0</v>
      </c>
      <c r="E910" s="15">
        <v>1.0</v>
      </c>
      <c r="F910" s="16" t="str">
        <f t="array" ref="F910">"https://www.google.com/maps/search/?api=1&amp;query=" &amp; A910 &amp; "," &amp; B910</f>
        <v>https://www.google.com/maps/search/?api=1&amp;query=-30.9009070153585,-55.5379346505037</v>
      </c>
      <c r="G910" s="16" t="str">
        <f t="array" ref="G910">"https://earth.google.com/web/search/" &amp; A910 &amp; "," &amp; B910</f>
        <v>https://earth.google.com/web/search/-30.9009070153585,-55.5379346505037</v>
      </c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ht="26.25" customHeight="1">
      <c r="A911" s="17" t="s">
        <v>1826</v>
      </c>
      <c r="B911" s="18" t="s">
        <v>1827</v>
      </c>
      <c r="C911" s="14">
        <v>1.0</v>
      </c>
      <c r="D911" s="15">
        <v>179.0</v>
      </c>
      <c r="E911" s="15">
        <v>2.0</v>
      </c>
      <c r="F911" s="16" t="str">
        <f t="array" ref="F911">"https://www.google.com/maps/search/?api=1&amp;query=" &amp; A911 &amp; "," &amp; B911</f>
        <v>https://www.google.com/maps/search/?api=1&amp;query=-30.9009476877002,-55.5378598111314</v>
      </c>
      <c r="G911" s="16" t="str">
        <f t="array" ref="G911">"https://earth.google.com/web/search/" &amp; A911 &amp; "," &amp; B911</f>
        <v>https://earth.google.com/web/search/-30.9009476877002,-55.5378598111314</v>
      </c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ht="26.25" customHeight="1">
      <c r="A912" s="17" t="s">
        <v>1828</v>
      </c>
      <c r="B912" s="18" t="s">
        <v>1829</v>
      </c>
      <c r="C912" s="14">
        <v>1.0</v>
      </c>
      <c r="D912" s="15">
        <v>179.0</v>
      </c>
      <c r="E912" s="15">
        <v>3.0</v>
      </c>
      <c r="F912" s="16" t="str">
        <f t="array" ref="F912">"https://www.google.com/maps/search/?api=1&amp;query=" &amp; A912 &amp; "," &amp; B912</f>
        <v>https://www.google.com/maps/search/?api=1&amp;query=-30.9009886242744,-55.5377635875441</v>
      </c>
      <c r="G912" s="16" t="str">
        <f t="array" ref="G912">"https://earth.google.com/web/search/" &amp; A912 &amp; "," &amp; B912</f>
        <v>https://earth.google.com/web/search/-30.9009886242744,-55.5377635875441</v>
      </c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 ht="26.25" customHeight="1">
      <c r="A913" s="17" t="s">
        <v>1830</v>
      </c>
      <c r="B913" s="18" t="s">
        <v>1831</v>
      </c>
      <c r="C913" s="14">
        <v>1.0</v>
      </c>
      <c r="D913" s="15">
        <v>179.0</v>
      </c>
      <c r="E913" s="15">
        <v>4.0</v>
      </c>
      <c r="F913" s="16" t="str">
        <f t="array" ref="F913">"https://www.google.com/maps/search/?api=1&amp;query=" &amp; A913 &amp; "," &amp; B913</f>
        <v>https://www.google.com/maps/search/?api=1&amp;query=-30.9011005027918,-55.5375705124406</v>
      </c>
      <c r="G913" s="16" t="str">
        <f t="array" ref="G913">"https://earth.google.com/web/search/" &amp; A913 &amp; "," &amp; B913</f>
        <v>https://earth.google.com/web/search/-30.9011005027918,-55.5375705124406</v>
      </c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ht="26.25" customHeight="1">
      <c r="A914" s="17" t="s">
        <v>1832</v>
      </c>
      <c r="B914" s="18" t="s">
        <v>1833</v>
      </c>
      <c r="C914" s="14">
        <v>1.0</v>
      </c>
      <c r="D914" s="15">
        <v>179.0</v>
      </c>
      <c r="E914" s="15">
        <v>5.0</v>
      </c>
      <c r="F914" s="16" t="str">
        <f t="array" ref="F914">"https://www.google.com/maps/search/?api=1&amp;query=" &amp; A914 &amp; "," &amp; B914</f>
        <v>https://www.google.com/maps/search/?api=1&amp;query=-30.9011834462686,-55.5370873346694</v>
      </c>
      <c r="G914" s="16" t="str">
        <f t="array" ref="G914">"https://earth.google.com/web/search/" &amp; A914 &amp; "," &amp; B914</f>
        <v>https://earth.google.com/web/search/-30.9011834462686,-55.5370873346694</v>
      </c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ht="26.25" customHeight="1">
      <c r="A915" s="17" t="s">
        <v>1834</v>
      </c>
      <c r="B915" s="18" t="s">
        <v>1835</v>
      </c>
      <c r="C915" s="14">
        <v>1.0</v>
      </c>
      <c r="D915" s="15">
        <v>179.0</v>
      </c>
      <c r="E915" s="15">
        <v>6.0</v>
      </c>
      <c r="F915" s="16" t="str">
        <f t="array" ref="F915">"https://www.google.com/maps/search/?api=1&amp;query=" &amp; A915 &amp; "," &amp; B915</f>
        <v>https://www.google.com/maps/search/?api=1&amp;query=-30.9010289614825,-55.5369740496212</v>
      </c>
      <c r="G915" s="16" t="str">
        <f t="array" ref="G915">"https://earth.google.com/web/search/" &amp; A915 &amp; "," &amp; B915</f>
        <v>https://earth.google.com/web/search/-30.9010289614825,-55.5369740496212</v>
      </c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ht="26.25" customHeight="1">
      <c r="A916" s="17" t="s">
        <v>1836</v>
      </c>
      <c r="B916" s="18" t="s">
        <v>1837</v>
      </c>
      <c r="C916" s="14">
        <v>1.0</v>
      </c>
      <c r="D916" s="15">
        <v>179.0</v>
      </c>
      <c r="E916" s="15">
        <v>7.0</v>
      </c>
      <c r="F916" s="16" t="str">
        <f t="array" ref="F916">"https://www.google.com/maps/search/?api=1&amp;query=" &amp; A916 &amp; "," &amp; B916</f>
        <v>https://www.google.com/maps/search/?api=1&amp;query=-30.9006635913785,-55.5366994296446</v>
      </c>
      <c r="G916" s="16" t="str">
        <f t="array" ref="G916">"https://earth.google.com/web/search/" &amp; A916 &amp; "," &amp; B916</f>
        <v>https://earth.google.com/web/search/-30.9006635913785,-55.5366994296446</v>
      </c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ht="26.25" customHeight="1">
      <c r="A917" s="17" t="s">
        <v>1838</v>
      </c>
      <c r="B917" s="18" t="s">
        <v>1839</v>
      </c>
      <c r="C917" s="14">
        <v>1.0</v>
      </c>
      <c r="D917" s="15">
        <v>179.0</v>
      </c>
      <c r="E917" s="15">
        <v>8.0</v>
      </c>
      <c r="F917" s="16" t="str">
        <f t="array" ref="F917">"https://www.google.com/maps/search/?api=1&amp;query=" &amp; A917 &amp; "," &amp; B917</f>
        <v>https://www.google.com/maps/search/?api=1&amp;query=-30.9005682567828,-55.5367016130111</v>
      </c>
      <c r="G917" s="16" t="str">
        <f t="array" ref="G917">"https://earth.google.com/web/search/" &amp; A917 &amp; "," &amp; B917</f>
        <v>https://earth.google.com/web/search/-30.9005682567828,-55.5367016130111</v>
      </c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ht="26.25" customHeight="1">
      <c r="A918" s="17" t="s">
        <v>1840</v>
      </c>
      <c r="B918" s="18" t="s">
        <v>1841</v>
      </c>
      <c r="C918" s="14">
        <v>1.0</v>
      </c>
      <c r="D918" s="15">
        <v>179.0</v>
      </c>
      <c r="E918" s="15">
        <v>9.0</v>
      </c>
      <c r="F918" s="16" t="str">
        <f t="array" ref="F918">"https://www.google.com/maps/search/?api=1&amp;query=" &amp; A918 &amp; "," &amp; B918</f>
        <v>https://www.google.com/maps/search/?api=1&amp;query=-30.9004149497189,-55.5370139611324</v>
      </c>
      <c r="G918" s="16" t="str">
        <f t="array" ref="G918">"https://earth.google.com/web/search/" &amp; A918 &amp; "," &amp; B918</f>
        <v>https://earth.google.com/web/search/-30.9004149497189,-55.5370139611324</v>
      </c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ht="26.25" customHeight="1">
      <c r="A919" s="17" t="s">
        <v>1842</v>
      </c>
      <c r="B919" s="18" t="s">
        <v>1843</v>
      </c>
      <c r="C919" s="14">
        <v>1.0</v>
      </c>
      <c r="D919" s="15">
        <v>179.0</v>
      </c>
      <c r="E919" s="15">
        <v>10.0</v>
      </c>
      <c r="F919" s="16" t="str">
        <f t="array" ref="F919">"https://www.google.com/maps/search/?api=1&amp;query=" &amp; A919 &amp; "," &amp; B919</f>
        <v>https://www.google.com/maps/search/?api=1&amp;query=-30.9003145632443,-55.5371745628525</v>
      </c>
      <c r="G919" s="16" t="str">
        <f t="array" ref="G919">"https://earth.google.com/web/search/" &amp; A919 &amp; "," &amp; B919</f>
        <v>https://earth.google.com/web/search/-30.9003145632443,-55.5371745628525</v>
      </c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ht="26.25" customHeight="1">
      <c r="A920" s="17" t="s">
        <v>1844</v>
      </c>
      <c r="B920" s="18" t="s">
        <v>1845</v>
      </c>
      <c r="C920" s="14">
        <v>1.0</v>
      </c>
      <c r="D920" s="15">
        <v>179.0</v>
      </c>
      <c r="E920" s="15">
        <v>11.0</v>
      </c>
      <c r="F920" s="16" t="str">
        <f t="array" ref="F920">"https://www.google.com/maps/search/?api=1&amp;query=" &amp; A920 &amp; "," &amp; B920</f>
        <v>https://www.google.com/maps/search/?api=1&amp;query=-30.9002778276937,-55.5372535742724</v>
      </c>
      <c r="G920" s="16" t="str">
        <f t="array" ref="G920">"https://earth.google.com/web/search/" &amp; A920 &amp; "," &amp; B920</f>
        <v>https://earth.google.com/web/search/-30.9002778276937,-55.5372535742724</v>
      </c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ht="26.25" customHeight="1">
      <c r="A921" s="17" t="s">
        <v>1846</v>
      </c>
      <c r="B921" s="18" t="s">
        <v>1847</v>
      </c>
      <c r="C921" s="14">
        <v>1.0</v>
      </c>
      <c r="D921" s="15">
        <v>179.0</v>
      </c>
      <c r="E921" s="15">
        <v>12.0</v>
      </c>
      <c r="F921" s="16" t="str">
        <f t="array" ref="F921">"https://www.google.com/maps/search/?api=1&amp;query=" &amp; A921 &amp; "," &amp; B921</f>
        <v>https://www.google.com/maps/search/?api=1&amp;query=-30.9002321150548,-5.5537342553153</v>
      </c>
      <c r="G921" s="16" t="str">
        <f t="array" ref="G921">"https://earth.google.com/web/search/" &amp; A921 &amp; "," &amp; B921</f>
        <v>https://earth.google.com/web/search/-30.9002321150548,-5.5537342553153</v>
      </c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ht="26.25" customHeight="1">
      <c r="A922" s="17" t="s">
        <v>1848</v>
      </c>
      <c r="B922" s="18" t="s">
        <v>1849</v>
      </c>
      <c r="C922" s="14">
        <v>1.0</v>
      </c>
      <c r="D922" s="15">
        <v>179.0</v>
      </c>
      <c r="E922" s="15">
        <v>13.0</v>
      </c>
      <c r="F922" s="16" t="str">
        <f t="array" ref="F922">"https://www.google.com/maps/search/?api=1&amp;query=" &amp; A922 &amp; "," &amp; B922</f>
        <v>https://www.google.com/maps/search/?api=1&amp;query=-30.9001868527502,-55.5374231654187</v>
      </c>
      <c r="G922" s="16" t="str">
        <f t="array" ref="G922">"https://earth.google.com/web/search/" &amp; A922 &amp; "," &amp; B922</f>
        <v>https://earth.google.com/web/search/-30.9001868527502,-55.5374231654187</v>
      </c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ht="26.25" customHeight="1">
      <c r="A923" s="17" t="s">
        <v>1850</v>
      </c>
      <c r="B923" s="18" t="s">
        <v>1851</v>
      </c>
      <c r="C923" s="14">
        <v>1.0</v>
      </c>
      <c r="D923" s="15">
        <v>179.0</v>
      </c>
      <c r="E923" s="15">
        <v>14.0</v>
      </c>
      <c r="F923" s="16" t="str">
        <f t="array" ref="F923">"https://www.google.com/maps/search/?api=1&amp;query=" &amp; A923 &amp; "," &amp; B923</f>
        <v>https://www.google.com/maps/search/?api=1&amp;query=-30.9001927612191,-55.5374984572069</v>
      </c>
      <c r="G923" s="16" t="str">
        <f t="array" ref="G923">"https://earth.google.com/web/search/" &amp; A923 &amp; "," &amp; B923</f>
        <v>https://earth.google.com/web/search/-30.9001927612191,-55.5374984572069</v>
      </c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ht="26.25" customHeight="1">
      <c r="A924" s="17" t="s">
        <v>1852</v>
      </c>
      <c r="B924" s="18" t="s">
        <v>1853</v>
      </c>
      <c r="C924" s="14">
        <v>1.0</v>
      </c>
      <c r="D924" s="15">
        <v>179.0</v>
      </c>
      <c r="E924" s="15">
        <v>15.0</v>
      </c>
      <c r="F924" s="16" t="str">
        <f t="array" ref="F924">"https://www.google.com/maps/search/?api=1&amp;query=" &amp; A924 &amp; "," &amp; B924</f>
        <v>https://www.google.com/maps/search/?api=1&amp;query=-30.9002537819603,-5.5537536583957</v>
      </c>
      <c r="G924" s="16" t="str">
        <f t="array" ref="G924">"https://earth.google.com/web/search/" &amp; A924 &amp; "," &amp; B924</f>
        <v>https://earth.google.com/web/search/-30.9002537819603,-5.5537536583957</v>
      </c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ht="26.25" customHeight="1">
      <c r="A925" s="17" t="s">
        <v>1854</v>
      </c>
      <c r="B925" s="18" t="s">
        <v>1855</v>
      </c>
      <c r="C925" s="14">
        <v>1.0</v>
      </c>
      <c r="D925" s="15">
        <v>179.0</v>
      </c>
      <c r="E925" s="15">
        <v>16.0</v>
      </c>
      <c r="F925" s="16" t="str">
        <f t="array" ref="F925">"https://www.google.com/maps/search/?api=1&amp;query=" &amp; A925 &amp; "," &amp; B925</f>
        <v>https://www.google.com/maps/search/?api=1&amp;query=-30.9003828731479,-55.5376650032598</v>
      </c>
      <c r="G925" s="16" t="str">
        <f t="array" ref="G925">"https://earth.google.com/web/search/" &amp; A925 &amp; "," &amp; B925</f>
        <v>https://earth.google.com/web/search/-30.9003828731479,-55.5376650032598</v>
      </c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ht="26.25" customHeight="1">
      <c r="A926" s="17" t="s">
        <v>1856</v>
      </c>
      <c r="B926" s="18" t="s">
        <v>1857</v>
      </c>
      <c r="C926" s="14">
        <v>1.0</v>
      </c>
      <c r="D926" s="15">
        <v>179.0</v>
      </c>
      <c r="E926" s="15">
        <v>17.0</v>
      </c>
      <c r="F926" s="16" t="str">
        <f t="array" ref="F926">"https://www.google.com/maps/search/?api=1&amp;query=" &amp; A926 &amp; "," &amp; B926</f>
        <v>https://www.google.com/maps/search/?api=1&amp;query=-0.0309005556015,-55.5377564895419</v>
      </c>
      <c r="G926" s="16" t="str">
        <f t="array" ref="G926">"https://earth.google.com/web/search/" &amp; A926 &amp; "," &amp; B926</f>
        <v>https://earth.google.com/web/search/-0.0309005556015,-55.5377564895419</v>
      </c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ht="26.25" customHeight="1">
      <c r="A927" s="17" t="s">
        <v>1858</v>
      </c>
      <c r="B927" s="18" t="s">
        <v>1859</v>
      </c>
      <c r="C927" s="14">
        <v>1.0</v>
      </c>
      <c r="D927" s="15">
        <v>179.0</v>
      </c>
      <c r="E927" s="15">
        <v>18.0</v>
      </c>
      <c r="F927" s="16" t="str">
        <f t="array" ref="F927">"https://www.google.com/maps/search/?api=1&amp;query=" &amp; A927 &amp; "," &amp; B927</f>
        <v>https://www.google.com/maps/search/?api=1&amp;query=-30.9006452678358,-55.5378423107615</v>
      </c>
      <c r="G927" s="16" t="str">
        <f t="array" ref="G927">"https://earth.google.com/web/search/" &amp; A927 &amp; "," &amp; B927</f>
        <v>https://earth.google.com/web/search/-30.9006452678358,-55.5378423107615</v>
      </c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 ht="26.25" customHeight="1">
      <c r="A928" s="17" t="s">
        <v>1860</v>
      </c>
      <c r="B928" s="18" t="s">
        <v>1861</v>
      </c>
      <c r="C928" s="14">
        <v>1.0</v>
      </c>
      <c r="D928" s="15">
        <v>179.0</v>
      </c>
      <c r="E928" s="15">
        <v>19.0</v>
      </c>
      <c r="F928" s="16" t="str">
        <f t="array" ref="F928">"https://www.google.com/maps/search/?api=1&amp;query=" &amp; A928 &amp; "," &amp; B928</f>
        <v>https://www.google.com/maps/search/?api=1&amp;query=-30.9007673425454,-55.5379100066576</v>
      </c>
      <c r="G928" s="16" t="str">
        <f t="array" ref="G928">"https://earth.google.com/web/search/" &amp; A928 &amp; "," &amp; B928</f>
        <v>https://earth.google.com/web/search/-30.9007673425454,-55.5379100066576</v>
      </c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ht="26.25" customHeight="1">
      <c r="A929" s="17" t="s">
        <v>1862</v>
      </c>
      <c r="B929" s="18" t="s">
        <v>1863</v>
      </c>
      <c r="C929" s="14">
        <v>1.0</v>
      </c>
      <c r="D929" s="15">
        <v>178.0</v>
      </c>
      <c r="E929" s="15">
        <v>1.0</v>
      </c>
      <c r="F929" s="16" t="str">
        <f t="array" ref="F929">"https://www.google.com/maps/search/?api=1&amp;query=" &amp; A929 &amp; "," &amp; B929</f>
        <v>https://www.google.com/maps/search/?api=1&amp;query=-30.9004758463218,-5.5538762793004</v>
      </c>
      <c r="G929" s="16" t="str">
        <f t="array" ref="G929">"https://earth.google.com/web/search/" &amp; A929 &amp; "," &amp; B929</f>
        <v>https://earth.google.com/web/search/-30.9004758463218,-5.5538762793004</v>
      </c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ht="26.25" customHeight="1">
      <c r="A930" s="17" t="s">
        <v>1864</v>
      </c>
      <c r="B930" s="18" t="s">
        <v>1865</v>
      </c>
      <c r="C930" s="14">
        <v>1.0</v>
      </c>
      <c r="D930" s="15">
        <v>178.0</v>
      </c>
      <c r="E930" s="15">
        <v>2.0</v>
      </c>
      <c r="F930" s="16" t="str">
        <f t="array" ref="F930">"https://www.google.com/maps/search/?api=1&amp;query=" &amp; A930 &amp; "," &amp; B930</f>
        <v>https://www.google.com/maps/search/?api=1&amp;query=-30.9005859163165,-55.5385405943094</v>
      </c>
      <c r="G930" s="16" t="str">
        <f t="array" ref="G930">"https://earth.google.com/web/search/" &amp; A930 &amp; "," &amp; B930</f>
        <v>https://earth.google.com/web/search/-30.9005859163165,-55.5385405943094</v>
      </c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ht="26.25" customHeight="1">
      <c r="A931" s="17" t="s">
        <v>1866</v>
      </c>
      <c r="B931" s="18" t="s">
        <v>1867</v>
      </c>
      <c r="C931" s="14">
        <v>1.0</v>
      </c>
      <c r="D931" s="15">
        <v>178.0</v>
      </c>
      <c r="E931" s="15">
        <v>3.0</v>
      </c>
      <c r="F931" s="16" t="str">
        <f t="array" ref="F931">"https://www.google.com/maps/search/?api=1&amp;query=" &amp; A931 &amp; "," &amp; B931</f>
        <v>https://www.google.com/maps/search/?api=1&amp;query=-3.0900617323037,-55.5384791694661</v>
      </c>
      <c r="G931" s="16" t="str">
        <f t="array" ref="G931">"https://earth.google.com/web/search/" &amp; A931 &amp; "," &amp; B931</f>
        <v>https://earth.google.com/web/search/-3.0900617323037,-55.5384791694661</v>
      </c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 ht="26.25" customHeight="1">
      <c r="A932" s="17" t="s">
        <v>1868</v>
      </c>
      <c r="B932" s="18" t="s">
        <v>1869</v>
      </c>
      <c r="C932" s="14">
        <v>1.0</v>
      </c>
      <c r="D932" s="15">
        <v>178.0</v>
      </c>
      <c r="E932" s="15">
        <v>4.0</v>
      </c>
      <c r="F932" s="16" t="str">
        <f t="array" ref="F932">"https://www.google.com/maps/search/?api=1&amp;query=" &amp; A932 &amp; "," &amp; B932</f>
        <v>https://www.google.com/maps/search/?api=1&amp;query=-30.9007825854524,-55.5381811188563</v>
      </c>
      <c r="G932" s="16" t="str">
        <f t="array" ref="G932">"https://earth.google.com/web/search/" &amp; A932 &amp; "," &amp; B932</f>
        <v>https://earth.google.com/web/search/-30.9007825854524,-55.5381811188563</v>
      </c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ht="26.25" customHeight="1">
      <c r="A933" s="17" t="s">
        <v>1870</v>
      </c>
      <c r="B933" s="18" t="s">
        <v>1871</v>
      </c>
      <c r="C933" s="14">
        <v>1.0</v>
      </c>
      <c r="D933" s="15">
        <v>178.0</v>
      </c>
      <c r="E933" s="15">
        <v>5.0</v>
      </c>
      <c r="F933" s="16" t="str">
        <f t="array" ref="F933">"https://www.google.com/maps/search/?api=1&amp;query=" &amp; A933 &amp; "," &amp; B933</f>
        <v>https://www.google.com/maps/search/?api=1&amp;query=-30.9007562158458,-0.5553802672416</v>
      </c>
      <c r="G933" s="16" t="str">
        <f t="array" ref="G933">"https://earth.google.com/web/search/" &amp; A933 &amp; "," &amp; B933</f>
        <v>https://earth.google.com/web/search/-30.9007562158458,-0.5553802672416</v>
      </c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ht="26.25" customHeight="1">
      <c r="A934" s="17" t="s">
        <v>1872</v>
      </c>
      <c r="B934" s="18" t="s">
        <v>1873</v>
      </c>
      <c r="C934" s="14">
        <v>1.0</v>
      </c>
      <c r="D934" s="15">
        <v>178.0</v>
      </c>
      <c r="E934" s="15">
        <v>6.0</v>
      </c>
      <c r="F934" s="16" t="str">
        <f t="array" ref="F934">"https://www.google.com/maps/search/?api=1&amp;query=" &amp; A934 &amp; "," &amp; B934</f>
        <v>https://www.google.com/maps/search/?api=1&amp;query=-30.9006977520202,-55.5379833917985</v>
      </c>
      <c r="G934" s="16" t="str">
        <f t="array" ref="G934">"https://earth.google.com/web/search/" &amp; A934 &amp; "," &amp; B934</f>
        <v>https://earth.google.com/web/search/-30.9006977520202,-55.5379833917985</v>
      </c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 ht="26.25" customHeight="1">
      <c r="A935" s="17" t="s">
        <v>1874</v>
      </c>
      <c r="B935" s="18" t="s">
        <v>1875</v>
      </c>
      <c r="C935" s="14">
        <v>1.0</v>
      </c>
      <c r="D935" s="15">
        <v>178.0</v>
      </c>
      <c r="E935" s="15">
        <v>7.0</v>
      </c>
      <c r="F935" s="16" t="str">
        <f t="array" ref="F935">"https://www.google.com/maps/search/?api=1&amp;query=" &amp; A935 &amp; "," &amp; B935</f>
        <v>https://www.google.com/maps/search/?api=1&amp;query=-30.9006572770824,-55.5379484395831</v>
      </c>
      <c r="G935" s="16" t="str">
        <f t="array" ref="G935">"https://earth.google.com/web/search/" &amp; A935 &amp; "," &amp; B935</f>
        <v>https://earth.google.com/web/search/-30.9006572770824,-55.5379484395831</v>
      </c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ht="26.25" customHeight="1">
      <c r="A936" s="17" t="s">
        <v>1876</v>
      </c>
      <c r="B936" s="18" t="s">
        <v>1877</v>
      </c>
      <c r="C936" s="14">
        <v>1.0</v>
      </c>
      <c r="D936" s="15">
        <v>178.0</v>
      </c>
      <c r="E936" s="15">
        <v>8.0</v>
      </c>
      <c r="F936" s="16" t="str">
        <f t="array" ref="F936">"https://www.google.com/maps/search/?api=1&amp;query=" &amp; A936 &amp; "," &amp; B936</f>
        <v>https://www.google.com/maps/search/?api=1&amp;query=-30.9005955331456,-55.5379112472073</v>
      </c>
      <c r="G936" s="16" t="str">
        <f t="array" ref="G936">"https://earth.google.com/web/search/" &amp; A936 &amp; "," &amp; B936</f>
        <v>https://earth.google.com/web/search/-30.9005955331456,-55.5379112472073</v>
      </c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ht="26.25" customHeight="1">
      <c r="A937" s="17" t="s">
        <v>1878</v>
      </c>
      <c r="B937" s="18" t="s">
        <v>1879</v>
      </c>
      <c r="C937" s="14">
        <v>1.0</v>
      </c>
      <c r="D937" s="15">
        <v>178.0</v>
      </c>
      <c r="E937" s="15">
        <v>9.0</v>
      </c>
      <c r="F937" s="16" t="str">
        <f t="array" ref="F937">"https://www.google.com/maps/search/?api=1&amp;query=" &amp; A937 &amp; "," &amp; B937</f>
        <v>https://www.google.com/maps/search/?api=1&amp;query=-30.9005277084808,-55.5378610656793</v>
      </c>
      <c r="G937" s="16" t="str">
        <f t="array" ref="G937">"https://earth.google.com/web/search/" &amp; A937 &amp; "," &amp; B937</f>
        <v>https://earth.google.com/web/search/-30.9005277084808,-55.5378610656793</v>
      </c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 ht="26.25" customHeight="1">
      <c r="A938" s="17" t="s">
        <v>1880</v>
      </c>
      <c r="B938" s="18" t="s">
        <v>1881</v>
      </c>
      <c r="C938" s="14">
        <v>1.0</v>
      </c>
      <c r="D938" s="15">
        <v>178.0</v>
      </c>
      <c r="E938" s="15">
        <v>10.0</v>
      </c>
      <c r="F938" s="16" t="str">
        <f t="array" ref="F938">"https://www.google.com/maps/search/?api=1&amp;query=" &amp; A938 &amp; "," &amp; B938</f>
        <v>https://www.google.com/maps/search/?api=1&amp;query=-3.0900442276238,-55.5377995087028</v>
      </c>
      <c r="G938" s="16" t="str">
        <f t="array" ref="G938">"https://earth.google.com/web/search/" &amp; A938 &amp; "," &amp; B938</f>
        <v>https://earth.google.com/web/search/-3.0900442276238,-55.5377995087028</v>
      </c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ht="26.25" customHeight="1">
      <c r="A939" s="17" t="s">
        <v>1882</v>
      </c>
      <c r="B939" s="18" t="s">
        <v>1883</v>
      </c>
      <c r="C939" s="14">
        <v>1.0</v>
      </c>
      <c r="D939" s="15">
        <v>178.0</v>
      </c>
      <c r="E939" s="15">
        <v>11.0</v>
      </c>
      <c r="F939" s="16" t="str">
        <f t="array" ref="F939">"https://www.google.com/maps/search/?api=1&amp;query=" &amp; A939 &amp; "," &amp; B939</f>
        <v>https://www.google.com/maps/search/?api=1&amp;query=-30.9003455097264,-55.5377287227599</v>
      </c>
      <c r="G939" s="16" t="str">
        <f t="array" ref="G939">"https://earth.google.com/web/search/" &amp; A939 &amp; "," &amp; B939</f>
        <v>https://earth.google.com/web/search/-30.9003455097264,-55.5377287227599</v>
      </c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ht="26.25" customHeight="1">
      <c r="A940" s="17" t="s">
        <v>1884</v>
      </c>
      <c r="B940" s="18" t="s">
        <v>1885</v>
      </c>
      <c r="C940" s="14">
        <v>1.0</v>
      </c>
      <c r="D940" s="15">
        <v>178.0</v>
      </c>
      <c r="E940" s="15">
        <v>12.0</v>
      </c>
      <c r="F940" s="16" t="str">
        <f t="array" ref="F940">"https://www.google.com/maps/search/?api=1&amp;query=" &amp; A940 &amp; "," &amp; B940</f>
        <v>https://www.google.com/maps/search/?api=1&amp;query=-30.9001023211415,-55.5376119293821</v>
      </c>
      <c r="G940" s="16" t="str">
        <f t="array" ref="G940">"https://earth.google.com/web/search/" &amp; A940 &amp; "," &amp; B940</f>
        <v>https://earth.google.com/web/search/-30.9001023211415,-55.5376119293821</v>
      </c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ht="26.25" customHeight="1">
      <c r="A941" s="17" t="s">
        <v>1886</v>
      </c>
      <c r="B941" s="18" t="s">
        <v>1887</v>
      </c>
      <c r="C941" s="14">
        <v>1.0</v>
      </c>
      <c r="D941" s="15">
        <v>178.0</v>
      </c>
      <c r="E941" s="15">
        <v>13.0</v>
      </c>
      <c r="F941" s="16" t="str">
        <f t="array" ref="F941">"https://www.google.com/maps/search/?api=1&amp;query=" &amp; A941 &amp; "," &amp; B941</f>
        <v>https://www.google.com/maps/search/?api=1&amp;query=-30.9000169282832,-55.5377873484812</v>
      </c>
      <c r="G941" s="16" t="str">
        <f t="array" ref="G941">"https://earth.google.com/web/search/" &amp; A941 &amp; "," &amp; B941</f>
        <v>https://earth.google.com/web/search/-30.9000169282832,-55.5377873484812</v>
      </c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ht="26.25" customHeight="1">
      <c r="A942" s="17" t="s">
        <v>1888</v>
      </c>
      <c r="B942" s="18" t="s">
        <v>1889</v>
      </c>
      <c r="C942" s="14">
        <v>1.0</v>
      </c>
      <c r="D942" s="15">
        <v>178.0</v>
      </c>
      <c r="E942" s="15">
        <v>14.0</v>
      </c>
      <c r="F942" s="16" t="str">
        <f t="array" ref="F942">"https://www.google.com/maps/search/?api=1&amp;query=" &amp; A942 &amp; "," &amp; B942</f>
        <v>https://www.google.com/maps/search/?api=1&amp;query=-30.8999251335378,-55.5379489329881</v>
      </c>
      <c r="G942" s="16" t="str">
        <f t="array" ref="G942">"https://earth.google.com/web/search/" &amp; A942 &amp; "," &amp; B942</f>
        <v>https://earth.google.com/web/search/-30.8999251335378,-55.5379489329881</v>
      </c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 ht="26.25" customHeight="1">
      <c r="A943" s="17" t="s">
        <v>1890</v>
      </c>
      <c r="B943" s="18" t="s">
        <v>1891</v>
      </c>
      <c r="C943" s="14">
        <v>1.0</v>
      </c>
      <c r="D943" s="15">
        <v>178.0</v>
      </c>
      <c r="E943" s="15">
        <v>15.0</v>
      </c>
      <c r="F943" s="16" t="str">
        <f t="array" ref="F943">"https://www.google.com/maps/search/?api=1&amp;query=" &amp; A943 &amp; "," &amp; B943</f>
        <v>https://www.google.com/maps/search/?api=1&amp;query=-30.8998420621342,-55.5381027416182</v>
      </c>
      <c r="G943" s="16" t="str">
        <f t="array" ref="G943">"https://earth.google.com/web/search/" &amp; A943 &amp; "," &amp; B943</f>
        <v>https://earth.google.com/web/search/-30.8998420621342,-55.5381027416182</v>
      </c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ht="26.25" customHeight="1">
      <c r="A944" s="17" t="s">
        <v>1892</v>
      </c>
      <c r="B944" s="18" t="s">
        <v>1893</v>
      </c>
      <c r="C944" s="14">
        <v>1.0</v>
      </c>
      <c r="D944" s="15">
        <v>178.0</v>
      </c>
      <c r="E944" s="15">
        <v>16.0</v>
      </c>
      <c r="F944" s="16" t="str">
        <f t="array" ref="F944">"https://www.google.com/maps/search/?api=1&amp;query=" &amp; A944 &amp; "," &amp; B944</f>
        <v>https://www.google.com/maps/search/?api=1&amp;query=-30.8997220013523,-55.5383236330599</v>
      </c>
      <c r="G944" s="16" t="str">
        <f t="array" ref="G944">"https://earth.google.com/web/search/" &amp; A944 &amp; "," &amp; B944</f>
        <v>https://earth.google.com/web/search/-30.8997220013523,-55.5383236330599</v>
      </c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 ht="26.25" customHeight="1">
      <c r="A945" s="17" t="s">
        <v>1894</v>
      </c>
      <c r="B945" s="18" t="s">
        <v>1895</v>
      </c>
      <c r="C945" s="14">
        <v>1.0</v>
      </c>
      <c r="D945" s="15">
        <v>178.0</v>
      </c>
      <c r="E945" s="15">
        <v>17.0</v>
      </c>
      <c r="F945" s="16" t="str">
        <f t="array" ref="F945">"https://www.google.com/maps/search/?api=1&amp;query=" &amp; A945 &amp; "," &amp; B945</f>
        <v>https://www.google.com/maps/search/?api=1&amp;query=-30.8998290904766,-55.5384856835822</v>
      </c>
      <c r="G945" s="16" t="str">
        <f t="array" ref="G945">"https://earth.google.com/web/search/" &amp; A945 &amp; "," &amp; B945</f>
        <v>https://earth.google.com/web/search/-30.8998290904766,-55.5384856835822</v>
      </c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 ht="26.25" customHeight="1">
      <c r="A946" s="17" t="s">
        <v>1896</v>
      </c>
      <c r="B946" s="18" t="s">
        <v>1897</v>
      </c>
      <c r="C946" s="14">
        <v>1.0</v>
      </c>
      <c r="D946" s="15">
        <v>178.0</v>
      </c>
      <c r="E946" s="15">
        <v>18.0</v>
      </c>
      <c r="F946" s="16" t="str">
        <f t="array" ref="F946">"https://www.google.com/maps/search/?api=1&amp;query=" &amp; A946 &amp; "," &amp; B946</f>
        <v>https://www.google.com/maps/search/?api=1&amp;query=-30.8998900272877,-55.5385360657719</v>
      </c>
      <c r="G946" s="16" t="str">
        <f t="array" ref="G946">"https://earth.google.com/web/search/" &amp; A946 &amp; "," &amp; B946</f>
        <v>https://earth.google.com/web/search/-30.8998900272877,-55.5385360657719</v>
      </c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ht="26.25" customHeight="1">
      <c r="A947" s="17" t="s">
        <v>1898</v>
      </c>
      <c r="B947" s="18" t="s">
        <v>1899</v>
      </c>
      <c r="C947" s="14">
        <v>1.0</v>
      </c>
      <c r="D947" s="15">
        <v>178.0</v>
      </c>
      <c r="E947" s="15">
        <v>19.0</v>
      </c>
      <c r="F947" s="16" t="str">
        <f t="array" ref="F947">"https://www.google.com/maps/search/?api=1&amp;query=" &amp; A947 &amp; "," &amp; B947</f>
        <v>https://www.google.com/maps/search/?api=1&amp;query=-30.9001343877392,-55.5387103302341</v>
      </c>
      <c r="G947" s="16" t="str">
        <f t="array" ref="G947">"https://earth.google.com/web/search/" &amp; A947 &amp; "," &amp; B947</f>
        <v>https://earth.google.com/web/search/-30.9001343877392,-55.5387103302341</v>
      </c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 ht="26.25" customHeight="1">
      <c r="A948" s="17" t="s">
        <v>1900</v>
      </c>
      <c r="B948" s="18" t="s">
        <v>1901</v>
      </c>
      <c r="C948" s="14">
        <v>1.0</v>
      </c>
      <c r="D948" s="15">
        <v>177.0</v>
      </c>
      <c r="E948" s="15">
        <v>1.0</v>
      </c>
      <c r="F948" s="16" t="str">
        <f t="array" ref="F948">"https://www.google.com/maps/search/?api=1&amp;query=" &amp; A948 &amp; "," &amp; B948</f>
        <v>https://www.google.com/maps/search/?api=1&amp;query=-30.9001525032218,-55.5393652745115</v>
      </c>
      <c r="G948" s="16" t="str">
        <f t="array" ref="G948">"https://earth.google.com/web/search/" &amp; A948 &amp; "," &amp; B948</f>
        <v>https://earth.google.com/web/search/-30.9001525032218,-55.5393652745115</v>
      </c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ht="26.25" customHeight="1">
      <c r="A949" s="17" t="s">
        <v>1902</v>
      </c>
      <c r="B949" s="18" t="s">
        <v>1903</v>
      </c>
      <c r="C949" s="14">
        <v>1.0</v>
      </c>
      <c r="D949" s="15">
        <v>177.0</v>
      </c>
      <c r="E949" s="15">
        <v>2.0</v>
      </c>
      <c r="F949" s="16" t="str">
        <f t="array" ref="F949">"https://www.google.com/maps/search/?api=1&amp;query=" &amp; A949 &amp; "," &amp; B949</f>
        <v>https://www.google.com/maps/search/?api=1&amp;query=-30.9002894677535,-55.5390964914278</v>
      </c>
      <c r="G949" s="16" t="str">
        <f t="array" ref="G949">"https://earth.google.com/web/search/" &amp; A949 &amp; "," &amp; B949</f>
        <v>https://earth.google.com/web/search/-30.9002894677535,-55.5390964914278</v>
      </c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ht="26.25" customHeight="1">
      <c r="A950" s="17" t="s">
        <v>1904</v>
      </c>
      <c r="B950" s="18" t="s">
        <v>1905</v>
      </c>
      <c r="C950" s="14">
        <v>1.0</v>
      </c>
      <c r="D950" s="15">
        <v>177.0</v>
      </c>
      <c r="E950" s="15">
        <v>3.0</v>
      </c>
      <c r="F950" s="16" t="str">
        <f t="array" ref="F950">"https://www.google.com/maps/search/?api=1&amp;query=" &amp; A950 &amp; "," &amp; B950</f>
        <v>https://www.google.com/maps/search/?api=1&amp;query=-30.9001834697374,-55.5388765596125</v>
      </c>
      <c r="G950" s="16" t="str">
        <f t="array" ref="G950">"https://earth.google.com/web/search/" &amp; A950 &amp; "," &amp; B950</f>
        <v>https://earth.google.com/web/search/-30.9001834697374,-55.5388765596125</v>
      </c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ht="26.25" customHeight="1">
      <c r="A951" s="17" t="s">
        <v>1906</v>
      </c>
      <c r="B951" s="18" t="s">
        <v>1907</v>
      </c>
      <c r="C951" s="14">
        <v>1.0</v>
      </c>
      <c r="D951" s="15">
        <v>177.0</v>
      </c>
      <c r="E951" s="15">
        <v>4.0</v>
      </c>
      <c r="F951" s="16" t="str">
        <f t="array" ref="F951">"https://www.google.com/maps/search/?api=1&amp;query=" &amp; A951 &amp; "," &amp; B951</f>
        <v>https://www.google.com/maps/search/?api=1&amp;query=-30.9000775505214,-55.5387884997875</v>
      </c>
      <c r="G951" s="16" t="str">
        <f t="array" ref="G951">"https://earth.google.com/web/search/" &amp; A951 &amp; "," &amp; B951</f>
        <v>https://earth.google.com/web/search/-30.9000775505214,-55.5387884997875</v>
      </c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ht="26.25" customHeight="1">
      <c r="A952" s="17" t="s">
        <v>1908</v>
      </c>
      <c r="B952" s="18" t="s">
        <v>1909</v>
      </c>
      <c r="C952" s="14">
        <v>1.0</v>
      </c>
      <c r="D952" s="15">
        <v>177.0</v>
      </c>
      <c r="E952" s="15">
        <v>5.0</v>
      </c>
      <c r="F952" s="16" t="str">
        <f t="array" ref="F952">"https://www.google.com/maps/search/?api=1&amp;query=" &amp; A952 &amp; "," &amp; B952</f>
        <v>https://www.google.com/maps/search/?api=1&amp;query=-30.8998374180654,-55.5386262358135</v>
      </c>
      <c r="G952" s="16" t="str">
        <f t="array" ref="G952">"https://earth.google.com/web/search/" &amp; A952 &amp; "," &amp; B952</f>
        <v>https://earth.google.com/web/search/-30.8998374180654,-55.5386262358135</v>
      </c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ht="26.25" customHeight="1">
      <c r="A953" s="17" t="s">
        <v>1910</v>
      </c>
      <c r="B953" s="18" t="s">
        <v>1911</v>
      </c>
      <c r="C953" s="14">
        <v>1.0</v>
      </c>
      <c r="D953" s="15">
        <v>177.0</v>
      </c>
      <c r="E953" s="15">
        <v>6.0</v>
      </c>
      <c r="F953" s="16" t="str">
        <f t="array" ref="F953">"https://www.google.com/maps/search/?api=1&amp;query=" &amp; A953 &amp; "," &amp; B953</f>
        <v>https://www.google.com/maps/search/?api=1&amp;query=-30.8997642775274,-55.5385667532391</v>
      </c>
      <c r="G953" s="16" t="str">
        <f t="array" ref="G953">"https://earth.google.com/web/search/" &amp; A953 &amp; "," &amp; B953</f>
        <v>https://earth.google.com/web/search/-30.8997642775274,-55.5385667532391</v>
      </c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ht="26.25" customHeight="1">
      <c r="A954" s="17" t="s">
        <v>1912</v>
      </c>
      <c r="B954" s="18" t="s">
        <v>1913</v>
      </c>
      <c r="C954" s="14">
        <v>1.0</v>
      </c>
      <c r="D954" s="15">
        <v>177.0</v>
      </c>
      <c r="E954" s="15">
        <v>7.0</v>
      </c>
      <c r="F954" s="16" t="str">
        <f t="array" ref="F954">"https://www.google.com/maps/search/?api=1&amp;query=" &amp; A954 &amp; "," &amp; B954</f>
        <v>https://www.google.com/maps/search/?api=1&amp;query=-30.8995105963195,-55.5387440307554</v>
      </c>
      <c r="G954" s="16" t="str">
        <f t="array" ref="G954">"https://earth.google.com/web/search/" &amp; A954 &amp; "," &amp; B954</f>
        <v>https://earth.google.com/web/search/-30.8995105963195,-55.5387440307554</v>
      </c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ht="26.25" customHeight="1">
      <c r="A955" s="17" t="s">
        <v>1914</v>
      </c>
      <c r="B955" s="18" t="s">
        <v>1915</v>
      </c>
      <c r="C955" s="14">
        <v>1.0</v>
      </c>
      <c r="D955" s="15">
        <v>177.0</v>
      </c>
      <c r="E955" s="15">
        <v>8.0</v>
      </c>
      <c r="F955" s="16" t="str">
        <f t="array" ref="F955">"https://www.google.com/maps/search/?api=1&amp;query=" &amp; A955 &amp; "," &amp; B955</f>
        <v>https://www.google.com/maps/search/?api=1&amp;query=-30.8992647726406,-5.5539169601898</v>
      </c>
      <c r="G955" s="16" t="str">
        <f t="array" ref="G955">"https://earth.google.com/web/search/" &amp; A955 &amp; "," &amp; B955</f>
        <v>https://earth.google.com/web/search/-30.8992647726406,-5.5539169601898</v>
      </c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 ht="26.25" customHeight="1">
      <c r="A956" s="17" t="s">
        <v>1916</v>
      </c>
      <c r="B956" s="18" t="s">
        <v>1917</v>
      </c>
      <c r="C956" s="14">
        <v>1.0</v>
      </c>
      <c r="D956" s="15">
        <v>177.0</v>
      </c>
      <c r="E956" s="15">
        <v>9.0</v>
      </c>
      <c r="F956" s="16" t="str">
        <f t="array" ref="F956">"https://www.google.com/maps/search/?api=1&amp;query=" &amp; A956 &amp; "," &amp; B956</f>
        <v>https://www.google.com/maps/search/?api=1&amp;query=-30.8992562033563,-55.5393254681837</v>
      </c>
      <c r="G956" s="16" t="str">
        <f t="array" ref="G956">"https://earth.google.com/web/search/" &amp; A956 &amp; "," &amp; B956</f>
        <v>https://earth.google.com/web/search/-30.8992562033563,-55.5393254681837</v>
      </c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ht="26.25" customHeight="1">
      <c r="A957" s="17" t="s">
        <v>1918</v>
      </c>
      <c r="B957" s="18" t="s">
        <v>1919</v>
      </c>
      <c r="C957" s="14">
        <v>1.0</v>
      </c>
      <c r="D957" s="15">
        <v>177.0</v>
      </c>
      <c r="E957" s="15">
        <v>10.0</v>
      </c>
      <c r="F957" s="16" t="str">
        <f t="array" ref="F957">"https://www.google.com/maps/search/?api=1&amp;query=" &amp; A957 &amp; "," &amp; B957</f>
        <v>https://www.google.com/maps/search/?api=1&amp;query=-30.8995858054087,-55.5395644721655</v>
      </c>
      <c r="G957" s="16" t="str">
        <f t="array" ref="G957">"https://earth.google.com/web/search/" &amp; A957 &amp; "," &amp; B957</f>
        <v>https://earth.google.com/web/search/-30.8995858054087,-55.5395644721655</v>
      </c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ht="26.25" customHeight="1">
      <c r="A958" s="17" t="s">
        <v>1920</v>
      </c>
      <c r="B958" s="18" t="s">
        <v>1921</v>
      </c>
      <c r="C958" s="14">
        <v>1.0</v>
      </c>
      <c r="D958" s="15">
        <v>176.0</v>
      </c>
      <c r="E958" s="15">
        <v>1.0</v>
      </c>
      <c r="F958" s="16" t="str">
        <f t="array" ref="F958">"https://www.google.com/maps/search/?api=1&amp;query=" &amp; A958 &amp; "," &amp; B958</f>
        <v>https://www.google.com/maps/search/?api=1&amp;query=-30.8994687083075,-55.5406272251591</v>
      </c>
      <c r="G958" s="16" t="str">
        <f t="array" ref="G958">"https://earth.google.com/web/search/" &amp; A958 &amp; "," &amp; B958</f>
        <v>https://earth.google.com/web/search/-30.8994687083075,-55.5406272251591</v>
      </c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ht="26.25" customHeight="1">
      <c r="A959" s="17" t="s">
        <v>1922</v>
      </c>
      <c r="B959" s="18" t="s">
        <v>1923</v>
      </c>
      <c r="C959" s="14">
        <v>1.0</v>
      </c>
      <c r="D959" s="15">
        <v>176.0</v>
      </c>
      <c r="E959" s="15">
        <v>2.0</v>
      </c>
      <c r="F959" s="16" t="str">
        <f t="array" ref="F959">"https://www.google.com/maps/search/?api=1&amp;query=" &amp; A959 &amp; "," &amp; B959</f>
        <v>https://www.google.com/maps/search/?api=1&amp;query=-30.8993224358535,-55.5395477368057</v>
      </c>
      <c r="G959" s="16" t="str">
        <f t="array" ref="G959">"https://earth.google.com/web/search/" &amp; A959 &amp; "," &amp; B959</f>
        <v>https://earth.google.com/web/search/-30.8993224358535,-55.5395477368057</v>
      </c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ht="26.25" customHeight="1">
      <c r="A960" s="17" t="s">
        <v>1924</v>
      </c>
      <c r="B960" s="18" t="s">
        <v>1925</v>
      </c>
      <c r="C960" s="14">
        <v>1.0</v>
      </c>
      <c r="D960" s="15">
        <v>176.0</v>
      </c>
      <c r="E960" s="15">
        <v>3.0</v>
      </c>
      <c r="F960" s="16" t="str">
        <f t="array" ref="F960">"https://www.google.com/maps/search/?api=1&amp;query=" &amp; A960 &amp; "," &amp; B960</f>
        <v>https://www.google.com/maps/search/?api=1&amp;query=-30.8989160195171,-55.5398399834184</v>
      </c>
      <c r="G960" s="16" t="str">
        <f t="array" ref="G960">"https://earth.google.com/web/search/" &amp; A960 &amp; "," &amp; B960</f>
        <v>https://earth.google.com/web/search/-30.8989160195171,-55.5398399834184</v>
      </c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ht="26.25" customHeight="1">
      <c r="A961" s="17" t="s">
        <v>1926</v>
      </c>
      <c r="B961" s="18" t="s">
        <v>1927</v>
      </c>
      <c r="C961" s="14">
        <v>1.0</v>
      </c>
      <c r="D961" s="15">
        <v>176.0</v>
      </c>
      <c r="E961" s="15">
        <v>4.0</v>
      </c>
      <c r="F961" s="16" t="str">
        <f t="array" ref="F961">"https://www.google.com/maps/search/?api=1&amp;query=" &amp; A961 &amp; "," &amp; B961</f>
        <v>https://www.google.com/maps/search/?api=1&amp;query=-30.8987652368054,-55.5401106629414</v>
      </c>
      <c r="G961" s="16" t="str">
        <f t="array" ref="G961">"https://earth.google.com/web/search/" &amp; A961 &amp; "," &amp; B961</f>
        <v>https://earth.google.com/web/search/-30.8987652368054,-55.5401106629414</v>
      </c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ht="26.25" customHeight="1">
      <c r="A962" s="17" t="s">
        <v>1928</v>
      </c>
      <c r="B962" s="18" t="s">
        <v>1929</v>
      </c>
      <c r="C962" s="14">
        <v>1.0</v>
      </c>
      <c r="D962" s="15">
        <v>176.0</v>
      </c>
      <c r="E962" s="15">
        <v>5.0</v>
      </c>
      <c r="F962" s="16" t="str">
        <f t="array" ref="F962">"https://www.google.com/maps/search/?api=1&amp;query=" &amp; A962 &amp; "," &amp; B962</f>
        <v>https://www.google.com/maps/search/?api=1&amp;query=-30.8991723118289,-55.5405712893108</v>
      </c>
      <c r="G962" s="16" t="str">
        <f t="array" ref="G962">"https://earth.google.com/web/search/" &amp; A962 &amp; "," &amp; B962</f>
        <v>https://earth.google.com/web/search/-30.8991723118289,-55.5405712893108</v>
      </c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ht="26.25" customHeight="1">
      <c r="A963" s="17" t="s">
        <v>1930</v>
      </c>
      <c r="B963" s="18" t="s">
        <v>1931</v>
      </c>
      <c r="C963" s="14">
        <v>1.0</v>
      </c>
      <c r="D963" s="15">
        <v>175.0</v>
      </c>
      <c r="E963" s="15">
        <v>1.0</v>
      </c>
      <c r="F963" s="16" t="str">
        <f t="array" ref="F963">"https://www.google.com/maps/search/?api=1&amp;query=" &amp; A963 &amp; "," &amp; B963</f>
        <v>https://www.google.com/maps/search/?api=1&amp;query=-30.8989800127958,-55.5415821211935</v>
      </c>
      <c r="G963" s="16" t="str">
        <f t="array" ref="G963">"https://earth.google.com/web/search/" &amp; A963 &amp; "," &amp; B963</f>
        <v>https://earth.google.com/web/search/-30.8989800127958,-55.5415821211935</v>
      </c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 ht="26.25" customHeight="1">
      <c r="A964" s="17" t="s">
        <v>1932</v>
      </c>
      <c r="B964" s="18" t="s">
        <v>1933</v>
      </c>
      <c r="C964" s="14">
        <v>1.0</v>
      </c>
      <c r="D964" s="15">
        <v>175.0</v>
      </c>
      <c r="E964" s="15">
        <v>2.0</v>
      </c>
      <c r="F964" s="16" t="str">
        <f t="array" ref="F964">"https://www.google.com/maps/search/?api=1&amp;query=" &amp; A964 &amp; "," &amp; B964</f>
        <v>https://www.google.com/maps/search/?api=1&amp;query=-30.8991211148638,-55.5412836418502</v>
      </c>
      <c r="G964" s="16" t="str">
        <f t="array" ref="G964">"https://earth.google.com/web/search/" &amp; A964 &amp; "," &amp; B964</f>
        <v>https://earth.google.com/web/search/-30.8991211148638,-55.5412836418502</v>
      </c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ht="26.25" customHeight="1">
      <c r="A965" s="17" t="s">
        <v>1934</v>
      </c>
      <c r="B965" s="18" t="s">
        <v>1935</v>
      </c>
      <c r="C965" s="14">
        <v>1.0</v>
      </c>
      <c r="D965" s="15">
        <v>175.0</v>
      </c>
      <c r="E965" s="15">
        <v>3.0</v>
      </c>
      <c r="F965" s="16" t="str">
        <f t="array" ref="F965">"https://www.google.com/maps/search/?api=1&amp;query=" &amp; A965 &amp; "," &amp; B965</f>
        <v>https://www.google.com/maps/search/?api=1&amp;query=-3.0899184718355,-55.5411783641668</v>
      </c>
      <c r="G965" s="16" t="str">
        <f t="array" ref="G965">"https://earth.google.com/web/search/" &amp; A965 &amp; "," &amp; B965</f>
        <v>https://earth.google.com/web/search/-3.0899184718355,-55.5411783641668</v>
      </c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 ht="26.25" customHeight="1">
      <c r="A966" s="17" t="s">
        <v>1936</v>
      </c>
      <c r="B966" s="18" t="s">
        <v>1937</v>
      </c>
      <c r="C966" s="14">
        <v>1.0</v>
      </c>
      <c r="D966" s="15">
        <v>175.0</v>
      </c>
      <c r="E966" s="15">
        <v>3.0</v>
      </c>
      <c r="F966" s="16" t="str">
        <f t="array" ref="F966">"https://www.google.com/maps/search/?api=1&amp;query=" &amp; A966 &amp; "," &amp; B966</f>
        <v>https://www.google.com/maps/search/?api=1&amp;query=-30.8992947044136,-55.5409709121789</v>
      </c>
      <c r="G966" s="16" t="str">
        <f t="array" ref="G966">"https://earth.google.com/web/search/" &amp; A966 &amp; "," &amp; B966</f>
        <v>https://earth.google.com/web/search/-30.8992947044136,-55.5409709121789</v>
      </c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 ht="26.25" customHeight="1">
      <c r="A967" s="17" t="s">
        <v>1938</v>
      </c>
      <c r="B967" s="18" t="s">
        <v>1939</v>
      </c>
      <c r="C967" s="14">
        <v>1.0</v>
      </c>
      <c r="D967" s="15">
        <v>175.0</v>
      </c>
      <c r="E967" s="15">
        <v>4.0</v>
      </c>
      <c r="F967" s="16" t="str">
        <f t="array" ref="F967">"https://www.google.com/maps/search/?api=1&amp;query=" &amp; A967 &amp; "," &amp; B967</f>
        <v>https://www.google.com/maps/search/?api=1&amp;query=-30.8992879907925,-55.5407662905886</v>
      </c>
      <c r="G967" s="16" t="str">
        <f t="array" ref="G967">"https://earth.google.com/web/search/" &amp; A967 &amp; "," &amp; B967</f>
        <v>https://earth.google.com/web/search/-30.8992879907925,-55.5407662905886</v>
      </c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ht="26.25" customHeight="1">
      <c r="A968" s="17" t="s">
        <v>1940</v>
      </c>
      <c r="B968" s="18" t="s">
        <v>1941</v>
      </c>
      <c r="C968" s="14">
        <v>1.0</v>
      </c>
      <c r="D968" s="15">
        <v>175.0</v>
      </c>
      <c r="E968" s="15">
        <v>5.0</v>
      </c>
      <c r="F968" s="16" t="str">
        <f t="array" ref="F968">"https://www.google.com/maps/search/?api=1&amp;query=" &amp; A968 &amp; "," &amp; B968</f>
        <v>https://www.google.com/maps/search/?api=1&amp;query=-30.8992022615502,-55.5407199892122</v>
      </c>
      <c r="G968" s="16" t="str">
        <f t="array" ref="G968">"https://earth.google.com/web/search/" &amp; A968 &amp; "," &amp; B968</f>
        <v>https://earth.google.com/web/search/-30.8992022615502,-55.5407199892122</v>
      </c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 ht="26.25" customHeight="1">
      <c r="A969" s="17" t="s">
        <v>1942</v>
      </c>
      <c r="B969" s="18" t="s">
        <v>1943</v>
      </c>
      <c r="C969" s="14">
        <v>1.0</v>
      </c>
      <c r="D969" s="15">
        <v>175.0</v>
      </c>
      <c r="E969" s="15">
        <v>6.0</v>
      </c>
      <c r="F969" s="16" t="str">
        <f t="array" ref="F969">"https://www.google.com/maps/search/?api=1&amp;query=" &amp; A969 &amp; "," &amp; B969</f>
        <v>https://www.google.com/maps/search/?api=1&amp;query=-30.8990398746707,-55.5406070945383</v>
      </c>
      <c r="G969" s="16" t="str">
        <f t="array" ref="G969">"https://earth.google.com/web/search/" &amp; A969 &amp; "," &amp; B969</f>
        <v>https://earth.google.com/web/search/-30.8990398746707,-55.5406070945383</v>
      </c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ht="26.25" customHeight="1">
      <c r="A970" s="17" t="s">
        <v>1944</v>
      </c>
      <c r="B970" s="18" t="s">
        <v>1945</v>
      </c>
      <c r="C970" s="14">
        <v>1.0</v>
      </c>
      <c r="D970" s="15">
        <v>175.0</v>
      </c>
      <c r="E970" s="15">
        <v>7.0</v>
      </c>
      <c r="F970" s="16" t="str">
        <f t="array" ref="F970">"https://www.google.com/maps/search/?api=1&amp;query=" &amp; A970 &amp; "," &amp; B970</f>
        <v>https://www.google.com/maps/search/?api=1&amp;query=-30.8983712514167,-55.5408726624898</v>
      </c>
      <c r="G970" s="16" t="str">
        <f t="array" ref="G970">"https://earth.google.com/web/search/" &amp; A970 &amp; "," &amp; B970</f>
        <v>https://earth.google.com/web/search/-30.8983712514167,-55.5408726624898</v>
      </c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 ht="26.25" customHeight="1">
      <c r="A971" s="17" t="s">
        <v>1946</v>
      </c>
      <c r="B971" s="18" t="s">
        <v>1947</v>
      </c>
      <c r="C971" s="14">
        <v>1.0</v>
      </c>
      <c r="D971" s="15">
        <v>175.0</v>
      </c>
      <c r="E971" s="15">
        <v>8.0</v>
      </c>
      <c r="F971" s="16" t="str">
        <f t="array" ref="F971">"https://www.google.com/maps/search/?api=1&amp;query=" &amp; A971 &amp; "," &amp; B971</f>
        <v>https://www.google.com/maps/search/?api=1&amp;query=-30.8983380365911,-55.5409390658516</v>
      </c>
      <c r="G971" s="16" t="str">
        <f t="array" ref="G971">"https://earth.google.com/web/search/" &amp; A971 &amp; "," &amp; B971</f>
        <v>https://earth.google.com/web/search/-30.8983380365911,-55.5409390658516</v>
      </c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 ht="26.25" customHeight="1">
      <c r="A972" s="17" t="s">
        <v>1948</v>
      </c>
      <c r="B972" s="18" t="s">
        <v>1949</v>
      </c>
      <c r="C972" s="14">
        <v>1.0</v>
      </c>
      <c r="D972" s="15">
        <v>175.0</v>
      </c>
      <c r="E972" s="15">
        <v>9.0</v>
      </c>
      <c r="F972" s="16" t="str">
        <f t="array" ref="F972">"https://www.google.com/maps/search/?api=1&amp;query=" &amp; A972 &amp; "," &amp; B972</f>
        <v>https://www.google.com/maps/search/?api=1&amp;query=-30.8982592957036,-55.5410928272012</v>
      </c>
      <c r="G972" s="16" t="str">
        <f t="array" ref="G972">"https://earth.google.com/web/search/" &amp; A972 &amp; "," &amp; B972</f>
        <v>https://earth.google.com/web/search/-30.8982592957036,-55.5410928272012</v>
      </c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 ht="26.25" customHeight="1">
      <c r="A973" s="17" t="s">
        <v>1950</v>
      </c>
      <c r="B973" s="18" t="s">
        <v>1951</v>
      </c>
      <c r="C973" s="14">
        <v>1.0</v>
      </c>
      <c r="D973" s="15">
        <v>175.0</v>
      </c>
      <c r="E973" s="15">
        <v>10.0</v>
      </c>
      <c r="F973" s="16" t="str">
        <f t="array" ref="F973">"https://www.google.com/maps/search/?api=1&amp;query=" &amp; A973 &amp; "," &amp; B973</f>
        <v>https://www.google.com/maps/search/?api=1&amp;query=-30.8982841984857,-55.5412047278847</v>
      </c>
      <c r="G973" s="16" t="str">
        <f t="array" ref="G973">"https://earth.google.com/web/search/" &amp; A973 &amp; "," &amp; B973</f>
        <v>https://earth.google.com/web/search/-30.8982841984857,-55.5412047278847</v>
      </c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 ht="26.25" customHeight="1">
      <c r="A974" s="17" t="s">
        <v>1952</v>
      </c>
      <c r="B974" s="18" t="s">
        <v>1953</v>
      </c>
      <c r="C974" s="14">
        <v>1.0</v>
      </c>
      <c r="D974" s="15">
        <v>175.0</v>
      </c>
      <c r="E974" s="15">
        <v>11.0</v>
      </c>
      <c r="F974" s="16" t="str">
        <f t="array" ref="F974">"https://www.google.com/maps/search/?api=1&amp;query=" &amp; A974 &amp; "," &amp; B974</f>
        <v>https://www.google.com/maps/search/?api=1&amp;query=-30.8985013959956,-55.5413523935319</v>
      </c>
      <c r="G974" s="16" t="str">
        <f t="array" ref="G974">"https://earth.google.com/web/search/" &amp; A974 &amp; "," &amp; B974</f>
        <v>https://earth.google.com/web/search/-30.8985013959956,-55.5413523935319</v>
      </c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ht="26.25" customHeight="1">
      <c r="A975" s="17" t="s">
        <v>1954</v>
      </c>
      <c r="B975" s="18" t="s">
        <v>1955</v>
      </c>
      <c r="C975" s="14">
        <v>1.0</v>
      </c>
      <c r="D975" s="15">
        <v>175.0</v>
      </c>
      <c r="E975" s="15">
        <v>12.0</v>
      </c>
      <c r="F975" s="16" t="str">
        <f t="array" ref="F975">"https://www.google.com/maps/search/?api=1&amp;query=" &amp; A975 &amp; "," &amp; B975</f>
        <v>https://www.google.com/maps/search/?api=1&amp;query=-30.8987722272045,-55.5415441848993</v>
      </c>
      <c r="G975" s="16" t="str">
        <f t="array" ref="G975">"https://earth.google.com/web/search/" &amp; A975 &amp; "," &amp; B975</f>
        <v>https://earth.google.com/web/search/-30.8987722272045,-55.5415441848993</v>
      </c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 ht="26.25" customHeight="1">
      <c r="A976" s="17" t="s">
        <v>1956</v>
      </c>
      <c r="B976" s="18" t="s">
        <v>1957</v>
      </c>
      <c r="C976" s="14">
        <v>1.0</v>
      </c>
      <c r="D976" s="15">
        <v>175.0</v>
      </c>
      <c r="E976" s="15">
        <v>13.0</v>
      </c>
      <c r="F976" s="16" t="str">
        <f t="array" ref="F976">"https://www.google.com/maps/search/?api=1&amp;query=" &amp; A976 &amp; "," &amp; B976</f>
        <v>https://www.google.com/maps/search/?api=1&amp;query=-30.8988417828387,-55.5415912209923</v>
      </c>
      <c r="G976" s="16" t="str">
        <f t="array" ref="G976">"https://earth.google.com/web/search/" &amp; A976 &amp; "," &amp; B976</f>
        <v>https://earth.google.com/web/search/-30.8988417828387,-55.5415912209923</v>
      </c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 ht="26.25" customHeight="1">
      <c r="A977" s="17" t="s">
        <v>1958</v>
      </c>
      <c r="B977" s="18" t="s">
        <v>1959</v>
      </c>
      <c r="C977" s="14">
        <v>1.0</v>
      </c>
      <c r="D977" s="15">
        <v>174.0</v>
      </c>
      <c r="E977" s="15">
        <v>1.0</v>
      </c>
      <c r="F977" s="16" t="str">
        <f t="array" ref="F977">"https://www.google.com/maps/search/?api=1&amp;query=" &amp; A977 &amp; "," &amp; B977</f>
        <v>https://www.google.com/maps/search/?api=1&amp;query=-30.8978705455035,-55.5421608286773</v>
      </c>
      <c r="G977" s="16" t="str">
        <f t="array" ref="G977">"https://earth.google.com/web/search/" &amp; A977 &amp; "," &amp; B977</f>
        <v>https://earth.google.com/web/search/-30.8978705455035,-55.5421608286773</v>
      </c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 ht="26.25" customHeight="1">
      <c r="A978" s="17" t="s">
        <v>1960</v>
      </c>
      <c r="B978" s="18" t="s">
        <v>1961</v>
      </c>
      <c r="C978" s="14">
        <v>1.0</v>
      </c>
      <c r="D978" s="15">
        <v>174.0</v>
      </c>
      <c r="E978" s="15">
        <v>2.0</v>
      </c>
      <c r="F978" s="16" t="str">
        <f t="array" ref="F978">"https://www.google.com/maps/search/?api=1&amp;query=" &amp; A978 &amp; "," &amp; B978</f>
        <v>https://www.google.com/maps/search/?api=1&amp;query=-30.8981726086042,-55.5423702417183</v>
      </c>
      <c r="G978" s="16" t="str">
        <f t="array" ref="G978">"https://earth.google.com/web/search/" &amp; A978 &amp; "," &amp; B978</f>
        <v>https://earth.google.com/web/search/-30.8981726086042,-55.5423702417183</v>
      </c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 ht="26.25" customHeight="1">
      <c r="A979" s="17" t="s">
        <v>1962</v>
      </c>
      <c r="B979" s="18" t="s">
        <v>1963</v>
      </c>
      <c r="C979" s="14">
        <v>1.0</v>
      </c>
      <c r="D979" s="15">
        <v>174.0</v>
      </c>
      <c r="E979" s="15">
        <v>3.0</v>
      </c>
      <c r="F979" s="16" t="str">
        <f t="array" ref="F979">"https://www.google.com/maps/search/?api=1&amp;query=" &amp; A979 &amp; "," &amp; B979</f>
        <v>https://www.google.com/maps/search/?api=1&amp;query=-30.8982548012276,-55.5424155347397</v>
      </c>
      <c r="G979" s="16" t="str">
        <f t="array" ref="G979">"https://earth.google.com/web/search/" &amp; A979 &amp; "," &amp; B979</f>
        <v>https://earth.google.com/web/search/-30.8982548012276,-55.5424155347397</v>
      </c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 ht="26.25" customHeight="1">
      <c r="A980" s="17" t="s">
        <v>1964</v>
      </c>
      <c r="B980" s="18" t="s">
        <v>1965</v>
      </c>
      <c r="C980" s="14">
        <v>1.0</v>
      </c>
      <c r="D980" s="15">
        <v>174.0</v>
      </c>
      <c r="E980" s="15">
        <v>4.0</v>
      </c>
      <c r="F980" s="16" t="str">
        <f t="array" ref="F980">"https://www.google.com/maps/search/?api=1&amp;query=" &amp; A980 &amp; "," &amp; B980</f>
        <v>https://www.google.com/maps/search/?api=1&amp;query=-30.8984710249479,-55.5425166848929</v>
      </c>
      <c r="G980" s="16" t="str">
        <f t="array" ref="G980">"https://earth.google.com/web/search/" &amp; A980 &amp; "," &amp; B980</f>
        <v>https://earth.google.com/web/search/-30.8984710249479,-55.5425166848929</v>
      </c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 ht="26.25" customHeight="1">
      <c r="A981" s="17" t="s">
        <v>1966</v>
      </c>
      <c r="B981" s="18" t="s">
        <v>1967</v>
      </c>
      <c r="C981" s="14">
        <v>1.0</v>
      </c>
      <c r="D981" s="15">
        <v>174.0</v>
      </c>
      <c r="E981" s="15">
        <v>5.0</v>
      </c>
      <c r="F981" s="16" t="str">
        <f t="array" ref="F981">"https://www.google.com/maps/search/?api=1&amp;query=" &amp; A981 &amp; "," &amp; B981</f>
        <v>https://www.google.com/maps/search/?api=1&amp;query=-30.8984955283851,-55.5424455910643</v>
      </c>
      <c r="G981" s="16" t="str">
        <f t="array" ref="G981">"https://earth.google.com/web/search/" &amp; A981 &amp; "," &amp; B981</f>
        <v>https://earth.google.com/web/search/-30.8984955283851,-55.5424455910643</v>
      </c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 ht="26.25" customHeight="1">
      <c r="A982" s="17" t="s">
        <v>1968</v>
      </c>
      <c r="B982" s="18" t="s">
        <v>1969</v>
      </c>
      <c r="C982" s="14">
        <v>1.0</v>
      </c>
      <c r="D982" s="15">
        <v>174.0</v>
      </c>
      <c r="E982" s="15">
        <v>6.0</v>
      </c>
      <c r="F982" s="16" t="str">
        <f t="array" ref="F982">"https://www.google.com/maps/search/?api=1&amp;query=" &amp; A982 &amp; "," &amp; B982</f>
        <v>https://www.google.com/maps/search/?api=1&amp;query=-30.8985469111315,-55.5423976349703</v>
      </c>
      <c r="G982" s="16" t="str">
        <f t="array" ref="G982">"https://earth.google.com/web/search/" &amp; A982 &amp; "," &amp; B982</f>
        <v>https://earth.google.com/web/search/-30.8985469111315,-55.5423976349703</v>
      </c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 ht="26.25" customHeight="1">
      <c r="A983" s="17" t="s">
        <v>1970</v>
      </c>
      <c r="B983" s="18" t="s">
        <v>1971</v>
      </c>
      <c r="C983" s="14">
        <v>1.0</v>
      </c>
      <c r="D983" s="15">
        <v>174.0</v>
      </c>
      <c r="E983" s="15">
        <v>7.0</v>
      </c>
      <c r="F983" s="16" t="str">
        <f t="array" ref="F983">"https://www.google.com/maps/search/?api=1&amp;query=" &amp; A983 &amp; "," &amp; B983</f>
        <v>https://www.google.com/maps/search/?api=1&amp;query=-30.8985904581126,-55.5422823215695</v>
      </c>
      <c r="G983" s="16" t="str">
        <f t="array" ref="G983">"https://earth.google.com/web/search/" &amp; A983 &amp; "," &amp; B983</f>
        <v>https://earth.google.com/web/search/-30.8985904581126,-55.5422823215695</v>
      </c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 ht="26.25" customHeight="1">
      <c r="A984" s="17" t="s">
        <v>1972</v>
      </c>
      <c r="B984" s="18" t="s">
        <v>1973</v>
      </c>
      <c r="C984" s="14">
        <v>1.0</v>
      </c>
      <c r="D984" s="15">
        <v>174.0</v>
      </c>
      <c r="E984" s="15">
        <v>8.0</v>
      </c>
      <c r="F984" s="16" t="str">
        <f t="array" ref="F984">"https://www.google.com/maps/search/?api=1&amp;query=" &amp; A984 &amp; "," &amp; B984</f>
        <v>https://www.google.com/maps/search/?api=1&amp;query=-30.8986369391589,-55.5421984870431</v>
      </c>
      <c r="G984" s="16" t="str">
        <f t="array" ref="G984">"https://earth.google.com/web/search/" &amp; A984 &amp; "," &amp; B984</f>
        <v>https://earth.google.com/web/search/-30.8986369391589,-55.5421984870431</v>
      </c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ht="26.25" customHeight="1">
      <c r="A985" s="17" t="s">
        <v>1974</v>
      </c>
      <c r="B985" s="18" t="s">
        <v>1975</v>
      </c>
      <c r="C985" s="14">
        <v>1.0</v>
      </c>
      <c r="D985" s="15">
        <v>174.0</v>
      </c>
      <c r="E985" s="15">
        <v>9.0</v>
      </c>
      <c r="F985" s="16" t="str">
        <f t="array" ref="F985">"https://www.google.com/maps/search/?api=1&amp;query=" &amp; A985 &amp; "," &amp; B985</f>
        <v>https://www.google.com/maps/search/?api=1&amp;query=-30.8987859025406,-55.5419173595468</v>
      </c>
      <c r="G985" s="16" t="str">
        <f t="array" ref="G985">"https://earth.google.com/web/search/" &amp; A985 &amp; "," &amp; B985</f>
        <v>https://earth.google.com/web/search/-30.8987859025406,-55.5419173595468</v>
      </c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 ht="26.25" customHeight="1">
      <c r="A986" s="17" t="s">
        <v>1976</v>
      </c>
      <c r="B986" s="18" t="s">
        <v>1977</v>
      </c>
      <c r="C986" s="14">
        <v>1.0</v>
      </c>
      <c r="D986" s="15">
        <v>174.0</v>
      </c>
      <c r="E986" s="15">
        <v>10.0</v>
      </c>
      <c r="F986" s="16" t="str">
        <f t="array" ref="F986">"https://www.google.com/maps/search/?api=1&amp;query=" &amp; A986 &amp; "," &amp; B986</f>
        <v>https://www.google.com/maps/search/?api=1&amp;query=-30.8988174182227,-55.5418609325364</v>
      </c>
      <c r="G986" s="16" t="str">
        <f t="array" ref="G986">"https://earth.google.com/web/search/" &amp; A986 &amp; "," &amp; B986</f>
        <v>https://earth.google.com/web/search/-30.8988174182227,-55.5418609325364</v>
      </c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 ht="26.25" customHeight="1">
      <c r="A987" s="17" t="s">
        <v>1978</v>
      </c>
      <c r="B987" s="18" t="s">
        <v>1979</v>
      </c>
      <c r="C987" s="14">
        <v>1.0</v>
      </c>
      <c r="D987" s="15">
        <v>174.0</v>
      </c>
      <c r="E987" s="15">
        <v>11.0</v>
      </c>
      <c r="F987" s="16" t="str">
        <f t="array" ref="F987">"https://www.google.com/maps/search/?api=1&amp;query=" &amp; A987 &amp; "," &amp; B987</f>
        <v>https://www.google.com/maps/search/?api=1&amp;query=-30.8988591655099,-55.5417858677233</v>
      </c>
      <c r="G987" s="16" t="str">
        <f t="array" ref="G987">"https://earth.google.com/web/search/" &amp; A987 &amp; "," &amp; B987</f>
        <v>https://earth.google.com/web/search/-30.8988591655099,-55.5417858677233</v>
      </c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 ht="26.25" customHeight="1">
      <c r="A988" s="17" t="s">
        <v>1980</v>
      </c>
      <c r="B988" s="18" t="s">
        <v>1981</v>
      </c>
      <c r="C988" s="14">
        <v>1.0</v>
      </c>
      <c r="D988" s="15">
        <v>174.0</v>
      </c>
      <c r="E988" s="15">
        <v>12.0</v>
      </c>
      <c r="F988" s="16" t="str">
        <f t="array" ref="F988">"https://www.google.com/maps/search/?api=1&amp;query=" &amp; A988 &amp; "," &amp; B988</f>
        <v>https://www.google.com/maps/search/?api=1&amp;query=-30.8984402163921,-55.5414314085893</v>
      </c>
      <c r="G988" s="16" t="str">
        <f t="array" ref="G988">"https://earth.google.com/web/search/" &amp; A988 &amp; "," &amp; B988</f>
        <v>https://earth.google.com/web/search/-30.8984402163921,-55.5414314085893</v>
      </c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 ht="26.25" customHeight="1">
      <c r="A989" s="17" t="s">
        <v>1982</v>
      </c>
      <c r="B989" s="18" t="s">
        <v>1983</v>
      </c>
      <c r="C989" s="14">
        <v>1.0</v>
      </c>
      <c r="D989" s="15">
        <v>174.0</v>
      </c>
      <c r="E989" s="15">
        <v>13.0</v>
      </c>
      <c r="F989" s="16" t="str">
        <f t="array" ref="F989">"https://www.google.com/maps/search/?api=1&amp;query=" &amp; A989 &amp; "," &amp; B989</f>
        <v>https://www.google.com/maps/search/?api=1&amp;query=-30.8983097532202,-55.5413330252179</v>
      </c>
      <c r="G989" s="16" t="str">
        <f t="array" ref="G989">"https://earth.google.com/web/search/" &amp; A989 &amp; "," &amp; B989</f>
        <v>https://earth.google.com/web/search/-30.8983097532202,-55.5413330252179</v>
      </c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 ht="26.25" customHeight="1">
      <c r="A990" s="17" t="s">
        <v>1984</v>
      </c>
      <c r="B990" s="18" t="s">
        <v>1985</v>
      </c>
      <c r="C990" s="14">
        <v>1.0</v>
      </c>
      <c r="D990" s="15">
        <v>174.0</v>
      </c>
      <c r="E990" s="15">
        <v>14.0</v>
      </c>
      <c r="F990" s="16" t="str">
        <f t="array" ref="F990">"https://www.google.com/maps/search/?api=1&amp;query=" &amp; A990 &amp; "," &amp; B990</f>
        <v>https://www.google.com/maps/search/?api=1&amp;query=-30.8981107392081,-55.5413705181441</v>
      </c>
      <c r="G990" s="16" t="str">
        <f t="array" ref="G990">"https://earth.google.com/web/search/" &amp; A990 &amp; "," &amp; B990</f>
        <v>https://earth.google.com/web/search/-30.8981107392081,-55.5413705181441</v>
      </c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 ht="26.25" customHeight="1">
      <c r="A991" s="17" t="s">
        <v>1986</v>
      </c>
      <c r="B991" s="18" t="s">
        <v>1987</v>
      </c>
      <c r="C991" s="14">
        <v>1.0</v>
      </c>
      <c r="D991" s="15">
        <v>174.0</v>
      </c>
      <c r="E991" s="15">
        <v>15.0</v>
      </c>
      <c r="F991" s="16" t="str">
        <f t="array" ref="F991">"https://www.google.com/maps/search/?api=1&amp;query=" &amp; A991 &amp; "," &amp; B991</f>
        <v>https://www.google.com/maps/search/?api=1&amp;query=-30.8980695284718,-55.5414437253582</v>
      </c>
      <c r="G991" s="16" t="str">
        <f t="array" ref="G991">"https://earth.google.com/web/search/" &amp; A991 &amp; "," &amp; B991</f>
        <v>https://earth.google.com/web/search/-30.8980695284718,-55.5414437253582</v>
      </c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 ht="26.25" customHeight="1">
      <c r="A992" s="17" t="s">
        <v>1988</v>
      </c>
      <c r="B992" s="18" t="s">
        <v>1989</v>
      </c>
      <c r="C992" s="14">
        <v>1.0</v>
      </c>
      <c r="D992" s="15">
        <v>174.0</v>
      </c>
      <c r="E992" s="15">
        <v>16.0</v>
      </c>
      <c r="F992" s="16" t="str">
        <f t="array" ref="F992">"https://www.google.com/maps/search/?api=1&amp;query=" &amp; A992 &amp; "," &amp; B992</f>
        <v>https://www.google.com/maps/search/?api=1&amp;query=-30.8979630628458,-55.5416409333335</v>
      </c>
      <c r="G992" s="16" t="str">
        <f t="array" ref="G992">"https://earth.google.com/web/search/" &amp; A992 &amp; "," &amp; B992</f>
        <v>https://earth.google.com/web/search/-30.8979630628458,-55.5416409333335</v>
      </c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 ht="26.25" customHeight="1">
      <c r="A993" s="17" t="s">
        <v>1990</v>
      </c>
      <c r="B993" s="18" t="s">
        <v>1991</v>
      </c>
      <c r="C993" s="14">
        <v>1.0</v>
      </c>
      <c r="D993" s="15">
        <v>174.0</v>
      </c>
      <c r="E993" s="15">
        <v>17.0</v>
      </c>
      <c r="F993" s="16" t="str">
        <f t="array" ref="F993">"https://www.google.com/maps/search/?api=1&amp;query=" &amp; A993 &amp; "," &amp; B993</f>
        <v>https://www.google.com/maps/search/?api=1&amp;query=-30.8979213020731,-55.5417048358892</v>
      </c>
      <c r="G993" s="16" t="str">
        <f t="array" ref="G993">"https://earth.google.com/web/search/" &amp; A993 &amp; "," &amp; B993</f>
        <v>https://earth.google.com/web/search/-30.8979213020731,-55.5417048358892</v>
      </c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 ht="26.25" customHeight="1">
      <c r="A994" s="17" t="s">
        <v>1992</v>
      </c>
      <c r="B994" s="18" t="s">
        <v>1993</v>
      </c>
      <c r="C994" s="14">
        <v>1.0</v>
      </c>
      <c r="D994" s="15">
        <v>174.0</v>
      </c>
      <c r="E994" s="15">
        <v>18.0</v>
      </c>
      <c r="F994" s="16" t="str">
        <f t="array" ref="F994">"https://www.google.com/maps/search/?api=1&amp;query=" &amp; A994 &amp; "," &amp; B994</f>
        <v>https://www.google.com/maps/search/?api=1&amp;query=-30.8977949518116,-55.5419658525365</v>
      </c>
      <c r="G994" s="16" t="str">
        <f t="array" ref="G994">"https://earth.google.com/web/search/" &amp; A994 &amp; "," &amp; B994</f>
        <v>https://earth.google.com/web/search/-30.8977949518116,-55.5419658525365</v>
      </c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 ht="26.25" customHeight="1">
      <c r="A995" s="17" t="s">
        <v>1994</v>
      </c>
      <c r="B995" s="18" t="s">
        <v>1995</v>
      </c>
      <c r="C995" s="14">
        <v>1.0</v>
      </c>
      <c r="D995" s="15">
        <v>129.0</v>
      </c>
      <c r="E995" s="15">
        <v>1.0</v>
      </c>
      <c r="F995" s="16" t="str">
        <f t="array" ref="F995">"https://www.google.com/maps/search/?api=1&amp;query=" &amp; A995 &amp; "," &amp; B995</f>
        <v>https://www.google.com/maps/search/?api=1&amp;query=-30.9006041569498,-55.5364623390118</v>
      </c>
      <c r="G995" s="16" t="str">
        <f t="array" ref="G995">"https://earth.google.com/web/search/" &amp; A995 &amp; "," &amp; B995</f>
        <v>https://earth.google.com/web/search/-30.9006041569498,-55.5364623390118</v>
      </c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 ht="26.25" customHeight="1">
      <c r="A996" s="17" t="s">
        <v>1996</v>
      </c>
      <c r="B996" s="18" t="s">
        <v>1997</v>
      </c>
      <c r="C996" s="14">
        <v>1.0</v>
      </c>
      <c r="D996" s="15">
        <v>129.0</v>
      </c>
      <c r="E996" s="15">
        <v>2.0</v>
      </c>
      <c r="F996" s="16" t="str">
        <f t="array" ref="F996">"https://www.google.com/maps/search/?api=1&amp;query=" &amp; A996 &amp; "," &amp; B996</f>
        <v>https://www.google.com/maps/search/?api=1&amp;query=-30.9007036655686,-55.5362660651799</v>
      </c>
      <c r="G996" s="16" t="str">
        <f t="array" ref="G996">"https://earth.google.com/web/search/" &amp; A996 &amp; "," &amp; B996</f>
        <v>https://earth.google.com/web/search/-30.9007036655686,-55.5362660651799</v>
      </c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 ht="26.25" customHeight="1">
      <c r="A997" s="17" t="s">
        <v>1998</v>
      </c>
      <c r="B997" s="18" t="s">
        <v>1999</v>
      </c>
      <c r="C997" s="14">
        <v>1.0</v>
      </c>
      <c r="D997" s="15">
        <v>129.0</v>
      </c>
      <c r="E997" s="15">
        <v>3.0</v>
      </c>
      <c r="F997" s="16" t="str">
        <f t="array" ref="F997">"https://www.google.com/maps/search/?api=1&amp;query=" &amp; A997 &amp; "," &amp; B997</f>
        <v>https://www.google.com/maps/search/?api=1&amp;query=-30.9007445565416,-55.5361836496907</v>
      </c>
      <c r="G997" s="16" t="str">
        <f t="array" ref="G997">"https://earth.google.com/web/search/" &amp; A997 &amp; "," &amp; B997</f>
        <v>https://earth.google.com/web/search/-30.9007445565416,-55.5361836496907</v>
      </c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 ht="26.25" customHeight="1">
      <c r="A998" s="17" t="s">
        <v>2000</v>
      </c>
      <c r="B998" s="18" t="s">
        <v>2001</v>
      </c>
      <c r="C998" s="14">
        <v>1.0</v>
      </c>
      <c r="D998" s="15">
        <v>129.0</v>
      </c>
      <c r="E998" s="15">
        <v>4.0</v>
      </c>
      <c r="F998" s="16" t="str">
        <f t="array" ref="F998">"https://www.google.com/maps/search/?api=1&amp;query=" &amp; A998 &amp; "," &amp; B998</f>
        <v>https://www.google.com/maps/search/?api=1&amp;query=-30.9008207136681,-55.5360592922928</v>
      </c>
      <c r="G998" s="16" t="str">
        <f t="array" ref="G998">"https://earth.google.com/web/search/" &amp; A998 &amp; "," &amp; B998</f>
        <v>https://earth.google.com/web/search/-30.9008207136681,-55.5360592922928</v>
      </c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 ht="26.25" customHeight="1">
      <c r="A999" s="17" t="s">
        <v>2002</v>
      </c>
      <c r="B999" s="18" t="s">
        <v>2003</v>
      </c>
      <c r="C999" s="14">
        <v>1.0</v>
      </c>
      <c r="D999" s="15">
        <v>129.0</v>
      </c>
      <c r="E999" s="15">
        <v>5.0</v>
      </c>
      <c r="F999" s="16" t="str">
        <f t="array" ref="F999">"https://www.google.com/maps/search/?api=1&amp;query=" &amp; A999 &amp; "," &amp; B999</f>
        <v>https://www.google.com/maps/search/?api=1&amp;query=-3.0900872656184,-55.5359413280977</v>
      </c>
      <c r="G999" s="16" t="str">
        <f t="array" ref="G999">"https://earth.google.com/web/search/" &amp; A999 &amp; "," &amp; B999</f>
        <v>https://earth.google.com/web/search/-3.0900872656184,-55.5359413280977</v>
      </c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 ht="26.25" customHeight="1">
      <c r="A1000" s="17" t="s">
        <v>2004</v>
      </c>
      <c r="B1000" s="18" t="s">
        <v>2005</v>
      </c>
      <c r="C1000" s="14">
        <v>1.0</v>
      </c>
      <c r="D1000" s="15">
        <v>129.0</v>
      </c>
      <c r="E1000" s="15">
        <v>6.0</v>
      </c>
      <c r="F1000" s="16" t="str">
        <f t="array" ref="F1000">"https://www.google.com/maps/search/?api=1&amp;query=" &amp; A1000 &amp; "," &amp; B1000</f>
        <v>https://www.google.com/maps/search/?api=1&amp;query=-30.9008234050176,-0.5553557778185</v>
      </c>
      <c r="G1000" s="16" t="str">
        <f t="array" ref="G1000">"https://earth.google.com/web/search/" &amp; A1000 &amp; "," &amp; B1000</f>
        <v>https://earth.google.com/web/search/-30.9008234050176,-0.5553557778185</v>
      </c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  <row r="1001" ht="26.25" customHeight="1">
      <c r="A1001" s="17" t="s">
        <v>2006</v>
      </c>
      <c r="B1001" s="18" t="s">
        <v>2007</v>
      </c>
      <c r="C1001" s="14">
        <v>1.0</v>
      </c>
      <c r="D1001" s="15">
        <v>129.0</v>
      </c>
      <c r="E1001" s="15">
        <v>7.0</v>
      </c>
      <c r="F1001" s="16" t="str">
        <f t="array" ref="F1001">"https://www.google.com/maps/search/?api=1&amp;query=" &amp; A1001 &amp; "," &amp; B1001</f>
        <v>https://www.google.com/maps/search/?api=1&amp;query=-3.0900723640044,-55.5355054407966</v>
      </c>
      <c r="G1001" s="16" t="str">
        <f t="array" ref="G1001">"https://earth.google.com/web/search/" &amp; A1001 &amp; "," &amp; B1001</f>
        <v>https://earth.google.com/web/search/-3.0900723640044,-55.5355054407966</v>
      </c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</row>
    <row r="1002" ht="26.25" customHeight="1">
      <c r="A1002" s="17" t="s">
        <v>2008</v>
      </c>
      <c r="B1002" s="18" t="s">
        <v>2009</v>
      </c>
      <c r="C1002" s="14">
        <v>1.0</v>
      </c>
      <c r="D1002" s="15">
        <v>129.0</v>
      </c>
      <c r="E1002" s="15">
        <v>8.0</v>
      </c>
      <c r="F1002" s="16" t="str">
        <f t="array" ref="F1002">"https://www.google.com/maps/search/?api=1&amp;query=" &amp; A1002 &amp; "," &amp; B1002</f>
        <v>https://www.google.com/maps/search/?api=1&amp;query=-30.9006436148234,-55.5354530583077</v>
      </c>
      <c r="G1002" s="16" t="str">
        <f t="array" ref="G1002">"https://earth.google.com/web/search/" &amp; A1002 &amp; "," &amp; B1002</f>
        <v>https://earth.google.com/web/search/-30.9006436148234,-55.5354530583077</v>
      </c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</row>
    <row r="1003" ht="26.25" customHeight="1">
      <c r="A1003" s="17" t="s">
        <v>2010</v>
      </c>
      <c r="B1003" s="18" t="s">
        <v>2011</v>
      </c>
      <c r="C1003" s="14">
        <v>1.0</v>
      </c>
      <c r="D1003" s="15">
        <v>129.0</v>
      </c>
      <c r="E1003" s="15">
        <v>9.0</v>
      </c>
      <c r="F1003" s="16" t="str">
        <f t="array" ref="F1003">"https://www.google.com/maps/search/?api=1&amp;query=" &amp; A1003 &amp; "," &amp; B1003</f>
        <v>https://www.google.com/maps/search/?api=1&amp;query=-30.9005484117239,-55.5353726733088</v>
      </c>
      <c r="G1003" s="16" t="str">
        <f t="array" ref="G1003">"https://earth.google.com/web/search/" &amp; A1003 &amp; "," &amp; B1003</f>
        <v>https://earth.google.com/web/search/-30.9005484117239,-55.5353726733088</v>
      </c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</row>
    <row r="1004" ht="26.25" customHeight="1">
      <c r="A1004" s="17" t="s">
        <v>2012</v>
      </c>
      <c r="B1004" s="18" t="s">
        <v>2013</v>
      </c>
      <c r="C1004" s="14">
        <v>1.0</v>
      </c>
      <c r="D1004" s="15">
        <v>129.0</v>
      </c>
      <c r="E1004" s="15">
        <v>10.0</v>
      </c>
      <c r="F1004" s="16" t="str">
        <f t="array" ref="F1004">"https://www.google.com/maps/search/?api=1&amp;query=" &amp; A1004 &amp; "," &amp; B1004</f>
        <v>https://www.google.com/maps/search/?api=1&amp;query=-0.3090043170657,-55.5352909457594</v>
      </c>
      <c r="G1004" s="16" t="str">
        <f t="array" ref="G1004">"https://earth.google.com/web/search/" &amp; A1004 &amp; "," &amp; B1004</f>
        <v>https://earth.google.com/web/search/-0.3090043170657,-55.5352909457594</v>
      </c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</row>
    <row r="1005" ht="26.25" customHeight="1">
      <c r="A1005" s="17" t="s">
        <v>2014</v>
      </c>
      <c r="B1005" s="18" t="s">
        <v>2015</v>
      </c>
      <c r="C1005" s="14">
        <v>1.0</v>
      </c>
      <c r="D1005" s="15">
        <v>129.0</v>
      </c>
      <c r="E1005" s="15">
        <v>11.0</v>
      </c>
      <c r="F1005" s="16" t="str">
        <f t="array" ref="F1005">"https://www.google.com/maps/search/?api=1&amp;query=" &amp; A1005 &amp; "," &amp; B1005</f>
        <v>https://www.google.com/maps/search/?api=1&amp;query=-30.9002402128052,-55.5352983969685</v>
      </c>
      <c r="G1005" s="16" t="str">
        <f t="array" ref="G1005">"https://earth.google.com/web/search/" &amp; A1005 &amp; "," &amp; B1005</f>
        <v>https://earth.google.com/web/search/-30.9002402128052,-55.5352983969685</v>
      </c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</row>
    <row r="1006" ht="26.25" customHeight="1">
      <c r="A1006" s="17" t="s">
        <v>2016</v>
      </c>
      <c r="B1006" s="18" t="s">
        <v>2017</v>
      </c>
      <c r="C1006" s="14">
        <v>1.0</v>
      </c>
      <c r="D1006" s="15">
        <v>129.0</v>
      </c>
      <c r="E1006" s="15">
        <v>12.0</v>
      </c>
      <c r="F1006" s="16" t="str">
        <f t="array" ref="F1006">"https://www.google.com/maps/search/?api=1&amp;query=" &amp; A1006 &amp; "," &amp; B1006</f>
        <v>https://www.google.com/maps/search/?api=1&amp;query=-30.9002042561617,-55.5353429337761</v>
      </c>
      <c r="G1006" s="16" t="str">
        <f t="array" ref="G1006">"https://earth.google.com/web/search/" &amp; A1006 &amp; "," &amp; B1006</f>
        <v>https://earth.google.com/web/search/-30.9002042561617,-55.5353429337761</v>
      </c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</row>
    <row r="1007" ht="26.25" customHeight="1">
      <c r="A1007" s="17" t="s">
        <v>2018</v>
      </c>
      <c r="B1007" s="18" t="s">
        <v>2019</v>
      </c>
      <c r="C1007" s="14">
        <v>1.0</v>
      </c>
      <c r="D1007" s="15">
        <v>129.0</v>
      </c>
      <c r="E1007" s="15">
        <v>13.0</v>
      </c>
      <c r="F1007" s="16" t="str">
        <f t="array" ref="F1007">"https://www.google.com/maps/search/?api=1&amp;query=" &amp; A1007 &amp; "," &amp; B1007</f>
        <v>https://www.google.com/maps/search/?api=1&amp;query=-30.9000594467374,-55.5356344298151</v>
      </c>
      <c r="G1007" s="16" t="str">
        <f t="array" ref="G1007">"https://earth.google.com/web/search/" &amp; A1007 &amp; "," &amp; B1007</f>
        <v>https://earth.google.com/web/search/-30.9000594467374,-55.5356344298151</v>
      </c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</row>
    <row r="1008" ht="26.25" customHeight="1">
      <c r="A1008" s="17" t="s">
        <v>2020</v>
      </c>
      <c r="B1008" s="18" t="s">
        <v>2021</v>
      </c>
      <c r="C1008" s="14">
        <v>1.0</v>
      </c>
      <c r="D1008" s="15">
        <v>129.0</v>
      </c>
      <c r="E1008" s="15">
        <v>14.0</v>
      </c>
      <c r="F1008" s="16" t="str">
        <f t="array" ref="F1008">"https://www.google.com/maps/search/?api=1&amp;query=" &amp; A1008 &amp; "," &amp; B1008</f>
        <v>https://www.google.com/maps/search/?api=1&amp;query=-30.9000284238521,-55.5357065209031</v>
      </c>
      <c r="G1008" s="16" t="str">
        <f t="array" ref="G1008">"https://earth.google.com/web/search/" &amp; A1008 &amp; "," &amp; B1008</f>
        <v>https://earth.google.com/web/search/-30.9000284238521,-55.5357065209031</v>
      </c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</row>
    <row r="1009" ht="26.25" customHeight="1">
      <c r="A1009" s="17" t="s">
        <v>2022</v>
      </c>
      <c r="B1009" s="18" t="s">
        <v>2023</v>
      </c>
      <c r="C1009" s="14">
        <v>1.0</v>
      </c>
      <c r="D1009" s="15">
        <v>129.0</v>
      </c>
      <c r="E1009" s="15">
        <v>15.0</v>
      </c>
      <c r="F1009" s="16" t="str">
        <f t="array" ref="F1009">"https://www.google.com/maps/search/?api=1&amp;query=" &amp; A1009 &amp; "," &amp; B1009</f>
        <v>https://www.google.com/maps/search/?api=1&amp;query=-3.0899886309486,-5.5535989784461</v>
      </c>
      <c r="G1009" s="16" t="str">
        <f t="array" ref="G1009">"https://earth.google.com/web/search/" &amp; A1009 &amp; "," &amp; B1009</f>
        <v>https://earth.google.com/web/search/-3.0899886309486,-5.5535989784461</v>
      </c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</row>
    <row r="1010" ht="26.25" customHeight="1">
      <c r="A1010" s="17" t="s">
        <v>2024</v>
      </c>
      <c r="B1010" s="18" t="s">
        <v>2025</v>
      </c>
      <c r="C1010" s="14">
        <v>1.0</v>
      </c>
      <c r="D1010" s="15">
        <v>129.0</v>
      </c>
      <c r="E1010" s="15">
        <v>16.0</v>
      </c>
      <c r="F1010" s="16" t="str">
        <f t="array" ref="F1010">"https://www.google.com/maps/search/?api=1&amp;query=" &amp; A1010 &amp; "," &amp; B1010</f>
        <v>https://www.google.com/maps/search/?api=1&amp;query=-30.9000256073316,-55.5361230573551</v>
      </c>
      <c r="G1010" s="16" t="str">
        <f t="array" ref="G1010">"https://earth.google.com/web/search/" &amp; A1010 &amp; "," &amp; B1010</f>
        <v>https://earth.google.com/web/search/-30.9000256073316,-55.5361230573551</v>
      </c>
      <c r="H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  <c r="AA1010" s="12"/>
    </row>
    <row r="1011" ht="26.25" customHeight="1">
      <c r="A1011" s="17" t="s">
        <v>2026</v>
      </c>
      <c r="B1011" s="18" t="s">
        <v>2027</v>
      </c>
      <c r="C1011" s="14">
        <v>1.0</v>
      </c>
      <c r="D1011" s="15">
        <v>129.0</v>
      </c>
      <c r="E1011" s="15">
        <v>17.0</v>
      </c>
      <c r="F1011" s="16" t="str">
        <f t="array" ref="F1011">"https://www.google.com/maps/search/?api=1&amp;query=" &amp; A1011 &amp; "," &amp; B1011</f>
        <v>https://www.google.com/maps/search/?api=1&amp;query=-30.9000887025078,-55.5361840771204</v>
      </c>
      <c r="G1011" s="16" t="str">
        <f t="array" ref="G1011">"https://earth.google.com/web/search/" &amp; A1011 &amp; "," &amp; B1011</f>
        <v>https://earth.google.com/web/search/-30.9000887025078,-55.5361840771204</v>
      </c>
      <c r="H1011" s="12"/>
      <c r="I1011" s="12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  <c r="AA1011" s="12"/>
    </row>
    <row r="1012" ht="26.25" customHeight="1">
      <c r="A1012" s="17" t="s">
        <v>2028</v>
      </c>
      <c r="B1012" s="18" t="s">
        <v>2029</v>
      </c>
      <c r="C1012" s="14">
        <v>1.0</v>
      </c>
      <c r="D1012" s="15">
        <v>129.0</v>
      </c>
      <c r="E1012" s="15">
        <v>18.0</v>
      </c>
      <c r="F1012" s="16" t="str">
        <f t="array" ref="F1012">"https://www.google.com/maps/search/?api=1&amp;query=" &amp; A1012 &amp; "," &amp; B1012</f>
        <v>https://www.google.com/maps/search/?api=1&amp;query=-3.0900289799228,-55.5363164036982</v>
      </c>
      <c r="G1012" s="16" t="str">
        <f t="array" ref="G1012">"https://earth.google.com/web/search/" &amp; A1012 &amp; "," &amp; B1012</f>
        <v>https://earth.google.com/web/search/-3.0900289799228,-55.5363164036982</v>
      </c>
      <c r="H1012" s="12"/>
      <c r="I1012" s="12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  <c r="AA1012" s="12"/>
    </row>
    <row r="1013" ht="26.25" customHeight="1">
      <c r="A1013" s="17" t="s">
        <v>2030</v>
      </c>
      <c r="B1013" s="18" t="s">
        <v>2031</v>
      </c>
      <c r="C1013" s="14">
        <v>1.0</v>
      </c>
      <c r="D1013" s="15">
        <v>129.0</v>
      </c>
      <c r="E1013" s="15">
        <v>19.0</v>
      </c>
      <c r="F1013" s="16" t="str">
        <f t="array" ref="F1013">"https://www.google.com/maps/search/?api=1&amp;query=" &amp; A1013 &amp; "," &amp; B1013</f>
        <v>https://www.google.com/maps/search/?api=1&amp;query=-30.9003643296102,-55.5363553247754</v>
      </c>
      <c r="G1013" s="16" t="str">
        <f t="array" ref="G1013">"https://earth.google.com/web/search/" &amp; A1013 &amp; "," &amp; B1013</f>
        <v>https://earth.google.com/web/search/-30.9003643296102,-55.5363553247754</v>
      </c>
      <c r="H1013" s="12"/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  <c r="AA1013" s="12"/>
    </row>
    <row r="1014" ht="26.25" customHeight="1">
      <c r="A1014" s="17" t="s">
        <v>2032</v>
      </c>
      <c r="B1014" s="18" t="s">
        <v>2033</v>
      </c>
      <c r="C1014" s="14">
        <v>1.0</v>
      </c>
      <c r="D1014" s="15">
        <v>129.0</v>
      </c>
      <c r="E1014" s="15">
        <v>20.0</v>
      </c>
      <c r="F1014" s="16" t="str">
        <f t="array" ref="F1014">"https://www.google.com/maps/search/?api=1&amp;query=" &amp; A1014 &amp; "," &amp; B1014</f>
        <v>https://www.google.com/maps/search/?api=1&amp;query=-30.9004189039707,-55.5364081502521</v>
      </c>
      <c r="G1014" s="16" t="str">
        <f t="array" ref="G1014">"https://earth.google.com/web/search/" &amp; A1014 &amp; "," &amp; B1014</f>
        <v>https://earth.google.com/web/search/-30.9004189039707,-55.5364081502521</v>
      </c>
      <c r="H1014" s="12"/>
      <c r="I1014" s="12"/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  <c r="T1014" s="12"/>
      <c r="U1014" s="12"/>
      <c r="V1014" s="12"/>
      <c r="W1014" s="12"/>
      <c r="X1014" s="12"/>
      <c r="Y1014" s="12"/>
      <c r="Z1014" s="12"/>
      <c r="AA1014" s="12"/>
    </row>
    <row r="1015" ht="26.25" customHeight="1">
      <c r="A1015" s="17" t="s">
        <v>2034</v>
      </c>
      <c r="B1015" s="18" t="s">
        <v>2035</v>
      </c>
      <c r="C1015" s="14">
        <v>1.0</v>
      </c>
      <c r="D1015" s="15">
        <v>129.0</v>
      </c>
      <c r="E1015" s="15">
        <v>21.0</v>
      </c>
      <c r="F1015" s="16" t="str">
        <f t="array" ref="F1015">"https://www.google.com/maps/search/?api=1&amp;query=" &amp; A1015 &amp; "," &amp; B1015</f>
        <v>https://www.google.com/maps/search/?api=1&amp;query=-30.9004691078066,-55.5364405844181</v>
      </c>
      <c r="G1015" s="16" t="str">
        <f t="array" ref="G1015">"https://earth.google.com/web/search/" &amp; A1015 &amp; "," &amp; B1015</f>
        <v>https://earth.google.com/web/search/-30.9004691078066,-55.5364405844181</v>
      </c>
      <c r="H1015" s="12"/>
      <c r="I1015" s="12"/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  <c r="T1015" s="12"/>
      <c r="U1015" s="12"/>
      <c r="V1015" s="12"/>
      <c r="W1015" s="12"/>
      <c r="X1015" s="12"/>
      <c r="Y1015" s="12"/>
      <c r="Z1015" s="12"/>
      <c r="AA1015" s="12"/>
    </row>
    <row r="1016" ht="26.25" customHeight="1">
      <c r="A1016" s="17" t="s">
        <v>2036</v>
      </c>
      <c r="B1016" s="18" t="s">
        <v>2037</v>
      </c>
      <c r="C1016" s="14">
        <v>1.0</v>
      </c>
      <c r="D1016" s="15">
        <v>129.0</v>
      </c>
      <c r="E1016" s="15">
        <v>22.0</v>
      </c>
      <c r="F1016" s="16" t="str">
        <f t="array" ref="F1016">"https://www.google.com/maps/search/?api=1&amp;query=" &amp; A1016 &amp; "," &amp; B1016</f>
        <v>https://www.google.com/maps/search/?api=1&amp;query=-30.9005386712548,-55.5364840278589</v>
      </c>
      <c r="G1016" s="16" t="str">
        <f t="array" ref="G1016">"https://earth.google.com/web/search/" &amp; A1016 &amp; "," &amp; B1016</f>
        <v>https://earth.google.com/web/search/-30.9005386712548,-55.5364840278589</v>
      </c>
      <c r="H1016" s="12"/>
      <c r="I1016" s="12"/>
      <c r="J1016" s="12"/>
      <c r="K1016" s="12"/>
      <c r="L1016" s="12"/>
      <c r="M1016" s="12"/>
      <c r="N1016" s="12"/>
      <c r="O1016" s="12"/>
      <c r="P1016" s="12"/>
      <c r="Q1016" s="12"/>
      <c r="R1016" s="12"/>
      <c r="S1016" s="12"/>
      <c r="T1016" s="12"/>
      <c r="U1016" s="12"/>
      <c r="V1016" s="12"/>
      <c r="W1016" s="12"/>
      <c r="X1016" s="12"/>
      <c r="Y1016" s="12"/>
      <c r="Z1016" s="12"/>
      <c r="AA1016" s="12"/>
    </row>
    <row r="1017" ht="26.25" customHeight="1">
      <c r="A1017" s="17" t="s">
        <v>2038</v>
      </c>
      <c r="B1017" s="18" t="s">
        <v>2039</v>
      </c>
      <c r="C1017" s="14">
        <v>1.0</v>
      </c>
      <c r="D1017" s="15">
        <v>130.0</v>
      </c>
      <c r="E1017" s="15">
        <v>1.0</v>
      </c>
      <c r="F1017" s="16" t="str">
        <f t="array" ref="F1017">"https://www.google.com/maps/search/?api=1&amp;query=" &amp; A1017 &amp; "," &amp; B1017</f>
        <v>https://www.google.com/maps/search/?api=1&amp;query=-30.9001734164615,-55.5372539649552</v>
      </c>
      <c r="G1017" s="16" t="str">
        <f t="array" ref="G1017">"https://earth.google.com/web/search/" &amp; A1017 &amp; "," &amp; B1017</f>
        <v>https://earth.google.com/web/search/-30.9001734164615,-55.5372539649552</v>
      </c>
      <c r="H1017" s="12"/>
      <c r="I1017" s="12"/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  <c r="T1017" s="12"/>
      <c r="U1017" s="12"/>
      <c r="V1017" s="12"/>
      <c r="W1017" s="12"/>
      <c r="X1017" s="12"/>
      <c r="Y1017" s="12"/>
      <c r="Z1017" s="12"/>
      <c r="AA1017" s="12"/>
    </row>
    <row r="1018" ht="26.25" customHeight="1">
      <c r="A1018" s="17" t="s">
        <v>2040</v>
      </c>
      <c r="B1018" s="18" t="s">
        <v>2041</v>
      </c>
      <c r="C1018" s="14">
        <v>1.0</v>
      </c>
      <c r="D1018" s="15">
        <v>130.0</v>
      </c>
      <c r="E1018" s="15">
        <v>2.0</v>
      </c>
      <c r="F1018" s="16" t="str">
        <f t="array" ref="F1018">"https://www.google.com/maps/search/?api=1&amp;query=" &amp; A1018 &amp; "," &amp; B1018</f>
        <v>https://www.google.com/maps/search/?api=1&amp;query=-30.9004264389962,-55.5368046340356</v>
      </c>
      <c r="G1018" s="16" t="str">
        <f t="array" ref="G1018">"https://earth.google.com/web/search/" &amp; A1018 &amp; "," &amp; B1018</f>
        <v>https://earth.google.com/web/search/-30.9004264389962,-55.5368046340356</v>
      </c>
      <c r="H1018" s="12"/>
      <c r="I1018" s="12"/>
      <c r="J1018" s="12"/>
      <c r="K1018" s="12"/>
      <c r="L1018" s="12"/>
      <c r="M1018" s="12"/>
      <c r="N1018" s="12"/>
      <c r="O1018" s="12"/>
      <c r="P1018" s="12"/>
      <c r="Q1018" s="12"/>
      <c r="R1018" s="12"/>
      <c r="S1018" s="12"/>
      <c r="T1018" s="12"/>
      <c r="U1018" s="12"/>
      <c r="V1018" s="12"/>
      <c r="W1018" s="12"/>
      <c r="X1018" s="12"/>
      <c r="Y1018" s="12"/>
      <c r="Z1018" s="12"/>
      <c r="AA1018" s="12"/>
    </row>
    <row r="1019" ht="26.25" customHeight="1">
      <c r="A1019" s="17" t="s">
        <v>2042</v>
      </c>
      <c r="B1019" s="18" t="s">
        <v>2043</v>
      </c>
      <c r="C1019" s="14">
        <v>1.0</v>
      </c>
      <c r="D1019" s="15">
        <v>130.0</v>
      </c>
      <c r="E1019" s="15">
        <v>3.0</v>
      </c>
      <c r="F1019" s="16" t="str">
        <f t="array" ref="F1019">"https://www.google.com/maps/search/?api=1&amp;query=" &amp; A1019 &amp; "," &amp; B1019</f>
        <v>https://www.google.com/maps/search/?api=1&amp;query=-30.9004779405411,-55.5365780622079</v>
      </c>
      <c r="G1019" s="16" t="str">
        <f t="array" ref="G1019">"https://earth.google.com/web/search/" &amp; A1019 &amp; "," &amp; B1019</f>
        <v>https://earth.google.com/web/search/-30.9004779405411,-55.5365780622079</v>
      </c>
      <c r="H1019" s="12"/>
      <c r="I1019" s="12"/>
      <c r="J1019" s="12"/>
      <c r="K1019" s="12"/>
      <c r="L1019" s="12"/>
      <c r="M1019" s="12"/>
      <c r="N1019" s="12"/>
      <c r="O1019" s="12"/>
      <c r="P1019" s="12"/>
      <c r="Q1019" s="12"/>
      <c r="R1019" s="12"/>
      <c r="S1019" s="12"/>
      <c r="T1019" s="12"/>
      <c r="U1019" s="12"/>
      <c r="V1019" s="12"/>
      <c r="W1019" s="12"/>
      <c r="X1019" s="12"/>
      <c r="Y1019" s="12"/>
      <c r="Z1019" s="12"/>
      <c r="AA1019" s="12"/>
    </row>
    <row r="1020" ht="26.25" customHeight="1">
      <c r="A1020" s="17" t="s">
        <v>2044</v>
      </c>
      <c r="B1020" s="18" t="s">
        <v>2045</v>
      </c>
      <c r="C1020" s="14">
        <v>1.0</v>
      </c>
      <c r="D1020" s="15">
        <v>130.0</v>
      </c>
      <c r="E1020" s="15">
        <v>3.0</v>
      </c>
      <c r="F1020" s="16" t="str">
        <f t="array" ref="F1020">"https://www.google.com/maps/search/?api=1&amp;query=" &amp; A1020 &amp; "," &amp; B1020</f>
        <v>https://www.google.com/maps/search/?api=1&amp;query=-30.9004391237017,-55.5365333944267</v>
      </c>
      <c r="G1020" s="16" t="str">
        <f t="array" ref="G1020">"https://earth.google.com/web/search/" &amp; A1020 &amp; "," &amp; B1020</f>
        <v>https://earth.google.com/web/search/-30.9004391237017,-55.5365333944267</v>
      </c>
      <c r="H1020" s="12"/>
      <c r="I1020" s="12"/>
      <c r="J1020" s="12"/>
      <c r="K1020" s="12"/>
      <c r="L1020" s="12"/>
      <c r="M1020" s="12"/>
      <c r="N1020" s="12"/>
      <c r="O1020" s="12"/>
      <c r="P1020" s="12"/>
      <c r="Q1020" s="12"/>
      <c r="R1020" s="12"/>
      <c r="S1020" s="12"/>
      <c r="T1020" s="12"/>
      <c r="U1020" s="12"/>
      <c r="V1020" s="12"/>
      <c r="W1020" s="12"/>
      <c r="X1020" s="12"/>
      <c r="Y1020" s="12"/>
      <c r="Z1020" s="12"/>
      <c r="AA1020" s="12"/>
    </row>
    <row r="1021" ht="26.25" customHeight="1">
      <c r="A1021" s="17" t="s">
        <v>2046</v>
      </c>
      <c r="B1021" s="18" t="s">
        <v>2047</v>
      </c>
      <c r="C1021" s="14">
        <v>1.0</v>
      </c>
      <c r="D1021" s="15">
        <v>130.0</v>
      </c>
      <c r="E1021" s="15">
        <v>4.0</v>
      </c>
      <c r="F1021" s="16" t="str">
        <f t="array" ref="F1021">"https://www.google.com/maps/search/?api=1&amp;query=" &amp; A1021 &amp; "," &amp; B1021</f>
        <v>https://www.google.com/maps/search/?api=1&amp;query=-30.9003203957027,-55.5364603054125</v>
      </c>
      <c r="G1021" s="16" t="str">
        <f t="array" ref="G1021">"https://earth.google.com/web/search/" &amp; A1021 &amp; "," &amp; B1021</f>
        <v>https://earth.google.com/web/search/-30.9003203957027,-55.5364603054125</v>
      </c>
      <c r="H1021" s="12"/>
      <c r="I1021" s="12"/>
      <c r="J1021" s="12"/>
      <c r="K1021" s="12"/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/>
      <c r="Y1021" s="12"/>
      <c r="Z1021" s="12"/>
      <c r="AA1021" s="12"/>
    </row>
    <row r="1022" ht="26.25" customHeight="1">
      <c r="A1022" s="17" t="s">
        <v>2048</v>
      </c>
      <c r="B1022" s="18" t="s">
        <v>2049</v>
      </c>
      <c r="C1022" s="14">
        <v>1.0</v>
      </c>
      <c r="D1022" s="15">
        <v>130.0</v>
      </c>
      <c r="E1022" s="15">
        <v>5.0</v>
      </c>
      <c r="F1022" s="16" t="str">
        <f t="array" ref="F1022">"https://www.google.com/maps/search/?api=1&amp;query=" &amp; A1022 &amp; "," &amp; B1022</f>
        <v>https://www.google.com/maps/search/?api=1&amp;query=-30.9002710576673,-55.5364273465068</v>
      </c>
      <c r="G1022" s="16" t="str">
        <f t="array" ref="G1022">"https://earth.google.com/web/search/" &amp; A1022 &amp; "," &amp; B1022</f>
        <v>https://earth.google.com/web/search/-30.9002710576673,-55.5364273465068</v>
      </c>
      <c r="H1022" s="12"/>
      <c r="I1022" s="12"/>
      <c r="J1022" s="12"/>
      <c r="K1022" s="12"/>
      <c r="L1022" s="12"/>
      <c r="M1022" s="12"/>
      <c r="N1022" s="12"/>
      <c r="O1022" s="12"/>
      <c r="P1022" s="12"/>
      <c r="Q1022" s="12"/>
      <c r="R1022" s="12"/>
      <c r="S1022" s="12"/>
      <c r="T1022" s="12"/>
      <c r="U1022" s="12"/>
      <c r="V1022" s="12"/>
      <c r="W1022" s="12"/>
      <c r="X1022" s="12"/>
      <c r="Y1022" s="12"/>
      <c r="Z1022" s="12"/>
      <c r="AA1022" s="12"/>
    </row>
    <row r="1023" ht="26.25" customHeight="1">
      <c r="A1023" s="17" t="s">
        <v>2050</v>
      </c>
      <c r="B1023" s="18" t="s">
        <v>2051</v>
      </c>
      <c r="C1023" s="14">
        <v>1.0</v>
      </c>
      <c r="D1023" s="15">
        <v>130.0</v>
      </c>
      <c r="E1023" s="15">
        <v>6.0</v>
      </c>
      <c r="F1023" s="16" t="str">
        <f t="array" ref="F1023">"https://www.google.com/maps/search/?api=1&amp;query=" &amp; A1023 &amp; "," &amp; B1023</f>
        <v>https://www.google.com/maps/search/?api=1&amp;query=-30.9001037371291,-55.5363055464618</v>
      </c>
      <c r="G1023" s="16" t="str">
        <f t="array" ref="G1023">"https://earth.google.com/web/search/" &amp; A1023 &amp; "," &amp; B1023</f>
        <v>https://earth.google.com/web/search/-30.9001037371291,-55.5363055464618</v>
      </c>
      <c r="H1023" s="12"/>
      <c r="I1023" s="12"/>
      <c r="J1023" s="12"/>
      <c r="K1023" s="12"/>
      <c r="L1023" s="12"/>
      <c r="M1023" s="12"/>
      <c r="N1023" s="12"/>
      <c r="O1023" s="12"/>
      <c r="P1023" s="12"/>
      <c r="Q1023" s="12"/>
      <c r="R1023" s="12"/>
      <c r="S1023" s="12"/>
      <c r="T1023" s="12"/>
      <c r="U1023" s="12"/>
      <c r="V1023" s="12"/>
      <c r="W1023" s="12"/>
      <c r="X1023" s="12"/>
      <c r="Y1023" s="12"/>
      <c r="Z1023" s="12"/>
      <c r="AA1023" s="12"/>
    </row>
    <row r="1024" ht="26.25" customHeight="1">
      <c r="A1024" s="17" t="s">
        <v>2052</v>
      </c>
      <c r="B1024" s="18" t="s">
        <v>2053</v>
      </c>
      <c r="C1024" s="14">
        <v>1.0</v>
      </c>
      <c r="D1024" s="15">
        <v>130.0</v>
      </c>
      <c r="E1024" s="15">
        <v>7.0</v>
      </c>
      <c r="F1024" s="16" t="str">
        <f t="array" ref="F1024">"https://www.google.com/maps/search/?api=1&amp;query=" &amp; A1024 &amp; "," &amp; B1024</f>
        <v>https://www.google.com/maps/search/?api=1&amp;query=-30.8997804920528,-55.5362177370382</v>
      </c>
      <c r="G1024" s="16" t="str">
        <f t="array" ref="G1024">"https://earth.google.com/web/search/" &amp; A1024 &amp; "," &amp; B1024</f>
        <v>https://earth.google.com/web/search/-30.8997804920528,-55.5362177370382</v>
      </c>
      <c r="H1024" s="12"/>
      <c r="I1024" s="12"/>
      <c r="J1024" s="12"/>
      <c r="K1024" s="12"/>
      <c r="L1024" s="12"/>
      <c r="M1024" s="12"/>
      <c r="N1024" s="12"/>
      <c r="O1024" s="12"/>
      <c r="P1024" s="12"/>
      <c r="Q1024" s="12"/>
      <c r="R1024" s="12"/>
      <c r="S1024" s="12"/>
      <c r="T1024" s="12"/>
      <c r="U1024" s="12"/>
      <c r="V1024" s="12"/>
      <c r="W1024" s="12"/>
      <c r="X1024" s="12"/>
      <c r="Y1024" s="12"/>
      <c r="Z1024" s="12"/>
      <c r="AA1024" s="12"/>
    </row>
    <row r="1025" ht="26.25" customHeight="1">
      <c r="A1025" s="17" t="s">
        <v>2054</v>
      </c>
      <c r="B1025" s="18" t="s">
        <v>2055</v>
      </c>
      <c r="C1025" s="14">
        <v>1.0</v>
      </c>
      <c r="D1025" s="15">
        <v>130.0</v>
      </c>
      <c r="E1025" s="15">
        <v>8.0</v>
      </c>
      <c r="F1025" s="16" t="str">
        <f t="array" ref="F1025">"https://www.google.com/maps/search/?api=1&amp;query=" &amp; A1025 &amp; "," &amp; B1025</f>
        <v>https://www.google.com/maps/search/?api=1&amp;query=-30.8996494337954,-55.5364646140425</v>
      </c>
      <c r="G1025" s="16" t="str">
        <f t="array" ref="G1025">"https://earth.google.com/web/search/" &amp; A1025 &amp; "," &amp; B1025</f>
        <v>https://earth.google.com/web/search/-30.8996494337954,-55.5364646140425</v>
      </c>
      <c r="H1025" s="12"/>
      <c r="I1025" s="12"/>
      <c r="J1025" s="12"/>
      <c r="K1025" s="12"/>
      <c r="L1025" s="12"/>
      <c r="M1025" s="12"/>
      <c r="N1025" s="12"/>
      <c r="O1025" s="12"/>
      <c r="P1025" s="12"/>
      <c r="Q1025" s="12"/>
      <c r="R1025" s="12"/>
      <c r="S1025" s="12"/>
      <c r="T1025" s="12"/>
      <c r="U1025" s="12"/>
      <c r="V1025" s="12"/>
      <c r="W1025" s="12"/>
      <c r="X1025" s="12"/>
      <c r="Y1025" s="12"/>
      <c r="Z1025" s="12"/>
      <c r="AA1025" s="12"/>
    </row>
    <row r="1026" ht="26.25" customHeight="1">
      <c r="A1026" s="17" t="s">
        <v>2056</v>
      </c>
      <c r="B1026" s="18" t="s">
        <v>2057</v>
      </c>
      <c r="C1026" s="14">
        <v>1.0</v>
      </c>
      <c r="D1026" s="15">
        <v>130.0</v>
      </c>
      <c r="E1026" s="15">
        <v>9.0</v>
      </c>
      <c r="F1026" s="16" t="str">
        <f t="array" ref="F1026">"https://www.google.com/maps/search/?api=1&amp;query=" &amp; A1026 &amp; "," &amp; B1026</f>
        <v>https://www.google.com/maps/search/?api=1&amp;query=-30.8995986549443,-55.5365403015198</v>
      </c>
      <c r="G1026" s="16" t="str">
        <f t="array" ref="G1026">"https://earth.google.com/web/search/" &amp; A1026 &amp; "," &amp; B1026</f>
        <v>https://earth.google.com/web/search/-30.8995986549443,-55.5365403015198</v>
      </c>
      <c r="H1026" s="12"/>
      <c r="I1026" s="12"/>
      <c r="J1026" s="12"/>
      <c r="K1026" s="12"/>
      <c r="L1026" s="12"/>
      <c r="M1026" s="12"/>
      <c r="N1026" s="12"/>
      <c r="O1026" s="12"/>
      <c r="P1026" s="12"/>
      <c r="Q1026" s="12"/>
      <c r="R1026" s="12"/>
      <c r="S1026" s="12"/>
      <c r="T1026" s="12"/>
      <c r="U1026" s="12"/>
      <c r="V1026" s="12"/>
      <c r="W1026" s="12"/>
      <c r="X1026" s="12"/>
      <c r="Y1026" s="12"/>
      <c r="Z1026" s="12"/>
      <c r="AA1026" s="12"/>
    </row>
    <row r="1027" ht="26.25" customHeight="1">
      <c r="A1027" s="17" t="s">
        <v>2058</v>
      </c>
      <c r="B1027" s="18" t="s">
        <v>2059</v>
      </c>
      <c r="C1027" s="14">
        <v>1.0</v>
      </c>
      <c r="D1027" s="15">
        <v>130.0</v>
      </c>
      <c r="E1027" s="15">
        <v>10.0</v>
      </c>
      <c r="F1027" s="16" t="str">
        <f t="array" ref="F1027">"https://www.google.com/maps/search/?api=1&amp;query=" &amp; A1027 &amp; "," &amp; B1027</f>
        <v>https://www.google.com/maps/search/?api=1&amp;query=-30.8994754846354,-55.5369995698896</v>
      </c>
      <c r="G1027" s="16" t="str">
        <f t="array" ref="G1027">"https://earth.google.com/web/search/" &amp; A1027 &amp; "," &amp; B1027</f>
        <v>https://earth.google.com/web/search/-30.8994754846354,-55.5369995698896</v>
      </c>
      <c r="H1027" s="12"/>
      <c r="I1027" s="12"/>
      <c r="J1027" s="12"/>
      <c r="K1027" s="12"/>
      <c r="L1027" s="12"/>
      <c r="M1027" s="12"/>
      <c r="N1027" s="12"/>
      <c r="O1027" s="12"/>
      <c r="P1027" s="12"/>
      <c r="Q1027" s="12"/>
      <c r="R1027" s="12"/>
      <c r="S1027" s="12"/>
      <c r="T1027" s="12"/>
      <c r="U1027" s="12"/>
      <c r="V1027" s="12"/>
      <c r="W1027" s="12"/>
      <c r="X1027" s="12"/>
      <c r="Y1027" s="12"/>
      <c r="Z1027" s="12"/>
      <c r="AA1027" s="12"/>
    </row>
    <row r="1028" ht="26.25" customHeight="1">
      <c r="A1028" s="17" t="s">
        <v>2060</v>
      </c>
      <c r="B1028" s="18" t="s">
        <v>2061</v>
      </c>
      <c r="C1028" s="14">
        <v>1.0</v>
      </c>
      <c r="D1028" s="15">
        <v>130.0</v>
      </c>
      <c r="E1028" s="15">
        <v>11.0</v>
      </c>
      <c r="F1028" s="16" t="str">
        <f t="array" ref="F1028">"https://www.google.com/maps/search/?api=1&amp;query=" &amp; A1028 &amp; "," &amp; B1028</f>
        <v>https://www.google.com/maps/search/?api=1&amp;query=-30.8997900640579,-55.5372128555641</v>
      </c>
      <c r="G1028" s="16" t="str">
        <f t="array" ref="G1028">"https://earth.google.com/web/search/" &amp; A1028 &amp; "," &amp; B1028</f>
        <v>https://earth.google.com/web/search/-30.8997900640579,-55.5372128555641</v>
      </c>
      <c r="H1028" s="12"/>
      <c r="I1028" s="12"/>
      <c r="J1028" s="12"/>
      <c r="K1028" s="12"/>
      <c r="L1028" s="12"/>
      <c r="M1028" s="12"/>
      <c r="N1028" s="12"/>
      <c r="O1028" s="12"/>
      <c r="P1028" s="12"/>
      <c r="Q1028" s="12"/>
      <c r="R1028" s="12"/>
      <c r="S1028" s="12"/>
      <c r="T1028" s="12"/>
      <c r="U1028" s="12"/>
      <c r="V1028" s="12"/>
      <c r="W1028" s="12"/>
      <c r="X1028" s="12"/>
      <c r="Y1028" s="12"/>
      <c r="Z1028" s="12"/>
      <c r="AA1028" s="12"/>
    </row>
    <row r="1029" ht="26.25" customHeight="1">
      <c r="A1029" s="17" t="s">
        <v>2062</v>
      </c>
      <c r="B1029" s="18" t="s">
        <v>2063</v>
      </c>
      <c r="C1029" s="14">
        <v>1.0</v>
      </c>
      <c r="D1029" s="15">
        <v>130.0</v>
      </c>
      <c r="E1029" s="15">
        <v>12.0</v>
      </c>
      <c r="F1029" s="16" t="str">
        <f t="array" ref="F1029">"https://www.google.com/maps/search/?api=1&amp;query=" &amp; A1029 &amp; "," &amp; B1029</f>
        <v>https://www.google.com/maps/search/?api=1&amp;query=-30.8999432662654,-55.5373241867563</v>
      </c>
      <c r="G1029" s="16" t="str">
        <f t="array" ref="G1029">"https://earth.google.com/web/search/" &amp; A1029 &amp; "," &amp; B1029</f>
        <v>https://earth.google.com/web/search/-30.8999432662654,-55.5373241867563</v>
      </c>
      <c r="H1029" s="12"/>
      <c r="I1029" s="12"/>
      <c r="J1029" s="12"/>
      <c r="K1029" s="12"/>
      <c r="L1029" s="12"/>
      <c r="M1029" s="12"/>
      <c r="N1029" s="12"/>
      <c r="O1029" s="12"/>
      <c r="P1029" s="12"/>
      <c r="Q1029" s="12"/>
      <c r="R1029" s="12"/>
      <c r="S1029" s="12"/>
      <c r="T1029" s="12"/>
      <c r="U1029" s="12"/>
      <c r="V1029" s="12"/>
      <c r="W1029" s="12"/>
      <c r="X1029" s="12"/>
      <c r="Y1029" s="12"/>
      <c r="Z1029" s="12"/>
      <c r="AA1029" s="12"/>
    </row>
    <row r="1030" ht="26.25" customHeight="1">
      <c r="A1030" s="17" t="s">
        <v>2064</v>
      </c>
      <c r="B1030" s="18" t="s">
        <v>2065</v>
      </c>
      <c r="C1030" s="14">
        <v>1.0</v>
      </c>
      <c r="D1030" s="15">
        <v>131.0</v>
      </c>
      <c r="E1030" s="15">
        <v>1.0</v>
      </c>
      <c r="F1030" s="16" t="str">
        <f t="array" ref="F1030">"https://www.google.com/maps/search/?api=1&amp;query=" &amp; A1030 &amp; "," &amp; B1030</f>
        <v>https://www.google.com/maps/search/?api=1&amp;query=-30.8998182005339,-55.5379224482169</v>
      </c>
      <c r="G1030" s="16" t="str">
        <f t="array" ref="G1030">"https://earth.google.com/web/search/" &amp; A1030 &amp; "," &amp; B1030</f>
        <v>https://earth.google.com/web/search/-30.8998182005339,-55.5379224482169</v>
      </c>
      <c r="H1030" s="12"/>
      <c r="I1030" s="12"/>
      <c r="J1030" s="12"/>
      <c r="K1030" s="12"/>
      <c r="L1030" s="12"/>
      <c r="M1030" s="12"/>
      <c r="N1030" s="12"/>
      <c r="O1030" s="12"/>
      <c r="P1030" s="12"/>
      <c r="Q1030" s="12"/>
      <c r="R1030" s="12"/>
      <c r="S1030" s="12"/>
      <c r="T1030" s="12"/>
      <c r="U1030" s="12"/>
      <c r="V1030" s="12"/>
      <c r="W1030" s="12"/>
      <c r="X1030" s="12"/>
      <c r="Y1030" s="12"/>
      <c r="Z1030" s="12"/>
      <c r="AA1030" s="12"/>
    </row>
    <row r="1031" ht="26.25" customHeight="1">
      <c r="A1031" s="17" t="s">
        <v>2066</v>
      </c>
      <c r="B1031" s="18" t="s">
        <v>2067</v>
      </c>
      <c r="C1031" s="14">
        <v>1.0</v>
      </c>
      <c r="D1031" s="15">
        <v>131.0</v>
      </c>
      <c r="E1031" s="15">
        <v>2.0</v>
      </c>
      <c r="F1031" s="16" t="str">
        <f t="array" ref="F1031">"https://www.google.com/maps/search/?api=1&amp;query=" &amp; A1031 &amp; "," &amp; B1031</f>
        <v>https://www.google.com/maps/search/?api=1&amp;query=-30.8999637066583,-55.5376444453943</v>
      </c>
      <c r="G1031" s="16" t="str">
        <f t="array" ref="G1031">"https://earth.google.com/web/search/" &amp; A1031 &amp; "," &amp; B1031</f>
        <v>https://earth.google.com/web/search/-30.8999637066583,-55.5376444453943</v>
      </c>
      <c r="H1031" s="12"/>
      <c r="I1031" s="12"/>
      <c r="J1031" s="12"/>
      <c r="K1031" s="12"/>
      <c r="L1031" s="12"/>
      <c r="M1031" s="12"/>
      <c r="N1031" s="12"/>
      <c r="O1031" s="12"/>
      <c r="P1031" s="12"/>
      <c r="Q1031" s="12"/>
      <c r="R1031" s="12"/>
      <c r="S1031" s="12"/>
      <c r="T1031" s="12"/>
      <c r="U1031" s="12"/>
      <c r="V1031" s="12"/>
      <c r="W1031" s="12"/>
      <c r="X1031" s="12"/>
      <c r="Y1031" s="12"/>
      <c r="Z1031" s="12"/>
      <c r="AA1031" s="12"/>
    </row>
    <row r="1032" ht="26.25" customHeight="1">
      <c r="A1032" s="17" t="s">
        <v>2068</v>
      </c>
      <c r="B1032" s="18" t="s">
        <v>2069</v>
      </c>
      <c r="C1032" s="14">
        <v>1.0</v>
      </c>
      <c r="D1032" s="15">
        <v>131.0</v>
      </c>
      <c r="E1032" s="15">
        <v>3.0</v>
      </c>
      <c r="F1032" s="16" t="str">
        <f t="array" ref="F1032">"https://www.google.com/maps/search/?api=1&amp;query=" &amp; A1032 &amp; "," &amp; B1032</f>
        <v>https://www.google.com/maps/search/?api=1&amp;query=-30.8996552496854,-55.5372481958952</v>
      </c>
      <c r="G1032" s="16" t="str">
        <f t="array" ref="G1032">"https://earth.google.com/web/search/" &amp; A1032 &amp; "," &amp; B1032</f>
        <v>https://earth.google.com/web/search/-30.8996552496854,-55.5372481958952</v>
      </c>
      <c r="H1032" s="12"/>
      <c r="I1032" s="12"/>
      <c r="J1032" s="12"/>
      <c r="K1032" s="12"/>
      <c r="L1032" s="12"/>
      <c r="M1032" s="12"/>
      <c r="N1032" s="12"/>
      <c r="O1032" s="12"/>
      <c r="P1032" s="12"/>
      <c r="Q1032" s="12"/>
      <c r="R1032" s="12"/>
      <c r="S1032" s="12"/>
      <c r="T1032" s="12"/>
      <c r="U1032" s="12"/>
      <c r="V1032" s="12"/>
      <c r="W1032" s="12"/>
      <c r="X1032" s="12"/>
      <c r="Y1032" s="12"/>
      <c r="Z1032" s="12"/>
      <c r="AA1032" s="12"/>
    </row>
    <row r="1033" ht="26.25" customHeight="1">
      <c r="A1033" s="17" t="s">
        <v>2070</v>
      </c>
      <c r="B1033" s="18" t="s">
        <v>2071</v>
      </c>
      <c r="C1033" s="14">
        <v>1.0</v>
      </c>
      <c r="D1033" s="15">
        <v>131.0</v>
      </c>
      <c r="E1033" s="15">
        <v>4.0</v>
      </c>
      <c r="F1033" s="16" t="str">
        <f t="array" ref="F1033">"https://www.google.com/maps/search/?api=1&amp;query=" &amp; A1033 &amp; "," &amp; B1033</f>
        <v>https://www.google.com/maps/search/?api=1&amp;query=-30.8996100239802,-55.5371931464848</v>
      </c>
      <c r="G1033" s="16" t="str">
        <f t="array" ref="G1033">"https://earth.google.com/web/search/" &amp; A1033 &amp; "," &amp; B1033</f>
        <v>https://earth.google.com/web/search/-30.8996100239802,-55.5371931464848</v>
      </c>
      <c r="H1033" s="12"/>
      <c r="I1033" s="12"/>
      <c r="J1033" s="12"/>
      <c r="K1033" s="12"/>
      <c r="L1033" s="12"/>
      <c r="M1033" s="12"/>
      <c r="N1033" s="12"/>
      <c r="O1033" s="12"/>
      <c r="P1033" s="12"/>
      <c r="Q1033" s="12"/>
      <c r="R1033" s="12"/>
      <c r="S1033" s="12"/>
      <c r="T1033" s="12"/>
      <c r="U1033" s="12"/>
      <c r="V1033" s="12"/>
      <c r="W1033" s="12"/>
      <c r="X1033" s="12"/>
      <c r="Y1033" s="12"/>
      <c r="Z1033" s="12"/>
      <c r="AA1033" s="12"/>
    </row>
    <row r="1034" ht="26.25" customHeight="1">
      <c r="A1034" s="17" t="s">
        <v>2072</v>
      </c>
      <c r="B1034" s="18" t="s">
        <v>2073</v>
      </c>
      <c r="C1034" s="14">
        <v>1.0</v>
      </c>
      <c r="D1034" s="15">
        <v>131.0</v>
      </c>
      <c r="E1034" s="15">
        <v>5.0</v>
      </c>
      <c r="F1034" s="16" t="str">
        <f t="array" ref="F1034">"https://www.google.com/maps/search/?api=1&amp;query=" &amp; A1034 &amp; "," &amp; B1034</f>
        <v>https://www.google.com/maps/search/?api=1&amp;query=-3.0899313415645,-55.5370432107576</v>
      </c>
      <c r="G1034" s="16" t="str">
        <f t="array" ref="G1034">"https://earth.google.com/web/search/" &amp; A1034 &amp; "," &amp; B1034</f>
        <v>https://earth.google.com/web/search/-3.0899313415645,-55.5370432107576</v>
      </c>
      <c r="H1034" s="12"/>
      <c r="I1034" s="12"/>
      <c r="J1034" s="12"/>
      <c r="K1034" s="12"/>
      <c r="L1034" s="12"/>
      <c r="M1034" s="12"/>
      <c r="N1034" s="12"/>
      <c r="O1034" s="12"/>
      <c r="P1034" s="12"/>
      <c r="Q1034" s="12"/>
      <c r="R1034" s="12"/>
      <c r="S1034" s="12"/>
      <c r="T1034" s="12"/>
      <c r="U1034" s="12"/>
      <c r="V1034" s="12"/>
      <c r="W1034" s="12"/>
      <c r="X1034" s="12"/>
      <c r="Y1034" s="12"/>
      <c r="Z1034" s="12"/>
      <c r="AA1034" s="12"/>
    </row>
    <row r="1035" ht="26.25" customHeight="1">
      <c r="A1035" s="17" t="s">
        <v>2074</v>
      </c>
      <c r="B1035" s="18" t="s">
        <v>2075</v>
      </c>
      <c r="C1035" s="14">
        <v>1.0</v>
      </c>
      <c r="D1035" s="15">
        <v>131.0</v>
      </c>
      <c r="E1035" s="15">
        <v>6.0</v>
      </c>
      <c r="F1035" s="16" t="str">
        <f t="array" ref="F1035">"https://www.google.com/maps/search/?api=1&amp;query=" &amp; A1035 &amp; "," &amp; B1035</f>
        <v>https://www.google.com/maps/search/?api=1&amp;query=-30.8991147116568,-55.5374007594628</v>
      </c>
      <c r="G1035" s="16" t="str">
        <f t="array" ref="G1035">"https://earth.google.com/web/search/" &amp; A1035 &amp; "," &amp; B1035</f>
        <v>https://earth.google.com/web/search/-30.8991147116568,-55.5374007594628</v>
      </c>
      <c r="H1035" s="12"/>
      <c r="I1035" s="12"/>
      <c r="J1035" s="12"/>
      <c r="K1035" s="12"/>
      <c r="L1035" s="12"/>
      <c r="M1035" s="12"/>
      <c r="N1035" s="12"/>
      <c r="O1035" s="12"/>
      <c r="P1035" s="12"/>
      <c r="Q1035" s="12"/>
      <c r="R1035" s="12"/>
      <c r="S1035" s="12"/>
      <c r="T1035" s="12"/>
      <c r="U1035" s="12"/>
      <c r="V1035" s="12"/>
      <c r="W1035" s="12"/>
      <c r="X1035" s="12"/>
      <c r="Y1035" s="12"/>
      <c r="Z1035" s="12"/>
      <c r="AA1035" s="12"/>
    </row>
    <row r="1036" ht="26.25" customHeight="1">
      <c r="A1036" s="17" t="s">
        <v>2076</v>
      </c>
      <c r="B1036" s="18" t="s">
        <v>2077</v>
      </c>
      <c r="C1036" s="14">
        <v>1.0</v>
      </c>
      <c r="D1036" s="15">
        <v>131.0</v>
      </c>
      <c r="E1036" s="15">
        <v>7.0</v>
      </c>
      <c r="F1036" s="16" t="str">
        <f t="array" ref="F1036">"https://www.google.com/maps/search/?api=1&amp;query=" &amp; A1036 &amp; "," &amp; B1036</f>
        <v>https://www.google.com/maps/search/?api=1&amp;query=-30.8990805833504,-5.5537459823603</v>
      </c>
      <c r="G1036" s="16" t="str">
        <f t="array" ref="G1036">"https://earth.google.com/web/search/" &amp; A1036 &amp; "," &amp; B1036</f>
        <v>https://earth.google.com/web/search/-30.8990805833504,-5.5537459823603</v>
      </c>
      <c r="H1036" s="12"/>
      <c r="I1036" s="12"/>
      <c r="J1036" s="12"/>
      <c r="K1036" s="12"/>
      <c r="L1036" s="12"/>
      <c r="M1036" s="12"/>
      <c r="N1036" s="12"/>
      <c r="O1036" s="12"/>
      <c r="P1036" s="12"/>
      <c r="Q1036" s="12"/>
      <c r="R1036" s="12"/>
      <c r="S1036" s="12"/>
      <c r="T1036" s="12"/>
      <c r="U1036" s="12"/>
      <c r="V1036" s="12"/>
      <c r="W1036" s="12"/>
      <c r="X1036" s="12"/>
      <c r="Y1036" s="12"/>
      <c r="Z1036" s="12"/>
      <c r="AA1036" s="12"/>
    </row>
    <row r="1037" ht="26.25" customHeight="1">
      <c r="A1037" s="17" t="s">
        <v>2078</v>
      </c>
      <c r="B1037" s="18" t="s">
        <v>2079</v>
      </c>
      <c r="C1037" s="14">
        <v>1.0</v>
      </c>
      <c r="D1037" s="15">
        <v>131.0</v>
      </c>
      <c r="E1037" s="15">
        <v>8.0</v>
      </c>
      <c r="F1037" s="16" t="str">
        <f t="array" ref="F1037">"https://www.google.com/maps/search/?api=1&amp;query=" &amp; A1037 &amp; "," &amp; B1037</f>
        <v>https://www.google.com/maps/search/?api=1&amp;query=-30.8989673983597,-55.5377027831212</v>
      </c>
      <c r="G1037" s="16" t="str">
        <f t="array" ref="G1037">"https://earth.google.com/web/search/" &amp; A1037 &amp; "," &amp; B1037</f>
        <v>https://earth.google.com/web/search/-30.8989673983597,-55.5377027831212</v>
      </c>
      <c r="H1037" s="12"/>
      <c r="I1037" s="12"/>
      <c r="J1037" s="12"/>
      <c r="K1037" s="12"/>
      <c r="L1037" s="12"/>
      <c r="M1037" s="12"/>
      <c r="N1037" s="12"/>
      <c r="O1037" s="12"/>
      <c r="P1037" s="12"/>
      <c r="Q1037" s="12"/>
      <c r="R1037" s="12"/>
      <c r="S1037" s="12"/>
      <c r="T1037" s="12"/>
      <c r="U1037" s="12"/>
      <c r="V1037" s="12"/>
      <c r="W1037" s="12"/>
      <c r="X1037" s="12"/>
      <c r="Y1037" s="12"/>
      <c r="Z1037" s="12"/>
      <c r="AA1037" s="12"/>
    </row>
    <row r="1038" ht="26.25" customHeight="1">
      <c r="A1038" s="17" t="s">
        <v>2080</v>
      </c>
      <c r="B1038" s="18" t="s">
        <v>2081</v>
      </c>
      <c r="C1038" s="14">
        <v>1.0</v>
      </c>
      <c r="D1038" s="15">
        <v>131.0</v>
      </c>
      <c r="E1038" s="15">
        <v>9.0</v>
      </c>
      <c r="F1038" s="16" t="str">
        <f t="array" ref="F1038">"https://www.google.com/maps/search/?api=1&amp;query=" &amp; A1038 &amp; "," &amp; B1038</f>
        <v>https://www.google.com/maps/search/?api=1&amp;query=-30.8989617798864,-55.5378615181134</v>
      </c>
      <c r="G1038" s="16" t="str">
        <f t="array" ref="G1038">"https://earth.google.com/web/search/" &amp; A1038 &amp; "," &amp; B1038</f>
        <v>https://earth.google.com/web/search/-30.8989617798864,-55.5378615181134</v>
      </c>
      <c r="H1038" s="12"/>
      <c r="I1038" s="12"/>
      <c r="J1038" s="12"/>
      <c r="K1038" s="12"/>
      <c r="L1038" s="12"/>
      <c r="M1038" s="12"/>
      <c r="N1038" s="12"/>
      <c r="O1038" s="12"/>
      <c r="P1038" s="12"/>
      <c r="Q1038" s="12"/>
      <c r="R1038" s="12"/>
      <c r="S1038" s="12"/>
      <c r="T1038" s="12"/>
      <c r="U1038" s="12"/>
      <c r="V1038" s="12"/>
      <c r="W1038" s="12"/>
      <c r="X1038" s="12"/>
      <c r="Y1038" s="12"/>
      <c r="Z1038" s="12"/>
      <c r="AA1038" s="12"/>
    </row>
    <row r="1039" ht="26.25" customHeight="1">
      <c r="A1039" s="17" t="s">
        <v>2082</v>
      </c>
      <c r="B1039" s="18" t="s">
        <v>2083</v>
      </c>
      <c r="C1039" s="14">
        <v>1.0</v>
      </c>
      <c r="D1039" s="15">
        <v>131.0</v>
      </c>
      <c r="E1039" s="15">
        <v>10.0</v>
      </c>
      <c r="F1039" s="16" t="str">
        <f t="array" ref="F1039">"https://www.google.com/maps/search/?api=1&amp;query=" &amp; A1039 &amp; "," &amp; B1039</f>
        <v>https://www.google.com/maps/search/?api=1&amp;query=-30.8991724541508,-55.5380234132211</v>
      </c>
      <c r="G1039" s="16" t="str">
        <f t="array" ref="G1039">"https://earth.google.com/web/search/" &amp; A1039 &amp; "," &amp; B1039</f>
        <v>https://earth.google.com/web/search/-30.8991724541508,-55.5380234132211</v>
      </c>
      <c r="H1039" s="12"/>
      <c r="I1039" s="12"/>
      <c r="J1039" s="12"/>
      <c r="K1039" s="12"/>
      <c r="L1039" s="12"/>
      <c r="M1039" s="12"/>
      <c r="N1039" s="12"/>
      <c r="O1039" s="12"/>
      <c r="P1039" s="12"/>
      <c r="Q1039" s="12"/>
      <c r="R1039" s="12"/>
      <c r="S1039" s="12"/>
      <c r="T1039" s="12"/>
      <c r="U1039" s="12"/>
      <c r="V1039" s="12"/>
      <c r="W1039" s="12"/>
      <c r="X1039" s="12"/>
      <c r="Y1039" s="12"/>
      <c r="Z1039" s="12"/>
      <c r="AA1039" s="12"/>
    </row>
    <row r="1040" ht="26.25" customHeight="1">
      <c r="A1040" s="17" t="s">
        <v>2084</v>
      </c>
      <c r="B1040" s="18" t="s">
        <v>2085</v>
      </c>
      <c r="C1040" s="14">
        <v>1.0</v>
      </c>
      <c r="D1040" s="15">
        <v>131.0</v>
      </c>
      <c r="E1040" s="15">
        <v>11.0</v>
      </c>
      <c r="F1040" s="16" t="str">
        <f t="array" ref="F1040">"https://www.google.com/maps/search/?api=1&amp;query=" &amp; A1040 &amp; "," &amp; B1040</f>
        <v>https://www.google.com/maps/search/?api=1&amp;query=-30.8992144018269,-55.5380456153405</v>
      </c>
      <c r="G1040" s="16" t="str">
        <f t="array" ref="G1040">"https://earth.google.com/web/search/" &amp; A1040 &amp; "," &amp; B1040</f>
        <v>https://earth.google.com/web/search/-30.8992144018269,-55.5380456153405</v>
      </c>
      <c r="H1040" s="12"/>
      <c r="I1040" s="12"/>
      <c r="J1040" s="12"/>
      <c r="K1040" s="12"/>
      <c r="L1040" s="12"/>
      <c r="M1040" s="12"/>
      <c r="N1040" s="12"/>
      <c r="O1040" s="12"/>
      <c r="P1040" s="12"/>
      <c r="Q1040" s="12"/>
      <c r="R1040" s="12"/>
      <c r="S1040" s="12"/>
      <c r="T1040" s="12"/>
      <c r="U1040" s="12"/>
      <c r="V1040" s="12"/>
      <c r="W1040" s="12"/>
      <c r="X1040" s="12"/>
      <c r="Y1040" s="12"/>
      <c r="Z1040" s="12"/>
      <c r="AA1040" s="12"/>
    </row>
    <row r="1041" ht="26.25" customHeight="1">
      <c r="A1041" s="17" t="s">
        <v>2086</v>
      </c>
      <c r="B1041" s="18" t="s">
        <v>2087</v>
      </c>
      <c r="C1041" s="14">
        <v>1.0</v>
      </c>
      <c r="D1041" s="15">
        <v>131.0</v>
      </c>
      <c r="E1041" s="15">
        <v>12.0</v>
      </c>
      <c r="F1041" s="16" t="str">
        <f t="array" ref="F1041">"https://www.google.com/maps/search/?api=1&amp;query=" &amp; A1041 &amp; "," &amp; B1041</f>
        <v>https://www.google.com/maps/search/?api=1&amp;query=-30.8992936856524,-55.5380941901075</v>
      </c>
      <c r="G1041" s="16" t="str">
        <f t="array" ref="G1041">"https://earth.google.com/web/search/" &amp; A1041 &amp; "," &amp; B1041</f>
        <v>https://earth.google.com/web/search/-30.8992936856524,-55.5380941901075</v>
      </c>
      <c r="H1041" s="12"/>
      <c r="I1041" s="12"/>
      <c r="J1041" s="12"/>
      <c r="K1041" s="12"/>
      <c r="L1041" s="12"/>
      <c r="M1041" s="12"/>
      <c r="N1041" s="12"/>
      <c r="O1041" s="12"/>
      <c r="P1041" s="12"/>
      <c r="Q1041" s="12"/>
      <c r="R1041" s="12"/>
      <c r="S1041" s="12"/>
      <c r="T1041" s="12"/>
      <c r="U1041" s="12"/>
      <c r="V1041" s="12"/>
      <c r="W1041" s="12"/>
      <c r="X1041" s="12"/>
      <c r="Y1041" s="12"/>
      <c r="Z1041" s="12"/>
      <c r="AA1041" s="12"/>
    </row>
    <row r="1042" ht="26.25" customHeight="1">
      <c r="A1042" s="17" t="s">
        <v>2088</v>
      </c>
      <c r="B1042" s="18" t="s">
        <v>2089</v>
      </c>
      <c r="C1042" s="14">
        <v>1.0</v>
      </c>
      <c r="D1042" s="15">
        <v>131.0</v>
      </c>
      <c r="E1042" s="15">
        <v>13.0</v>
      </c>
      <c r="F1042" s="16" t="str">
        <f t="array" ref="F1042">"https://www.google.com/maps/search/?api=1&amp;query=" &amp; A1042 &amp; "," &amp; B1042</f>
        <v>https://www.google.com/maps/search/?api=1&amp;query=-30.8993442552542,-55.5381267341861</v>
      </c>
      <c r="G1042" s="16" t="str">
        <f t="array" ref="G1042">"https://earth.google.com/web/search/" &amp; A1042 &amp; "," &amp; B1042</f>
        <v>https://earth.google.com/web/search/-30.8993442552542,-55.5381267341861</v>
      </c>
      <c r="H1042" s="12"/>
      <c r="I1042" s="12"/>
      <c r="J1042" s="12"/>
      <c r="K1042" s="12"/>
      <c r="L1042" s="12"/>
      <c r="M1042" s="12"/>
      <c r="N1042" s="12"/>
      <c r="O1042" s="12"/>
      <c r="P1042" s="12"/>
      <c r="Q1042" s="12"/>
      <c r="R1042" s="12"/>
      <c r="S1042" s="12"/>
      <c r="T1042" s="12"/>
      <c r="U1042" s="12"/>
      <c r="V1042" s="12"/>
      <c r="W1042" s="12"/>
      <c r="X1042" s="12"/>
      <c r="Y1042" s="12"/>
      <c r="Z1042" s="12"/>
      <c r="AA1042" s="12"/>
    </row>
    <row r="1043" ht="26.25" customHeight="1">
      <c r="A1043" s="17" t="s">
        <v>2090</v>
      </c>
      <c r="B1043" s="18" t="s">
        <v>2091</v>
      </c>
      <c r="C1043" s="14">
        <v>1.0</v>
      </c>
      <c r="D1043" s="15">
        <v>132.0</v>
      </c>
      <c r="E1043" s="15">
        <v>1.0</v>
      </c>
      <c r="F1043" s="16" t="str">
        <f t="array" ref="F1043">"https://www.google.com/maps/search/?api=1&amp;query=" &amp; A1043 &amp; "," &amp; B1043</f>
        <v>https://www.google.com/maps/search/?api=1&amp;query=-3.0899221103242,-55.5390721162179</v>
      </c>
      <c r="G1043" s="16" t="str">
        <f t="array" ref="G1043">"https://earth.google.com/web/search/" &amp; A1043 &amp; "," &amp; B1043</f>
        <v>https://earth.google.com/web/search/-3.0899221103242,-55.5390721162179</v>
      </c>
      <c r="H1043" s="12"/>
      <c r="I1043" s="12"/>
      <c r="J1043" s="12"/>
      <c r="K1043" s="12"/>
      <c r="L1043" s="12"/>
      <c r="M1043" s="12"/>
      <c r="N1043" s="12"/>
      <c r="O1043" s="12"/>
      <c r="P1043" s="12"/>
      <c r="Q1043" s="12"/>
      <c r="R1043" s="12"/>
      <c r="S1043" s="12"/>
      <c r="T1043" s="12"/>
      <c r="U1043" s="12"/>
      <c r="V1043" s="12"/>
      <c r="W1043" s="12"/>
      <c r="X1043" s="12"/>
      <c r="Y1043" s="12"/>
      <c r="Z1043" s="12"/>
      <c r="AA1043" s="12"/>
    </row>
    <row r="1044" ht="26.25" customHeight="1">
      <c r="A1044" s="17" t="s">
        <v>2092</v>
      </c>
      <c r="B1044" s="18" t="s">
        <v>2093</v>
      </c>
      <c r="C1044" s="14">
        <v>1.0</v>
      </c>
      <c r="D1044" s="15">
        <v>132.0</v>
      </c>
      <c r="E1044" s="15">
        <v>2.0</v>
      </c>
      <c r="F1044" s="16" t="str">
        <f t="array" ref="F1044">"https://www.google.com/maps/search/?api=1&amp;query=" &amp; A1044 &amp; "," &amp; B1044</f>
        <v>https://www.google.com/maps/search/?api=1&amp;query=-30.8992616375582,-55.5389927467123</v>
      </c>
      <c r="G1044" s="16" t="str">
        <f t="array" ref="G1044">"https://earth.google.com/web/search/" &amp; A1044 &amp; "," &amp; B1044</f>
        <v>https://earth.google.com/web/search/-30.8992616375582,-55.5389927467123</v>
      </c>
      <c r="H1044" s="12"/>
      <c r="I1044" s="12"/>
      <c r="J1044" s="12"/>
      <c r="K1044" s="12"/>
      <c r="L1044" s="12"/>
      <c r="M1044" s="12"/>
      <c r="N1044" s="12"/>
      <c r="O1044" s="12"/>
      <c r="P1044" s="12"/>
      <c r="Q1044" s="12"/>
      <c r="R1044" s="12"/>
      <c r="S1044" s="12"/>
      <c r="T1044" s="12"/>
      <c r="U1044" s="12"/>
      <c r="V1044" s="12"/>
      <c r="W1044" s="12"/>
      <c r="X1044" s="12"/>
      <c r="Y1044" s="12"/>
      <c r="Z1044" s="12"/>
      <c r="AA1044" s="12"/>
    </row>
    <row r="1045" ht="26.25" customHeight="1">
      <c r="A1045" s="17" t="s">
        <v>2094</v>
      </c>
      <c r="B1045" s="18" t="s">
        <v>2095</v>
      </c>
      <c r="C1045" s="14">
        <v>1.0</v>
      </c>
      <c r="D1045" s="15">
        <v>132.0</v>
      </c>
      <c r="E1045" s="15">
        <v>3.0</v>
      </c>
      <c r="F1045" s="16" t="str">
        <f t="array" ref="F1045">"https://www.google.com/maps/search/?api=1&amp;query=" &amp; A1045 &amp; "," &amp; B1045</f>
        <v>https://www.google.com/maps/search/?api=1&amp;query=-30.8993758580146,-55.5387799993628</v>
      </c>
      <c r="G1045" s="16" t="str">
        <f t="array" ref="G1045">"https://earth.google.com/web/search/" &amp; A1045 &amp; "," &amp; B1045</f>
        <v>https://earth.google.com/web/search/-30.8993758580146,-55.5387799993628</v>
      </c>
      <c r="H1045" s="12"/>
      <c r="I1045" s="12"/>
      <c r="J1045" s="12"/>
      <c r="K1045" s="12"/>
      <c r="L1045" s="12"/>
      <c r="M1045" s="12"/>
      <c r="N1045" s="12"/>
      <c r="O1045" s="12"/>
      <c r="P1045" s="12"/>
      <c r="Q1045" s="12"/>
      <c r="R1045" s="12"/>
      <c r="S1045" s="12"/>
      <c r="T1045" s="12"/>
      <c r="U1045" s="12"/>
      <c r="V1045" s="12"/>
      <c r="W1045" s="12"/>
      <c r="X1045" s="12"/>
      <c r="Y1045" s="12"/>
      <c r="Z1045" s="12"/>
      <c r="AA1045" s="12"/>
    </row>
    <row r="1046" ht="26.25" customHeight="1">
      <c r="A1046" s="17" t="s">
        <v>2096</v>
      </c>
      <c r="B1046" s="18" t="s">
        <v>2097</v>
      </c>
      <c r="C1046" s="14">
        <v>1.0</v>
      </c>
      <c r="D1046" s="15">
        <v>132.0</v>
      </c>
      <c r="E1046" s="15">
        <v>4.0</v>
      </c>
      <c r="F1046" s="16" t="str">
        <f t="array" ref="F1046">"https://www.google.com/maps/search/?api=1&amp;query=" &amp; A1046 &amp; "," &amp; B1046</f>
        <v>https://www.google.com/maps/search/?api=1&amp;query=-30.8994238118334,-55.5386726844683</v>
      </c>
      <c r="G1046" s="16" t="str">
        <f t="array" ref="G1046">"https://earth.google.com/web/search/" &amp; A1046 &amp; "," &amp; B1046</f>
        <v>https://earth.google.com/web/search/-30.8994238118334,-55.5386726844683</v>
      </c>
      <c r="H1046" s="12"/>
      <c r="I1046" s="12"/>
      <c r="J1046" s="12"/>
      <c r="K1046" s="12"/>
      <c r="L1046" s="12"/>
      <c r="M1046" s="12"/>
      <c r="N1046" s="12"/>
      <c r="O1046" s="12"/>
      <c r="P1046" s="12"/>
      <c r="Q1046" s="12"/>
      <c r="R1046" s="12"/>
      <c r="S1046" s="12"/>
      <c r="T1046" s="12"/>
      <c r="U1046" s="12"/>
      <c r="V1046" s="12"/>
      <c r="W1046" s="12"/>
      <c r="X1046" s="12"/>
      <c r="Y1046" s="12"/>
      <c r="Z1046" s="12"/>
      <c r="AA1046" s="12"/>
    </row>
    <row r="1047" ht="26.25" customHeight="1">
      <c r="A1047" s="17" t="s">
        <v>2098</v>
      </c>
      <c r="B1047" s="18" t="s">
        <v>2099</v>
      </c>
      <c r="C1047" s="14">
        <v>1.0</v>
      </c>
      <c r="D1047" s="15">
        <v>132.0</v>
      </c>
      <c r="E1047" s="15">
        <v>5.0</v>
      </c>
      <c r="F1047" s="16" t="str">
        <f t="array" ref="F1047">"https://www.google.com/maps/search/?api=1&amp;query=" &amp; A1047 &amp; "," &amp; B1047</f>
        <v>https://www.google.com/maps/search/?api=1&amp;query=-30.8987975361879,-0.5553800571306</v>
      </c>
      <c r="G1047" s="16" t="str">
        <f t="array" ref="G1047">"https://earth.google.com/web/search/" &amp; A1047 &amp; "," &amp; B1047</f>
        <v>https://earth.google.com/web/search/-30.8987975361879,-0.5553800571306</v>
      </c>
      <c r="H1047" s="12"/>
      <c r="I1047" s="12"/>
      <c r="J1047" s="12"/>
      <c r="K1047" s="12"/>
      <c r="L1047" s="12"/>
      <c r="M1047" s="12"/>
      <c r="N1047" s="12"/>
      <c r="O1047" s="12"/>
      <c r="P1047" s="12"/>
      <c r="Q1047" s="12"/>
      <c r="R1047" s="12"/>
      <c r="S1047" s="12"/>
      <c r="T1047" s="12"/>
      <c r="U1047" s="12"/>
      <c r="V1047" s="12"/>
      <c r="W1047" s="12"/>
      <c r="X1047" s="12"/>
      <c r="Y1047" s="12"/>
      <c r="Z1047" s="12"/>
      <c r="AA1047" s="12"/>
    </row>
    <row r="1048" ht="26.25" customHeight="1">
      <c r="A1048" s="17" t="s">
        <v>2100</v>
      </c>
      <c r="B1048" s="18" t="s">
        <v>2101</v>
      </c>
      <c r="C1048" s="14">
        <v>1.0</v>
      </c>
      <c r="D1048" s="15">
        <v>132.0</v>
      </c>
      <c r="E1048" s="15">
        <v>6.0</v>
      </c>
      <c r="F1048" s="16" t="str">
        <f t="array" ref="F1048">"https://www.google.com/maps/search/?api=1&amp;query=" &amp; A1048 &amp; "," &amp; B1048</f>
        <v>https://www.google.com/maps/search/?api=1&amp;query=-30.8987742826128,-55.5380725115072</v>
      </c>
      <c r="G1048" s="16" t="str">
        <f t="array" ref="G1048">"https://earth.google.com/web/search/" &amp; A1048 &amp; "," &amp; B1048</f>
        <v>https://earth.google.com/web/search/-30.8987742826128,-55.5380725115072</v>
      </c>
      <c r="H1048" s="12"/>
      <c r="I1048" s="12"/>
      <c r="J1048" s="12"/>
      <c r="K1048" s="12"/>
      <c r="L1048" s="12"/>
      <c r="M1048" s="12"/>
      <c r="N1048" s="12"/>
      <c r="O1048" s="12"/>
      <c r="P1048" s="12"/>
      <c r="Q1048" s="12"/>
      <c r="R1048" s="12"/>
      <c r="S1048" s="12"/>
      <c r="T1048" s="12"/>
      <c r="U1048" s="12"/>
      <c r="V1048" s="12"/>
      <c r="W1048" s="12"/>
      <c r="X1048" s="12"/>
      <c r="Y1048" s="12"/>
      <c r="Z1048" s="12"/>
      <c r="AA1048" s="12"/>
    </row>
    <row r="1049" ht="26.25" customHeight="1">
      <c r="A1049" s="17" t="s">
        <v>2102</v>
      </c>
      <c r="B1049" s="18" t="s">
        <v>2103</v>
      </c>
      <c r="C1049" s="14">
        <v>1.0</v>
      </c>
      <c r="D1049" s="15">
        <v>132.0</v>
      </c>
      <c r="E1049" s="15">
        <v>7.0</v>
      </c>
      <c r="F1049" s="16" t="str">
        <f t="array" ref="F1049">"https://www.google.com/maps/search/?api=1&amp;query=" &amp; A1049 &amp; "," &amp; B1049</f>
        <v>https://www.google.com/maps/search/?api=1&amp;query=-30.8989167802536,-55.5390814830066</v>
      </c>
      <c r="G1049" s="16" t="str">
        <f t="array" ref="G1049">"https://earth.google.com/web/search/" &amp; A1049 &amp; "," &amp; B1049</f>
        <v>https://earth.google.com/web/search/-30.8989167802536,-55.5390814830066</v>
      </c>
      <c r="H1049" s="12"/>
      <c r="I1049" s="12"/>
      <c r="J1049" s="12"/>
      <c r="K1049" s="12"/>
      <c r="L1049" s="12"/>
      <c r="M1049" s="12"/>
      <c r="N1049" s="12"/>
      <c r="O1049" s="12"/>
      <c r="P1049" s="12"/>
      <c r="Q1049" s="12"/>
      <c r="R1049" s="12"/>
      <c r="S1049" s="12"/>
      <c r="T1049" s="12"/>
      <c r="U1049" s="12"/>
      <c r="V1049" s="12"/>
      <c r="W1049" s="12"/>
      <c r="X1049" s="12"/>
      <c r="Y1049" s="12"/>
      <c r="Z1049" s="12"/>
      <c r="AA1049" s="12"/>
    </row>
    <row r="1050" ht="26.25" customHeight="1">
      <c r="A1050" s="17" t="s">
        <v>2104</v>
      </c>
      <c r="B1050" s="18" t="s">
        <v>2105</v>
      </c>
      <c r="C1050" s="14">
        <v>1.0</v>
      </c>
      <c r="D1050" s="15">
        <v>133.0</v>
      </c>
      <c r="E1050" s="15">
        <v>1.0</v>
      </c>
      <c r="F1050" s="16" t="str">
        <f t="array" ref="F1050">"https://www.google.com/maps/search/?api=1&amp;query=" &amp; A1050 &amp; "," &amp; B1050</f>
        <v>https://www.google.com/maps/search/?api=1&amp;query=-30.8987119143654,-55.5400394678676</v>
      </c>
      <c r="G1050" s="16" t="str">
        <f t="array" ref="G1050">"https://earth.google.com/web/search/" &amp; A1050 &amp; "," &amp; B1050</f>
        <v>https://earth.google.com/web/search/-30.8987119143654,-55.5400394678676</v>
      </c>
      <c r="H1050" s="12"/>
      <c r="I1050" s="12"/>
      <c r="J1050" s="12"/>
      <c r="K1050" s="12"/>
      <c r="L1050" s="12"/>
      <c r="M1050" s="12"/>
      <c r="N1050" s="12"/>
      <c r="O1050" s="12"/>
      <c r="P1050" s="12"/>
      <c r="Q1050" s="12"/>
      <c r="R1050" s="12"/>
      <c r="S1050" s="12"/>
      <c r="T1050" s="12"/>
      <c r="U1050" s="12"/>
      <c r="V1050" s="12"/>
      <c r="W1050" s="12"/>
      <c r="X1050" s="12"/>
      <c r="Y1050" s="12"/>
      <c r="Z1050" s="12"/>
      <c r="AA1050" s="12"/>
    </row>
    <row r="1051" ht="26.25" customHeight="1">
      <c r="A1051" s="17" t="s">
        <v>2106</v>
      </c>
      <c r="B1051" s="18" t="s">
        <v>2107</v>
      </c>
      <c r="C1051" s="14">
        <v>1.0</v>
      </c>
      <c r="D1051" s="15">
        <v>133.0</v>
      </c>
      <c r="E1051" s="15">
        <v>2.0</v>
      </c>
      <c r="F1051" s="16" t="str">
        <f t="array" ref="F1051">"https://www.google.com/maps/search/?api=1&amp;query=" &amp; A1051 &amp; "," &amp; B1051</f>
        <v>https://www.google.com/maps/search/?api=1&amp;query=-30.8988170029399,-55.5398281914165</v>
      </c>
      <c r="G1051" s="16" t="str">
        <f t="array" ref="G1051">"https://earth.google.com/web/search/" &amp; A1051 &amp; "," &amp; B1051</f>
        <v>https://earth.google.com/web/search/-30.8988170029399,-55.5398281914165</v>
      </c>
      <c r="H1051" s="12"/>
      <c r="I1051" s="12"/>
      <c r="J1051" s="12"/>
      <c r="K1051" s="12"/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/>
    </row>
    <row r="1052" ht="26.25" customHeight="1">
      <c r="A1052" s="17" t="s">
        <v>2108</v>
      </c>
      <c r="B1052" s="18" t="s">
        <v>2109</v>
      </c>
      <c r="C1052" s="14">
        <v>1.0</v>
      </c>
      <c r="D1052" s="15">
        <v>133.0</v>
      </c>
      <c r="E1052" s="15">
        <v>3.0</v>
      </c>
      <c r="F1052" s="16" t="str">
        <f t="array" ref="F1052">"https://www.google.com/maps/search/?api=1&amp;query=" &amp; A1052 &amp; "," &amp; B1052</f>
        <v>https://www.google.com/maps/search/?api=1&amp;query=-30.8989211205757,-55.5396316528002</v>
      </c>
      <c r="G1052" s="16" t="str">
        <f t="array" ref="G1052">"https://earth.google.com/web/search/" &amp; A1052 &amp; "," &amp; B1052</f>
        <v>https://earth.google.com/web/search/-30.8989211205757,-55.5396316528002</v>
      </c>
      <c r="H1052" s="12"/>
      <c r="I1052" s="12"/>
      <c r="J1052" s="12"/>
      <c r="K1052" s="12"/>
      <c r="L1052" s="12"/>
      <c r="M1052" s="12"/>
      <c r="N1052" s="12"/>
      <c r="O1052" s="12"/>
      <c r="P1052" s="12"/>
      <c r="Q1052" s="12"/>
      <c r="R1052" s="12"/>
      <c r="S1052" s="12"/>
      <c r="T1052" s="12"/>
      <c r="U1052" s="12"/>
      <c r="V1052" s="12"/>
      <c r="W1052" s="12"/>
      <c r="X1052" s="12"/>
      <c r="Y1052" s="12"/>
      <c r="Z1052" s="12"/>
      <c r="AA1052" s="12"/>
    </row>
    <row r="1053" ht="26.25" customHeight="1">
      <c r="A1053" s="17" t="s">
        <v>2110</v>
      </c>
      <c r="B1053" s="18" t="s">
        <v>2111</v>
      </c>
      <c r="C1053" s="14">
        <v>1.0</v>
      </c>
      <c r="D1053" s="15">
        <v>133.0</v>
      </c>
      <c r="E1053" s="15">
        <v>4.0</v>
      </c>
      <c r="F1053" s="16" t="str">
        <f t="array" ref="F1053">"https://www.google.com/maps/search/?api=1&amp;query=" &amp; A1053 &amp; "," &amp; B1053</f>
        <v>https://www.google.com/maps/search/?api=1&amp;query=-30.8989699577238,-55.5395476791854</v>
      </c>
      <c r="G1053" s="16" t="str">
        <f t="array" ref="G1053">"https://earth.google.com/web/search/" &amp; A1053 &amp; "," &amp; B1053</f>
        <v>https://earth.google.com/web/search/-30.8989699577238,-55.5395476791854</v>
      </c>
      <c r="H1053" s="12"/>
      <c r="I1053" s="12"/>
      <c r="J1053" s="12"/>
      <c r="K1053" s="12"/>
      <c r="L1053" s="12"/>
      <c r="M1053" s="12"/>
      <c r="N1053" s="12"/>
      <c r="O1053" s="12"/>
      <c r="P1053" s="12"/>
      <c r="Q1053" s="12"/>
      <c r="R1053" s="12"/>
      <c r="S1053" s="12"/>
      <c r="T1053" s="12"/>
      <c r="U1053" s="12"/>
      <c r="V1053" s="12"/>
      <c r="W1053" s="12"/>
      <c r="X1053" s="12"/>
      <c r="Y1053" s="12"/>
      <c r="Z1053" s="12"/>
      <c r="AA1053" s="12"/>
    </row>
    <row r="1054" ht="26.25" customHeight="1">
      <c r="A1054" s="17" t="s">
        <v>2112</v>
      </c>
      <c r="B1054" s="18" t="s">
        <v>2113</v>
      </c>
      <c r="C1054" s="14">
        <v>1.0</v>
      </c>
      <c r="D1054" s="15">
        <v>133.0</v>
      </c>
      <c r="E1054" s="15">
        <v>5.0</v>
      </c>
      <c r="F1054" s="16" t="str">
        <f t="array" ref="F1054">"https://www.google.com/maps/search/?api=1&amp;query=" &amp; A1054 &amp; "," &amp; B1054</f>
        <v>https://www.google.com/maps/search/?api=1&amp;query=-30.8990417877654,-55.5394379017683</v>
      </c>
      <c r="G1054" s="16" t="str">
        <f t="array" ref="G1054">"https://earth.google.com/web/search/" &amp; A1054 &amp; "," &amp; B1054</f>
        <v>https://earth.google.com/web/search/-30.8990417877654,-55.5394379017683</v>
      </c>
      <c r="H1054" s="12"/>
      <c r="I1054" s="12"/>
      <c r="J1054" s="12"/>
      <c r="K1054" s="12"/>
      <c r="L1054" s="12"/>
      <c r="M1054" s="12"/>
      <c r="N1054" s="12"/>
      <c r="O1054" s="12"/>
      <c r="P1054" s="12"/>
      <c r="Q1054" s="12"/>
      <c r="R1054" s="12"/>
      <c r="S1054" s="12"/>
      <c r="T1054" s="12"/>
      <c r="U1054" s="12"/>
      <c r="V1054" s="12"/>
      <c r="W1054" s="12"/>
      <c r="X1054" s="12"/>
      <c r="Y1054" s="12"/>
      <c r="Z1054" s="12"/>
      <c r="AA1054" s="12"/>
    </row>
    <row r="1055" ht="26.25" customHeight="1">
      <c r="A1055" s="17" t="s">
        <v>2114</v>
      </c>
      <c r="B1055" s="18" t="s">
        <v>2115</v>
      </c>
      <c r="C1055" s="14">
        <v>1.0</v>
      </c>
      <c r="D1055" s="15">
        <v>133.0</v>
      </c>
      <c r="E1055" s="15">
        <v>6.0</v>
      </c>
      <c r="F1055" s="16" t="str">
        <f t="array" ref="F1055">"https://www.google.com/maps/search/?api=1&amp;query=" &amp; A1055 &amp; "," &amp; B1055</f>
        <v>https://www.google.com/maps/search/?api=1&amp;query=-30.8988841251627,-55.5392458034092</v>
      </c>
      <c r="G1055" s="16" t="str">
        <f t="array" ref="G1055">"https://earth.google.com/web/search/" &amp; A1055 &amp; "," &amp; B1055</f>
        <v>https://earth.google.com/web/search/-30.8988841251627,-55.5392458034092</v>
      </c>
      <c r="H1055" s="12"/>
      <c r="I1055" s="12"/>
      <c r="J1055" s="12"/>
      <c r="K1055" s="12"/>
      <c r="L1055" s="12"/>
      <c r="M1055" s="12"/>
      <c r="N1055" s="12"/>
      <c r="O1055" s="12"/>
      <c r="P1055" s="12"/>
      <c r="Q1055" s="12"/>
      <c r="R1055" s="12"/>
      <c r="S1055" s="12"/>
      <c r="T1055" s="12"/>
      <c r="U1055" s="12"/>
      <c r="V1055" s="12"/>
      <c r="W1055" s="12"/>
      <c r="X1055" s="12"/>
      <c r="Y1055" s="12"/>
      <c r="Z1055" s="12"/>
      <c r="AA1055" s="12"/>
    </row>
    <row r="1056" ht="26.25" customHeight="1">
      <c r="A1056" s="17" t="s">
        <v>2116</v>
      </c>
      <c r="B1056" s="18" t="s">
        <v>2117</v>
      </c>
      <c r="C1056" s="14">
        <v>1.0</v>
      </c>
      <c r="D1056" s="15">
        <v>133.0</v>
      </c>
      <c r="E1056" s="15">
        <v>7.0</v>
      </c>
      <c r="F1056" s="16" t="str">
        <f t="array" ref="F1056">"https://www.google.com/maps/search/?api=1&amp;query=" &amp; A1056 &amp; "," &amp; B1056</f>
        <v>https://www.google.com/maps/search/?api=1&amp;query=-30.8985845789926,-5.5539020296944</v>
      </c>
      <c r="G1056" s="16" t="str">
        <f t="array" ref="G1056">"https://earth.google.com/web/search/" &amp; A1056 &amp; "," &amp; B1056</f>
        <v>https://earth.google.com/web/search/-30.8985845789926,-5.5539020296944</v>
      </c>
      <c r="H1056" s="12"/>
      <c r="I1056" s="12"/>
      <c r="J1056" s="12"/>
      <c r="K1056" s="12"/>
      <c r="L1056" s="12"/>
      <c r="M1056" s="12"/>
      <c r="N1056" s="12"/>
      <c r="O1056" s="12"/>
      <c r="P1056" s="12"/>
      <c r="Q1056" s="12"/>
      <c r="R1056" s="12"/>
      <c r="S1056" s="12"/>
      <c r="T1056" s="12"/>
      <c r="U1056" s="12"/>
      <c r="V1056" s="12"/>
      <c r="W1056" s="12"/>
      <c r="X1056" s="12"/>
      <c r="Y1056" s="12"/>
      <c r="Z1056" s="12"/>
      <c r="AA1056" s="12"/>
    </row>
    <row r="1057" ht="26.25" customHeight="1">
      <c r="A1057" s="17" t="s">
        <v>2118</v>
      </c>
      <c r="B1057" s="18" t="s">
        <v>2119</v>
      </c>
      <c r="C1057" s="14">
        <v>1.0</v>
      </c>
      <c r="D1057" s="15">
        <v>133.0</v>
      </c>
      <c r="E1057" s="15">
        <v>8.0</v>
      </c>
      <c r="F1057" s="16" t="str">
        <f t="array" ref="F1057">"https://www.google.com/maps/search/?api=1&amp;query=" &amp; A1057 &amp; "," &amp; B1057</f>
        <v>https://www.google.com/maps/search/?api=1&amp;query=-30.8981113301166,-55.5393183202477</v>
      </c>
      <c r="G1057" s="16" t="str">
        <f t="array" ref="G1057">"https://earth.google.com/web/search/" &amp; A1057 &amp; "," &amp; B1057</f>
        <v>https://earth.google.com/web/search/-30.8981113301166,-55.5393183202477</v>
      </c>
      <c r="H1057" s="12"/>
      <c r="I1057" s="12"/>
      <c r="J1057" s="12"/>
      <c r="K1057" s="12"/>
      <c r="L1057" s="12"/>
      <c r="M1057" s="12"/>
      <c r="N1057" s="12"/>
      <c r="O1057" s="12"/>
      <c r="P1057" s="12"/>
      <c r="Q1057" s="12"/>
      <c r="R1057" s="12"/>
      <c r="S1057" s="12"/>
      <c r="T1057" s="12"/>
      <c r="U1057" s="12"/>
      <c r="V1057" s="12"/>
      <c r="W1057" s="12"/>
      <c r="X1057" s="12"/>
      <c r="Y1057" s="12"/>
      <c r="Z1057" s="12"/>
      <c r="AA1057" s="12"/>
    </row>
    <row r="1058" ht="26.25" customHeight="1">
      <c r="A1058" s="17" t="s">
        <v>2120</v>
      </c>
      <c r="B1058" s="18" t="s">
        <v>2121</v>
      </c>
      <c r="C1058" s="14">
        <v>1.0</v>
      </c>
      <c r="D1058" s="15">
        <v>133.0</v>
      </c>
      <c r="E1058" s="15">
        <v>9.0</v>
      </c>
      <c r="F1058" s="16" t="str">
        <f t="array" ref="F1058">"https://www.google.com/maps/search/?api=1&amp;query=" &amp; A1058 &amp; "," &amp; B1058</f>
        <v>https://www.google.com/maps/search/?api=1&amp;query=-30.8980053913792,-55.5395160857896</v>
      </c>
      <c r="G1058" s="16" t="str">
        <f t="array" ref="G1058">"https://earth.google.com/web/search/" &amp; A1058 &amp; "," &amp; B1058</f>
        <v>https://earth.google.com/web/search/-30.8980053913792,-55.5395160857896</v>
      </c>
      <c r="H1058" s="12"/>
      <c r="I1058" s="12"/>
      <c r="J1058" s="12"/>
      <c r="K1058" s="12"/>
      <c r="L1058" s="12"/>
      <c r="M1058" s="12"/>
      <c r="N1058" s="12"/>
      <c r="O1058" s="12"/>
      <c r="P1058" s="12"/>
      <c r="Q1058" s="12"/>
      <c r="R1058" s="12"/>
      <c r="S1058" s="12"/>
      <c r="T1058" s="12"/>
      <c r="U1058" s="12"/>
      <c r="V1058" s="12"/>
      <c r="W1058" s="12"/>
      <c r="X1058" s="12"/>
      <c r="Y1058" s="12"/>
      <c r="Z1058" s="12"/>
      <c r="AA1058" s="12"/>
    </row>
    <row r="1059" ht="26.25" customHeight="1">
      <c r="A1059" s="17" t="s">
        <v>2122</v>
      </c>
      <c r="B1059" s="18" t="s">
        <v>2123</v>
      </c>
      <c r="C1059" s="14">
        <v>1.0</v>
      </c>
      <c r="D1059" s="15">
        <v>133.0</v>
      </c>
      <c r="E1059" s="15">
        <v>10.0</v>
      </c>
      <c r="F1059" s="16" t="str">
        <f t="array" ref="F1059">"https://www.google.com/maps/search/?api=1&amp;query=" &amp; A1059 &amp; "," &amp; B1059</f>
        <v>https://www.google.com/maps/search/?api=1&amp;query=-30.8979932243046,-55.5397515248566</v>
      </c>
      <c r="G1059" s="16" t="str">
        <f t="array" ref="G1059">"https://earth.google.com/web/search/" &amp; A1059 &amp; "," &amp; B1059</f>
        <v>https://earth.google.com/web/search/-30.8979932243046,-55.5397515248566</v>
      </c>
      <c r="H1059" s="12"/>
      <c r="I1059" s="12"/>
      <c r="J1059" s="12"/>
      <c r="K1059" s="12"/>
      <c r="L1059" s="12"/>
      <c r="M1059" s="12"/>
      <c r="N1059" s="12"/>
      <c r="O1059" s="12"/>
      <c r="P1059" s="12"/>
      <c r="Q1059" s="12"/>
      <c r="R1059" s="12"/>
      <c r="S1059" s="12"/>
      <c r="T1059" s="12"/>
      <c r="U1059" s="12"/>
      <c r="V1059" s="12"/>
      <c r="W1059" s="12"/>
      <c r="X1059" s="12"/>
      <c r="Y1059" s="12"/>
      <c r="Z1059" s="12"/>
      <c r="AA1059" s="12"/>
    </row>
    <row r="1060" ht="26.25" customHeight="1">
      <c r="A1060" s="17" t="s">
        <v>2124</v>
      </c>
      <c r="B1060" s="18" t="s">
        <v>2125</v>
      </c>
      <c r="C1060" s="14">
        <v>1.0</v>
      </c>
      <c r="D1060" s="15">
        <v>133.0</v>
      </c>
      <c r="E1060" s="15">
        <v>11.0</v>
      </c>
      <c r="F1060" s="16" t="str">
        <f t="array" ref="F1060">"https://www.google.com/maps/search/?api=1&amp;query=" &amp; A1060 &amp; "," &amp; B1060</f>
        <v>https://www.google.com/maps/search/?api=1&amp;query=-30.8980324971186,-55.5397757129651</v>
      </c>
      <c r="G1060" s="16" t="str">
        <f t="array" ref="G1060">"https://earth.google.com/web/search/" &amp; A1060 &amp; "," &amp; B1060</f>
        <v>https://earth.google.com/web/search/-30.8980324971186,-55.5397757129651</v>
      </c>
      <c r="H1060" s="12"/>
      <c r="I1060" s="12"/>
      <c r="J1060" s="12"/>
      <c r="K1060" s="12"/>
      <c r="L1060" s="12"/>
      <c r="M1060" s="12"/>
      <c r="N1060" s="12"/>
      <c r="O1060" s="12"/>
      <c r="P1060" s="12"/>
      <c r="Q1060" s="12"/>
      <c r="R1060" s="12"/>
      <c r="S1060" s="12"/>
      <c r="T1060" s="12"/>
      <c r="U1060" s="12"/>
      <c r="V1060" s="12"/>
      <c r="W1060" s="12"/>
      <c r="X1060" s="12"/>
      <c r="Y1060" s="12"/>
      <c r="Z1060" s="12"/>
      <c r="AA1060" s="12"/>
    </row>
    <row r="1061" ht="26.25" customHeight="1">
      <c r="A1061" s="17" t="s">
        <v>2126</v>
      </c>
      <c r="B1061" s="18" t="s">
        <v>2127</v>
      </c>
      <c r="C1061" s="14">
        <v>1.0</v>
      </c>
      <c r="D1061" s="15">
        <v>133.0</v>
      </c>
      <c r="E1061" s="15">
        <v>12.0</v>
      </c>
      <c r="F1061" s="16" t="str">
        <f t="array" ref="F1061">"https://www.google.com/maps/search/?api=1&amp;query=" &amp; A1061 &amp; "," &amp; B1061</f>
        <v>https://www.google.com/maps/search/?api=1&amp;query=-30.8981053908302,-55.5398131814535</v>
      </c>
      <c r="G1061" s="16" t="str">
        <f t="array" ref="G1061">"https://earth.google.com/web/search/" &amp; A1061 &amp; "," &amp; B1061</f>
        <v>https://earth.google.com/web/search/-30.8981053908302,-55.5398131814535</v>
      </c>
      <c r="H1061" s="12"/>
      <c r="I1061" s="12"/>
      <c r="J1061" s="12"/>
      <c r="K1061" s="12"/>
      <c r="L1061" s="12"/>
      <c r="M1061" s="12"/>
      <c r="N1061" s="12"/>
      <c r="O1061" s="12"/>
      <c r="P1061" s="12"/>
      <c r="Q1061" s="12"/>
      <c r="R1061" s="12"/>
      <c r="S1061" s="12"/>
      <c r="T1061" s="12"/>
      <c r="U1061" s="12"/>
      <c r="V1061" s="12"/>
      <c r="W1061" s="12"/>
      <c r="X1061" s="12"/>
      <c r="Y1061" s="12"/>
      <c r="Z1061" s="12"/>
      <c r="AA1061" s="12"/>
    </row>
    <row r="1062" ht="26.25" customHeight="1">
      <c r="A1062" s="17" t="s">
        <v>2128</v>
      </c>
      <c r="B1062" s="18" t="s">
        <v>2129</v>
      </c>
      <c r="C1062" s="14">
        <v>1.0</v>
      </c>
      <c r="D1062" s="15">
        <v>133.0</v>
      </c>
      <c r="E1062" s="15">
        <v>13.0</v>
      </c>
      <c r="F1062" s="16" t="str">
        <f t="array" ref="F1062">"https://www.google.com/maps/search/?api=1&amp;query=" &amp; A1062 &amp; "," &amp; B1062</f>
        <v>https://www.google.com/maps/search/?api=1&amp;query=-3.0898199140465,-55.5398770860477</v>
      </c>
      <c r="G1062" s="16" t="str">
        <f t="array" ref="G1062">"https://earth.google.com/web/search/" &amp; A1062 &amp; "," &amp; B1062</f>
        <v>https://earth.google.com/web/search/-3.0898199140465,-55.5398770860477</v>
      </c>
      <c r="H1062" s="12"/>
      <c r="I1062" s="12"/>
      <c r="J1062" s="12"/>
      <c r="K1062" s="12"/>
      <c r="L1062" s="12"/>
      <c r="M1062" s="12"/>
      <c r="N1062" s="12"/>
      <c r="O1062" s="12"/>
      <c r="P1062" s="12"/>
      <c r="Q1062" s="12"/>
      <c r="R1062" s="12"/>
      <c r="S1062" s="12"/>
      <c r="T1062" s="12"/>
      <c r="U1062" s="12"/>
      <c r="V1062" s="12"/>
      <c r="W1062" s="12"/>
      <c r="X1062" s="12"/>
      <c r="Y1062" s="12"/>
      <c r="Z1062" s="12"/>
      <c r="AA1062" s="12"/>
    </row>
    <row r="1063" ht="26.25" customHeight="1">
      <c r="A1063" s="17" t="s">
        <v>2130</v>
      </c>
      <c r="B1063" s="18" t="s">
        <v>2131</v>
      </c>
      <c r="C1063" s="14">
        <v>1.0</v>
      </c>
      <c r="D1063" s="15">
        <v>133.0</v>
      </c>
      <c r="E1063" s="15">
        <v>14.0</v>
      </c>
      <c r="F1063" s="16" t="str">
        <f t="array" ref="F1063">"https://www.google.com/maps/search/?api=1&amp;query=" &amp; A1063 &amp; "," &amp; B1063</f>
        <v>https://www.google.com/maps/search/?api=1&amp;query=-30.8984337039189,-55.5400461322357</v>
      </c>
      <c r="G1063" s="16" t="str">
        <f t="array" ref="G1063">"https://earth.google.com/web/search/" &amp; A1063 &amp; "," &amp; B1063</f>
        <v>https://earth.google.com/web/search/-30.8984337039189,-55.5400461322357</v>
      </c>
      <c r="H1063" s="12"/>
      <c r="I1063" s="12"/>
      <c r="J1063" s="12"/>
      <c r="K1063" s="12"/>
      <c r="L1063" s="12"/>
      <c r="M1063" s="12"/>
      <c r="N1063" s="12"/>
      <c r="O1063" s="12"/>
      <c r="P1063" s="12"/>
      <c r="Q1063" s="12"/>
      <c r="R1063" s="12"/>
      <c r="S1063" s="12"/>
      <c r="T1063" s="12"/>
      <c r="U1063" s="12"/>
      <c r="V1063" s="12"/>
      <c r="W1063" s="12"/>
      <c r="X1063" s="12"/>
      <c r="Y1063" s="12"/>
      <c r="Z1063" s="12"/>
      <c r="AA1063" s="12"/>
    </row>
    <row r="1064" ht="26.25" customHeight="1">
      <c r="A1064" s="17" t="s">
        <v>2132</v>
      </c>
      <c r="B1064" s="18" t="s">
        <v>2133</v>
      </c>
      <c r="C1064" s="14">
        <v>1.0</v>
      </c>
      <c r="D1064" s="15">
        <v>133.0</v>
      </c>
      <c r="E1064" s="15">
        <v>15.0</v>
      </c>
      <c r="F1064" s="16" t="str">
        <f t="array" ref="F1064">"https://www.google.com/maps/search/?api=1&amp;query=" &amp; A1064 &amp; "," &amp; B1064</f>
        <v>https://www.google.com/maps/search/?api=1&amp;query=-30.8984687179404,-55.5400741466021</v>
      </c>
      <c r="G1064" s="16" t="str">
        <f t="array" ref="G1064">"https://earth.google.com/web/search/" &amp; A1064 &amp; "," &amp; B1064</f>
        <v>https://earth.google.com/web/search/-30.8984687179404,-55.5400741466021</v>
      </c>
      <c r="H1064" s="12"/>
      <c r="I1064" s="12"/>
      <c r="J1064" s="12"/>
      <c r="K1064" s="12"/>
      <c r="L1064" s="12"/>
      <c r="M1064" s="12"/>
      <c r="N1064" s="12"/>
      <c r="O1064" s="12"/>
      <c r="P1064" s="12"/>
      <c r="Q1064" s="12"/>
      <c r="R1064" s="12"/>
      <c r="S1064" s="12"/>
      <c r="T1064" s="12"/>
      <c r="U1064" s="12"/>
      <c r="V1064" s="12"/>
      <c r="W1064" s="12"/>
      <c r="X1064" s="12"/>
      <c r="Y1064" s="12"/>
      <c r="Z1064" s="12"/>
      <c r="AA1064" s="12"/>
    </row>
    <row r="1065" ht="26.25" customHeight="1">
      <c r="A1065" s="17" t="s">
        <v>2134</v>
      </c>
      <c r="B1065" s="18" t="s">
        <v>2135</v>
      </c>
      <c r="C1065" s="14">
        <v>1.0</v>
      </c>
      <c r="D1065" s="15">
        <v>133.0</v>
      </c>
      <c r="E1065" s="15">
        <v>16.0</v>
      </c>
      <c r="F1065" s="16" t="str">
        <f t="array" ref="F1065">"https://www.google.com/maps/search/?api=1&amp;query=" &amp; A1065 &amp; "," &amp; B1065</f>
        <v>https://www.google.com/maps/search/?api=1&amp;query=-30.8985209682643,-55.5401070534485</v>
      </c>
      <c r="G1065" s="16" t="str">
        <f t="array" ref="G1065">"https://earth.google.com/web/search/" &amp; A1065 &amp; "," &amp; B1065</f>
        <v>https://earth.google.com/web/search/-30.8985209682643,-55.5401070534485</v>
      </c>
      <c r="H1065" s="12"/>
      <c r="I1065" s="12"/>
      <c r="J1065" s="12"/>
      <c r="K1065" s="12"/>
      <c r="L1065" s="12"/>
      <c r="M1065" s="12"/>
      <c r="N1065" s="12"/>
      <c r="O1065" s="12"/>
      <c r="P1065" s="12"/>
      <c r="Q1065" s="12"/>
      <c r="R1065" s="12"/>
      <c r="S1065" s="12"/>
      <c r="T1065" s="12"/>
      <c r="U1065" s="12"/>
      <c r="V1065" s="12"/>
      <c r="W1065" s="12"/>
      <c r="X1065" s="12"/>
      <c r="Y1065" s="12"/>
      <c r="Z1065" s="12"/>
      <c r="AA1065" s="12"/>
    </row>
    <row r="1066" ht="26.25" customHeight="1">
      <c r="A1066" s="17" t="s">
        <v>2136</v>
      </c>
      <c r="B1066" s="18" t="s">
        <v>2137</v>
      </c>
      <c r="C1066" s="14">
        <v>1.0</v>
      </c>
      <c r="D1066" s="15">
        <v>134.0</v>
      </c>
      <c r="E1066" s="15">
        <v>1.0</v>
      </c>
      <c r="F1066" s="16" t="str">
        <f t="array" ref="F1066">"https://www.google.com/maps/search/?api=1&amp;query=" &amp; A1066 &amp; "," &amp; B1066</f>
        <v>https://www.google.com/maps/search/?api=1&amp;query=-30.8981683018628,-55.5410737858627</v>
      </c>
      <c r="G1066" s="16" t="str">
        <f t="array" ref="G1066">"https://earth.google.com/web/search/" &amp; A1066 &amp; "," &amp; B1066</f>
        <v>https://earth.google.com/web/search/-30.8981683018628,-55.5410737858627</v>
      </c>
      <c r="H1066" s="12"/>
      <c r="I1066" s="12"/>
      <c r="J1066" s="12"/>
      <c r="K1066" s="12"/>
      <c r="L1066" s="12"/>
      <c r="M1066" s="12"/>
      <c r="N1066" s="12"/>
      <c r="O1066" s="12"/>
      <c r="P1066" s="12"/>
      <c r="Q1066" s="12"/>
      <c r="R1066" s="12"/>
      <c r="S1066" s="12"/>
      <c r="T1066" s="12"/>
      <c r="U1066" s="12"/>
      <c r="V1066" s="12"/>
      <c r="W1066" s="12"/>
      <c r="X1066" s="12"/>
      <c r="Y1066" s="12"/>
      <c r="Z1066" s="12"/>
      <c r="AA1066" s="12"/>
    </row>
    <row r="1067" ht="26.25" customHeight="1">
      <c r="A1067" s="17" t="s">
        <v>2138</v>
      </c>
      <c r="B1067" s="18" t="s">
        <v>2139</v>
      </c>
      <c r="C1067" s="14">
        <v>1.0</v>
      </c>
      <c r="D1067" s="15">
        <v>134.0</v>
      </c>
      <c r="E1067" s="15">
        <v>2.0</v>
      </c>
      <c r="F1067" s="16" t="str">
        <f t="array" ref="F1067">"https://www.google.com/maps/search/?api=1&amp;query=" &amp; A1067 &amp; "," &amp; B1067</f>
        <v>https://www.google.com/maps/search/?api=1&amp;query=-30.8982200094259,-55.5409583969448</v>
      </c>
      <c r="G1067" s="16" t="str">
        <f t="array" ref="G1067">"https://earth.google.com/web/search/" &amp; A1067 &amp; "," &amp; B1067</f>
        <v>https://earth.google.com/web/search/-30.8982200094259,-55.5409583969448</v>
      </c>
      <c r="H1067" s="12"/>
      <c r="I1067" s="12"/>
      <c r="J1067" s="12"/>
      <c r="K1067" s="12"/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/>
      <c r="Y1067" s="12"/>
      <c r="Z1067" s="12"/>
      <c r="AA1067" s="12"/>
    </row>
    <row r="1068" ht="26.25" customHeight="1">
      <c r="A1068" s="17" t="s">
        <v>2140</v>
      </c>
      <c r="B1068" s="18" t="s">
        <v>2141</v>
      </c>
      <c r="C1068" s="14">
        <v>1.0</v>
      </c>
      <c r="D1068" s="15">
        <v>134.0</v>
      </c>
      <c r="E1068" s="15">
        <v>3.0</v>
      </c>
      <c r="F1068" s="16" t="str">
        <f t="array" ref="F1068">"https://www.google.com/maps/search/?api=1&amp;query=" &amp; A1068 &amp; "," &amp; B1068</f>
        <v>https://www.google.com/maps/search/?api=1&amp;query=-30.8983241388049,-55.5407711764507</v>
      </c>
      <c r="G1068" s="16" t="str">
        <f t="array" ref="G1068">"https://earth.google.com/web/search/" &amp; A1068 &amp; "," &amp; B1068</f>
        <v>https://earth.google.com/web/search/-30.8983241388049,-55.5407711764507</v>
      </c>
      <c r="H1068" s="12"/>
      <c r="I1068" s="12"/>
      <c r="J1068" s="12"/>
      <c r="K1068" s="12"/>
      <c r="L1068" s="12"/>
      <c r="M1068" s="12"/>
      <c r="N1068" s="12"/>
      <c r="O1068" s="12"/>
      <c r="P1068" s="12"/>
      <c r="Q1068" s="12"/>
      <c r="R1068" s="12"/>
      <c r="S1068" s="12"/>
      <c r="T1068" s="12"/>
      <c r="U1068" s="12"/>
      <c r="V1068" s="12"/>
      <c r="W1068" s="12"/>
      <c r="X1068" s="12"/>
      <c r="Y1068" s="12"/>
      <c r="Z1068" s="12"/>
      <c r="AA1068" s="12"/>
    </row>
    <row r="1069" ht="26.25" customHeight="1">
      <c r="A1069" s="17" t="s">
        <v>2142</v>
      </c>
      <c r="B1069" s="18" t="s">
        <v>2143</v>
      </c>
      <c r="C1069" s="14">
        <v>1.0</v>
      </c>
      <c r="D1069" s="15">
        <v>134.0</v>
      </c>
      <c r="E1069" s="15">
        <v>4.0</v>
      </c>
      <c r="F1069" s="16" t="str">
        <f t="array" ref="F1069">"https://www.google.com/maps/search/?api=1&amp;query=" &amp; A1069 &amp; "," &amp; B1069</f>
        <v>https://www.google.com/maps/search/?api=1&amp;query=-30.8985280607716,-55.5403771063762</v>
      </c>
      <c r="G1069" s="16" t="str">
        <f t="array" ref="G1069">"https://earth.google.com/web/search/" &amp; A1069 &amp; "," &amp; B1069</f>
        <v>https://earth.google.com/web/search/-30.8985280607716,-55.5403771063762</v>
      </c>
      <c r="H1069" s="12"/>
      <c r="I1069" s="12"/>
      <c r="J1069" s="12"/>
      <c r="K1069" s="12"/>
      <c r="L1069" s="12"/>
      <c r="M1069" s="12"/>
      <c r="N1069" s="12"/>
      <c r="O1069" s="12"/>
      <c r="P1069" s="12"/>
      <c r="Q1069" s="12"/>
      <c r="R1069" s="12"/>
      <c r="S1069" s="12"/>
      <c r="T1069" s="12"/>
      <c r="U1069" s="12"/>
      <c r="V1069" s="12"/>
      <c r="W1069" s="12"/>
      <c r="X1069" s="12"/>
      <c r="Y1069" s="12"/>
      <c r="Z1069" s="12"/>
      <c r="AA1069" s="12"/>
    </row>
    <row r="1070" ht="26.25" customHeight="1">
      <c r="A1070" s="17" t="s">
        <v>2144</v>
      </c>
      <c r="B1070" s="18" t="s">
        <v>2145</v>
      </c>
      <c r="C1070" s="14">
        <v>1.0</v>
      </c>
      <c r="D1070" s="15">
        <v>134.0</v>
      </c>
      <c r="E1070" s="15">
        <v>5.0</v>
      </c>
      <c r="F1070" s="16" t="str">
        <f t="array" ref="F1070">"https://www.google.com/maps/search/?api=1&amp;query=" &amp; A1070 &amp; "," &amp; B1070</f>
        <v>https://www.google.com/maps/search/?api=1&amp;query=-30.8985527158475,-55.5402229394982</v>
      </c>
      <c r="G1070" s="16" t="str">
        <f t="array" ref="G1070">"https://earth.google.com/web/search/" &amp; A1070 &amp; "," &amp; B1070</f>
        <v>https://earth.google.com/web/search/-30.8985527158475,-55.5402229394982</v>
      </c>
      <c r="H1070" s="12"/>
      <c r="I1070" s="12"/>
      <c r="J1070" s="12"/>
      <c r="K1070" s="12"/>
      <c r="L1070" s="12"/>
      <c r="M1070" s="12"/>
      <c r="N1070" s="12"/>
      <c r="O1070" s="12"/>
      <c r="P1070" s="12"/>
      <c r="Q1070" s="12"/>
      <c r="R1070" s="12"/>
      <c r="S1070" s="12"/>
      <c r="T1070" s="12"/>
      <c r="U1070" s="12"/>
      <c r="V1070" s="12"/>
      <c r="W1070" s="12"/>
      <c r="X1070" s="12"/>
      <c r="Y1070" s="12"/>
      <c r="Z1070" s="12"/>
      <c r="AA1070" s="12"/>
    </row>
    <row r="1071" ht="26.25" customHeight="1">
      <c r="A1071" s="17" t="s">
        <v>2146</v>
      </c>
      <c r="B1071" s="18" t="s">
        <v>2147</v>
      </c>
      <c r="C1071" s="14">
        <v>1.0</v>
      </c>
      <c r="D1071" s="15">
        <v>134.0</v>
      </c>
      <c r="E1071" s="15">
        <v>6.0</v>
      </c>
      <c r="F1071" s="16" t="str">
        <f t="array" ref="F1071">"https://www.google.com/maps/search/?api=1&amp;query=" &amp; A1071 &amp; "," &amp; B1071</f>
        <v>https://www.google.com/maps/search/?api=1&amp;query=-30.8984886530854,-55.5401961947276</v>
      </c>
      <c r="G1071" s="16" t="str">
        <f t="array" ref="G1071">"https://earth.google.com/web/search/" &amp; A1071 &amp; "," &amp; B1071</f>
        <v>https://earth.google.com/web/search/-30.8984886530854,-55.5401961947276</v>
      </c>
      <c r="H1071" s="12"/>
      <c r="I1071" s="12"/>
      <c r="J1071" s="12"/>
      <c r="K1071" s="12"/>
      <c r="L1071" s="12"/>
      <c r="M1071" s="12"/>
      <c r="N1071" s="12"/>
      <c r="O1071" s="12"/>
      <c r="P1071" s="12"/>
      <c r="Q1071" s="12"/>
      <c r="R1071" s="12"/>
      <c r="S1071" s="12"/>
      <c r="T1071" s="12"/>
      <c r="U1071" s="12"/>
      <c r="V1071" s="12"/>
      <c r="W1071" s="12"/>
      <c r="X1071" s="12"/>
      <c r="Y1071" s="12"/>
      <c r="Z1071" s="12"/>
      <c r="AA1071" s="12"/>
    </row>
    <row r="1072" ht="26.25" customHeight="1">
      <c r="A1072" s="17" t="s">
        <v>2148</v>
      </c>
      <c r="B1072" s="18" t="s">
        <v>2149</v>
      </c>
      <c r="C1072" s="14">
        <v>1.0</v>
      </c>
      <c r="D1072" s="15">
        <v>134.0</v>
      </c>
      <c r="E1072" s="15">
        <v>7.0</v>
      </c>
      <c r="F1072" s="16" t="str">
        <f t="array" ref="F1072">"https://www.google.com/maps/search/?api=1&amp;query=" &amp; A1072 &amp; "," &amp; B1072</f>
        <v>https://www.google.com/maps/search/?api=1&amp;query=-30.8984421539642,-55.5401585538413</v>
      </c>
      <c r="G1072" s="16" t="str">
        <f t="array" ref="G1072">"https://earth.google.com/web/search/" &amp; A1072 &amp; "," &amp; B1072</f>
        <v>https://earth.google.com/web/search/-30.8984421539642,-55.5401585538413</v>
      </c>
      <c r="H1072" s="12"/>
      <c r="I1072" s="12"/>
      <c r="J1072" s="12"/>
      <c r="K1072" s="12"/>
      <c r="L1072" s="12"/>
      <c r="M1072" s="12"/>
      <c r="N1072" s="12"/>
      <c r="O1072" s="12"/>
      <c r="P1072" s="12"/>
      <c r="Q1072" s="12"/>
      <c r="R1072" s="12"/>
      <c r="S1072" s="12"/>
      <c r="T1072" s="12"/>
      <c r="U1072" s="12"/>
      <c r="V1072" s="12"/>
      <c r="W1072" s="12"/>
      <c r="X1072" s="12"/>
      <c r="Y1072" s="12"/>
      <c r="Z1072" s="12"/>
      <c r="AA1072" s="12"/>
    </row>
    <row r="1073" ht="26.25" customHeight="1">
      <c r="A1073" s="17" t="s">
        <v>2150</v>
      </c>
      <c r="B1073" s="18" t="s">
        <v>2151</v>
      </c>
      <c r="C1073" s="14">
        <v>1.0</v>
      </c>
      <c r="D1073" s="15">
        <v>134.0</v>
      </c>
      <c r="E1073" s="15">
        <v>8.0</v>
      </c>
      <c r="F1073" s="16" t="str">
        <f t="array" ref="F1073">"https://www.google.com/maps/search/?api=1&amp;query=" &amp; A1073 &amp; "," &amp; B1073</f>
        <v>https://www.google.com/maps/search/?api=1&amp;query=-30.8978408447885,-55.5398331492407</v>
      </c>
      <c r="G1073" s="16" t="str">
        <f t="array" ref="G1073">"https://earth.google.com/web/search/" &amp; A1073 &amp; "," &amp; B1073</f>
        <v>https://earth.google.com/web/search/-30.8978408447885,-55.5398331492407</v>
      </c>
      <c r="H1073" s="12"/>
      <c r="I1073" s="12"/>
      <c r="J1073" s="12"/>
      <c r="K1073" s="12"/>
      <c r="L1073" s="12"/>
      <c r="M1073" s="12"/>
      <c r="N1073" s="12"/>
      <c r="O1073" s="12"/>
      <c r="P1073" s="12"/>
      <c r="Q1073" s="12"/>
      <c r="R1073" s="12"/>
      <c r="S1073" s="12"/>
      <c r="T1073" s="12"/>
      <c r="U1073" s="12"/>
      <c r="V1073" s="12"/>
      <c r="W1073" s="12"/>
      <c r="X1073" s="12"/>
      <c r="Y1073" s="12"/>
      <c r="Z1073" s="12"/>
      <c r="AA1073" s="12"/>
    </row>
    <row r="1074" ht="26.25" customHeight="1">
      <c r="A1074" s="17" t="s">
        <v>2152</v>
      </c>
      <c r="B1074" s="18" t="s">
        <v>2153</v>
      </c>
      <c r="C1074" s="14">
        <v>1.0</v>
      </c>
      <c r="D1074" s="15">
        <v>134.0</v>
      </c>
      <c r="E1074" s="15">
        <v>9.0</v>
      </c>
      <c r="F1074" s="16" t="str">
        <f t="array" ref="F1074">"https://www.google.com/maps/search/?api=1&amp;query=" &amp; A1074 &amp; "," &amp; B1074</f>
        <v>https://www.google.com/maps/search/?api=1&amp;query=-30.8975821281769,-55.5403580931201</v>
      </c>
      <c r="G1074" s="16" t="str">
        <f t="array" ref="G1074">"https://earth.google.com/web/search/" &amp; A1074 &amp; "," &amp; B1074</f>
        <v>https://earth.google.com/web/search/-30.8975821281769,-55.5403580931201</v>
      </c>
      <c r="H1074" s="12"/>
      <c r="I1074" s="12"/>
      <c r="J1074" s="12"/>
      <c r="K1074" s="12"/>
      <c r="L1074" s="12"/>
      <c r="M1074" s="12"/>
      <c r="N1074" s="12"/>
      <c r="O1074" s="12"/>
      <c r="P1074" s="12"/>
      <c r="Q1074" s="12"/>
      <c r="R1074" s="12"/>
      <c r="S1074" s="12"/>
      <c r="T1074" s="12"/>
      <c r="U1074" s="12"/>
      <c r="V1074" s="12"/>
      <c r="W1074" s="12"/>
      <c r="X1074" s="12"/>
      <c r="Y1074" s="12"/>
      <c r="Z1074" s="12"/>
      <c r="AA1074" s="12"/>
    </row>
    <row r="1075" ht="26.25" customHeight="1">
      <c r="A1075" s="17" t="s">
        <v>2154</v>
      </c>
      <c r="B1075" s="18" t="s">
        <v>2155</v>
      </c>
      <c r="C1075" s="14">
        <v>1.0</v>
      </c>
      <c r="D1075" s="15">
        <v>134.0</v>
      </c>
      <c r="E1075" s="15">
        <v>10.0</v>
      </c>
      <c r="F1075" s="16" t="str">
        <f t="array" ref="F1075">"https://www.google.com/maps/search/?api=1&amp;query=" &amp; A1075 &amp; "," &amp; B1075</f>
        <v>https://www.google.com/maps/search/?api=1&amp;query=-30.8974783729345,-5.5540531246774</v>
      </c>
      <c r="G1075" s="16" t="str">
        <f t="array" ref="G1075">"https://earth.google.com/web/search/" &amp; A1075 &amp; "," &amp; B1075</f>
        <v>https://earth.google.com/web/search/-30.8974783729345,-5.5540531246774</v>
      </c>
      <c r="H1075" s="12"/>
      <c r="I1075" s="12"/>
      <c r="J1075" s="12"/>
      <c r="K1075" s="12"/>
      <c r="L1075" s="12"/>
      <c r="M1075" s="12"/>
      <c r="N1075" s="12"/>
      <c r="O1075" s="12"/>
      <c r="P1075" s="12"/>
      <c r="Q1075" s="12"/>
      <c r="R1075" s="12"/>
      <c r="S1075" s="12"/>
      <c r="T1075" s="12"/>
      <c r="U1075" s="12"/>
      <c r="V1075" s="12"/>
      <c r="W1075" s="12"/>
      <c r="X1075" s="12"/>
      <c r="Y1075" s="12"/>
      <c r="Z1075" s="12"/>
      <c r="AA1075" s="12"/>
    </row>
    <row r="1076" ht="26.25" customHeight="1">
      <c r="A1076" s="17" t="s">
        <v>2156</v>
      </c>
      <c r="B1076" s="18" t="s">
        <v>2157</v>
      </c>
      <c r="C1076" s="14">
        <v>1.0</v>
      </c>
      <c r="D1076" s="15">
        <v>134.0</v>
      </c>
      <c r="E1076" s="15">
        <v>11.0</v>
      </c>
      <c r="F1076" s="16" t="str">
        <f t="array" ref="F1076">"https://www.google.com/maps/search/?api=1&amp;query=" &amp; A1076 &amp; "," &amp; B1076</f>
        <v>https://www.google.com/maps/search/?api=1&amp;query=-30.8975478828478,-55.5406858415484</v>
      </c>
      <c r="G1076" s="16" t="str">
        <f t="array" ref="G1076">"https://earth.google.com/web/search/" &amp; A1076 &amp; "," &amp; B1076</f>
        <v>https://earth.google.com/web/search/-30.8975478828478,-55.5406858415484</v>
      </c>
      <c r="H1076" s="12"/>
      <c r="I1076" s="12"/>
      <c r="J1076" s="12"/>
      <c r="K1076" s="12"/>
      <c r="L1076" s="12"/>
      <c r="M1076" s="12"/>
      <c r="N1076" s="12"/>
      <c r="O1076" s="12"/>
      <c r="P1076" s="12"/>
      <c r="Q1076" s="12"/>
      <c r="R1076" s="12"/>
      <c r="S1076" s="12"/>
      <c r="T1076" s="12"/>
      <c r="U1076" s="12"/>
      <c r="V1076" s="12"/>
      <c r="W1076" s="12"/>
      <c r="X1076" s="12"/>
      <c r="Y1076" s="12"/>
      <c r="Z1076" s="12"/>
      <c r="AA1076" s="12"/>
    </row>
    <row r="1077" ht="26.25" customHeight="1">
      <c r="A1077" s="17" t="s">
        <v>2158</v>
      </c>
      <c r="B1077" s="18" t="s">
        <v>2159</v>
      </c>
      <c r="C1077" s="14">
        <v>1.0</v>
      </c>
      <c r="D1077" s="15">
        <v>134.0</v>
      </c>
      <c r="E1077" s="15">
        <v>12.0</v>
      </c>
      <c r="F1077" s="16" t="str">
        <f t="array" ref="F1077">"https://www.google.com/maps/search/?api=1&amp;query=" &amp; A1077 &amp; "," &amp; B1077</f>
        <v>https://www.google.com/maps/search/?api=1&amp;query=-30.8976241747511,-55.5407232694226</v>
      </c>
      <c r="G1077" s="16" t="str">
        <f t="array" ref="G1077">"https://earth.google.com/web/search/" &amp; A1077 &amp; "," &amp; B1077</f>
        <v>https://earth.google.com/web/search/-30.8976241747511,-55.5407232694226</v>
      </c>
      <c r="H1077" s="12"/>
      <c r="I1077" s="12"/>
      <c r="J1077" s="12"/>
      <c r="K1077" s="12"/>
      <c r="L1077" s="12"/>
      <c r="M1077" s="12"/>
      <c r="N1077" s="12"/>
      <c r="O1077" s="12"/>
      <c r="P1077" s="12"/>
      <c r="Q1077" s="12"/>
      <c r="R1077" s="12"/>
      <c r="S1077" s="12"/>
      <c r="T1077" s="12"/>
      <c r="U1077" s="12"/>
      <c r="V1077" s="12"/>
      <c r="W1077" s="12"/>
      <c r="X1077" s="12"/>
      <c r="Y1077" s="12"/>
      <c r="Z1077" s="12"/>
      <c r="AA1077" s="12"/>
    </row>
    <row r="1078" ht="26.25" customHeight="1">
      <c r="A1078" s="17" t="s">
        <v>2160</v>
      </c>
      <c r="B1078" s="18" t="s">
        <v>2161</v>
      </c>
      <c r="C1078" s="14">
        <v>1.0</v>
      </c>
      <c r="D1078" s="15">
        <v>134.0</v>
      </c>
      <c r="E1078" s="15">
        <v>13.0</v>
      </c>
      <c r="F1078" s="16" t="str">
        <f t="array" ref="F1078">"https://www.google.com/maps/search/?api=1&amp;query=" &amp; A1078 &amp; "," &amp; B1078</f>
        <v>https://www.google.com/maps/search/?api=1&amp;query=-30.8976715334368,-55.5407630372519</v>
      </c>
      <c r="G1078" s="16" t="str">
        <f t="array" ref="G1078">"https://earth.google.com/web/search/" &amp; A1078 &amp; "," &amp; B1078</f>
        <v>https://earth.google.com/web/search/-30.8976715334368,-55.5407630372519</v>
      </c>
      <c r="H1078" s="12"/>
      <c r="I1078" s="12"/>
      <c r="J1078" s="12"/>
      <c r="K1078" s="12"/>
      <c r="L1078" s="12"/>
      <c r="M1078" s="12"/>
      <c r="N1078" s="12"/>
      <c r="O1078" s="12"/>
      <c r="P1078" s="12"/>
      <c r="Q1078" s="12"/>
      <c r="R1078" s="12"/>
      <c r="S1078" s="12"/>
      <c r="T1078" s="12"/>
      <c r="U1078" s="12"/>
      <c r="V1078" s="12"/>
      <c r="W1078" s="12"/>
      <c r="X1078" s="12"/>
      <c r="Y1078" s="12"/>
      <c r="Z1078" s="12"/>
      <c r="AA1078" s="12"/>
    </row>
    <row r="1079" ht="26.25" customHeight="1">
      <c r="A1079" s="17" t="s">
        <v>2162</v>
      </c>
      <c r="B1079" s="18" t="s">
        <v>2163</v>
      </c>
      <c r="C1079" s="14">
        <v>1.0</v>
      </c>
      <c r="D1079" s="15">
        <v>134.0</v>
      </c>
      <c r="E1079" s="15">
        <v>14.0</v>
      </c>
      <c r="F1079" s="16" t="str">
        <f t="array" ref="F1079">"https://www.google.com/maps/search/?api=1&amp;query=" &amp; A1079 &amp; "," &amp; B1079</f>
        <v>https://www.google.com/maps/search/?api=1&amp;query=-30.8978001702351,-5.5540851559951</v>
      </c>
      <c r="G1079" s="16" t="str">
        <f t="array" ref="G1079">"https://earth.google.com/web/search/" &amp; A1079 &amp; "," &amp; B1079</f>
        <v>https://earth.google.com/web/search/-30.8978001702351,-5.5540851559951</v>
      </c>
      <c r="H1079" s="12"/>
      <c r="I1079" s="12"/>
      <c r="J1079" s="12"/>
      <c r="K1079" s="12"/>
      <c r="L1079" s="12"/>
      <c r="M1079" s="12"/>
      <c r="N1079" s="12"/>
      <c r="O1079" s="12"/>
      <c r="P1079" s="12"/>
      <c r="Q1079" s="12"/>
      <c r="R1079" s="12"/>
      <c r="S1079" s="12"/>
      <c r="T1079" s="12"/>
      <c r="U1079" s="12"/>
      <c r="V1079" s="12"/>
      <c r="W1079" s="12"/>
      <c r="X1079" s="12"/>
      <c r="Y1079" s="12"/>
      <c r="Z1079" s="12"/>
      <c r="AA1079" s="12"/>
    </row>
    <row r="1080" ht="26.25" customHeight="1">
      <c r="A1080" s="17" t="s">
        <v>2164</v>
      </c>
      <c r="B1080" s="18" t="s">
        <v>2165</v>
      </c>
      <c r="C1080" s="14">
        <v>1.0</v>
      </c>
      <c r="D1080" s="15">
        <v>134.0</v>
      </c>
      <c r="E1080" s="15">
        <v>15.0</v>
      </c>
      <c r="F1080" s="16" t="str">
        <f t="array" ref="F1080">"https://www.google.com/maps/search/?api=1&amp;query=" &amp; A1080 &amp; "," &amp; B1080</f>
        <v>https://www.google.com/maps/search/?api=1&amp;query=-30.8980241931231,-55.5410074041033</v>
      </c>
      <c r="G1080" s="16" t="str">
        <f t="array" ref="G1080">"https://earth.google.com/web/search/" &amp; A1080 &amp; "," &amp; B1080</f>
        <v>https://earth.google.com/web/search/-30.8980241931231,-55.5410074041033</v>
      </c>
      <c r="H1080" s="12"/>
      <c r="I1080" s="12"/>
      <c r="J1080" s="12"/>
      <c r="K1080" s="12"/>
      <c r="L1080" s="12"/>
      <c r="M1080" s="12"/>
      <c r="N1080" s="12"/>
      <c r="O1080" s="12"/>
      <c r="P1080" s="12"/>
      <c r="Q1080" s="12"/>
      <c r="R1080" s="12"/>
      <c r="S1080" s="12"/>
      <c r="T1080" s="12"/>
      <c r="U1080" s="12"/>
      <c r="V1080" s="12"/>
      <c r="W1080" s="12"/>
      <c r="X1080" s="12"/>
      <c r="Y1080" s="12"/>
      <c r="Z1080" s="12"/>
      <c r="AA1080" s="12"/>
    </row>
    <row r="1081" ht="26.25" customHeight="1">
      <c r="A1081" s="17" t="s">
        <v>2166</v>
      </c>
      <c r="B1081" s="18" t="s">
        <v>2167</v>
      </c>
      <c r="C1081" s="14">
        <v>1.0</v>
      </c>
      <c r="D1081" s="15">
        <v>135.0</v>
      </c>
      <c r="E1081" s="15">
        <v>1.0</v>
      </c>
      <c r="F1081" s="16" t="str">
        <f t="array" ref="F1081">"https://www.google.com/maps/search/?api=1&amp;query=" &amp; A1081 &amp; "," &amp; B1081</f>
        <v>https://www.google.com/maps/search/?api=1&amp;query=-30.8977098323667,-55.5419379726466</v>
      </c>
      <c r="G1081" s="16" t="str">
        <f t="array" ref="G1081">"https://earth.google.com/web/search/" &amp; A1081 &amp; "," &amp; B1081</f>
        <v>https://earth.google.com/web/search/-30.8977098323667,-55.5419379726466</v>
      </c>
      <c r="H1081" s="12"/>
      <c r="I1081" s="12"/>
      <c r="J1081" s="12"/>
      <c r="K1081" s="12"/>
      <c r="L1081" s="12"/>
      <c r="M1081" s="12"/>
      <c r="N1081" s="12"/>
      <c r="O1081" s="12"/>
      <c r="P1081" s="12"/>
      <c r="Q1081" s="12"/>
      <c r="R1081" s="12"/>
      <c r="S1081" s="12"/>
      <c r="T1081" s="12"/>
      <c r="U1081" s="12"/>
      <c r="V1081" s="12"/>
      <c r="W1081" s="12"/>
      <c r="X1081" s="12"/>
      <c r="Y1081" s="12"/>
      <c r="Z1081" s="12"/>
      <c r="AA1081" s="12"/>
    </row>
    <row r="1082" ht="26.25" customHeight="1">
      <c r="A1082" s="17" t="s">
        <v>2168</v>
      </c>
      <c r="B1082" s="18" t="s">
        <v>2169</v>
      </c>
      <c r="C1082" s="14">
        <v>1.0</v>
      </c>
      <c r="D1082" s="15">
        <v>135.0</v>
      </c>
      <c r="E1082" s="15">
        <v>2.0</v>
      </c>
      <c r="F1082" s="16" t="str">
        <f t="array" ref="F1082">"https://www.google.com/maps/search/?api=1&amp;query=" &amp; A1082 &amp; "," &amp; B1082</f>
        <v>https://www.google.com/maps/search/?api=1&amp;query=-30.8977304544947,-55.5418936245621</v>
      </c>
      <c r="G1082" s="16" t="str">
        <f t="array" ref="G1082">"https://earth.google.com/web/search/" &amp; A1082 &amp; "," &amp; B1082</f>
        <v>https://earth.google.com/web/search/-30.8977304544947,-55.5418936245621</v>
      </c>
      <c r="H1082" s="12"/>
      <c r="I1082" s="12"/>
      <c r="J1082" s="12"/>
      <c r="K1082" s="12"/>
      <c r="L1082" s="12"/>
      <c r="M1082" s="12"/>
      <c r="N1082" s="12"/>
      <c r="O1082" s="12"/>
      <c r="P1082" s="12"/>
      <c r="Q1082" s="12"/>
      <c r="R1082" s="12"/>
      <c r="S1082" s="12"/>
      <c r="T1082" s="12"/>
      <c r="U1082" s="12"/>
      <c r="V1082" s="12"/>
      <c r="W1082" s="12"/>
      <c r="X1082" s="12"/>
      <c r="Y1082" s="12"/>
      <c r="Z1082" s="12"/>
      <c r="AA1082" s="12"/>
    </row>
    <row r="1083" ht="26.25" customHeight="1">
      <c r="A1083" s="17" t="s">
        <v>2170</v>
      </c>
      <c r="B1083" s="18" t="s">
        <v>2171</v>
      </c>
      <c r="C1083" s="14">
        <v>1.0</v>
      </c>
      <c r="D1083" s="15">
        <v>135.0</v>
      </c>
      <c r="E1083" s="15">
        <v>3.0</v>
      </c>
      <c r="F1083" s="16" t="str">
        <f t="array" ref="F1083">"https://www.google.com/maps/search/?api=1&amp;query=" &amp; A1083 &amp; "," &amp; B1083</f>
        <v>https://www.google.com/maps/search/?api=1&amp;query=-30.8977579481356,-55.5418479477575</v>
      </c>
      <c r="G1083" s="16" t="str">
        <f t="array" ref="G1083">"https://earth.google.com/web/search/" &amp; A1083 &amp; "," &amp; B1083</f>
        <v>https://earth.google.com/web/search/-30.8977579481356,-55.5418479477575</v>
      </c>
      <c r="H1083" s="12"/>
      <c r="I1083" s="12"/>
      <c r="J1083" s="12"/>
      <c r="K1083" s="12"/>
      <c r="L1083" s="12"/>
      <c r="M1083" s="12"/>
      <c r="N1083" s="12"/>
      <c r="O1083" s="12"/>
      <c r="P1083" s="12"/>
      <c r="Q1083" s="12"/>
      <c r="R1083" s="12"/>
      <c r="S1083" s="12"/>
      <c r="T1083" s="12"/>
      <c r="U1083" s="12"/>
      <c r="V1083" s="12"/>
      <c r="W1083" s="12"/>
      <c r="X1083" s="12"/>
      <c r="Y1083" s="12"/>
      <c r="Z1083" s="12"/>
      <c r="AA1083" s="12"/>
    </row>
    <row r="1084" ht="26.25" customHeight="1">
      <c r="A1084" s="17" t="s">
        <v>2172</v>
      </c>
      <c r="B1084" s="18" t="s">
        <v>2173</v>
      </c>
      <c r="C1084" s="14">
        <v>1.0</v>
      </c>
      <c r="D1084" s="15">
        <v>135.0</v>
      </c>
      <c r="E1084" s="15">
        <v>4.0</v>
      </c>
      <c r="F1084" s="16" t="str">
        <f t="array" ref="F1084">"https://www.google.com/maps/search/?api=1&amp;query=" &amp; A1084 &amp; "," &amp; B1084</f>
        <v>https://www.google.com/maps/search/?api=1&amp;query=-30.8977952425105,-5.5541812626742</v>
      </c>
      <c r="G1084" s="16" t="str">
        <f t="array" ref="G1084">"https://earth.google.com/web/search/" &amp; A1084 &amp; "," &amp; B1084</f>
        <v>https://earth.google.com/web/search/-30.8977952425105,-5.5541812626742</v>
      </c>
      <c r="H1084" s="12"/>
      <c r="I1084" s="12"/>
      <c r="J1084" s="12"/>
      <c r="K1084" s="12"/>
      <c r="L1084" s="12"/>
      <c r="M1084" s="12"/>
      <c r="N1084" s="12"/>
      <c r="O1084" s="12"/>
      <c r="P1084" s="12"/>
      <c r="Q1084" s="12"/>
      <c r="R1084" s="12"/>
      <c r="S1084" s="12"/>
      <c r="T1084" s="12"/>
      <c r="U1084" s="12"/>
      <c r="V1084" s="12"/>
      <c r="W1084" s="12"/>
      <c r="X1084" s="12"/>
      <c r="Y1084" s="12"/>
      <c r="Z1084" s="12"/>
      <c r="AA1084" s="12"/>
    </row>
    <row r="1085" ht="26.25" customHeight="1">
      <c r="A1085" s="17" t="s">
        <v>2174</v>
      </c>
      <c r="B1085" s="18" t="s">
        <v>2175</v>
      </c>
      <c r="C1085" s="14">
        <v>1.0</v>
      </c>
      <c r="D1085" s="15">
        <v>135.0</v>
      </c>
      <c r="E1085" s="15">
        <v>5.0</v>
      </c>
      <c r="F1085" s="16" t="str">
        <f t="array" ref="F1085">"https://www.google.com/maps/search/?api=1&amp;query=" &amp; A1085 &amp; "," &amp; B1085</f>
        <v>https://www.google.com/maps/search/?api=1&amp;query=-30.8978938164879,-55.5415946031383</v>
      </c>
      <c r="G1085" s="16" t="str">
        <f t="array" ref="G1085">"https://earth.google.com/web/search/" &amp; A1085 &amp; "," &amp; B1085</f>
        <v>https://earth.google.com/web/search/-30.8978938164879,-55.5415946031383</v>
      </c>
      <c r="H1085" s="12"/>
      <c r="I1085" s="12"/>
      <c r="J1085" s="12"/>
      <c r="K1085" s="12"/>
      <c r="L1085" s="12"/>
      <c r="M1085" s="12"/>
      <c r="N1085" s="12"/>
      <c r="O1085" s="12"/>
      <c r="P1085" s="12"/>
      <c r="Q1085" s="12"/>
      <c r="R1085" s="12"/>
      <c r="S1085" s="12"/>
      <c r="T1085" s="12"/>
      <c r="U1085" s="12"/>
      <c r="V1085" s="12"/>
      <c r="W1085" s="12"/>
      <c r="X1085" s="12"/>
      <c r="Y1085" s="12"/>
      <c r="Z1085" s="12"/>
      <c r="AA1085" s="12"/>
    </row>
    <row r="1086" ht="26.25" customHeight="1">
      <c r="A1086" s="17" t="s">
        <v>2176</v>
      </c>
      <c r="B1086" s="18" t="s">
        <v>2177</v>
      </c>
      <c r="C1086" s="14">
        <v>1.0</v>
      </c>
      <c r="D1086" s="15">
        <v>135.0</v>
      </c>
      <c r="E1086" s="15">
        <v>6.0</v>
      </c>
      <c r="F1086" s="16" t="str">
        <f t="array" ref="F1086">"https://www.google.com/maps/search/?api=1&amp;query=" &amp; A1086 &amp; "," &amp; B1086</f>
        <v>https://www.google.com/maps/search/?api=1&amp;query=-30.8979107080996,-55.5415515016737</v>
      </c>
      <c r="G1086" s="16" t="str">
        <f t="array" ref="G1086">"https://earth.google.com/web/search/" &amp; A1086 &amp; "," &amp; B1086</f>
        <v>https://earth.google.com/web/search/-30.8979107080996,-55.5415515016737</v>
      </c>
      <c r="H1086" s="12"/>
      <c r="I1086" s="12"/>
      <c r="J1086" s="12"/>
      <c r="K1086" s="12"/>
      <c r="L1086" s="12"/>
      <c r="M1086" s="12"/>
      <c r="N1086" s="12"/>
      <c r="O1086" s="12"/>
      <c r="P1086" s="12"/>
      <c r="Q1086" s="12"/>
      <c r="R1086" s="12"/>
      <c r="S1086" s="12"/>
      <c r="T1086" s="12"/>
      <c r="U1086" s="12"/>
      <c r="V1086" s="12"/>
      <c r="W1086" s="12"/>
      <c r="X1086" s="12"/>
      <c r="Y1086" s="12"/>
      <c r="Z1086" s="12"/>
      <c r="AA1086" s="12"/>
    </row>
    <row r="1087" ht="26.25" customHeight="1">
      <c r="A1087" s="17" t="s">
        <v>2178</v>
      </c>
      <c r="B1087" s="18" t="s">
        <v>2179</v>
      </c>
      <c r="C1087" s="14">
        <v>1.0</v>
      </c>
      <c r="D1087" s="15">
        <v>135.0</v>
      </c>
      <c r="E1087" s="15">
        <v>7.0</v>
      </c>
      <c r="F1087" s="16" t="str">
        <f t="array" ref="F1087">"https://www.google.com/maps/search/?api=1&amp;query=" &amp; A1087 &amp; "," &amp; B1087</f>
        <v>https://www.google.com/maps/search/?api=1&amp;query=-30.8979588529936,-55.5414541692595</v>
      </c>
      <c r="G1087" s="16" t="str">
        <f t="array" ref="G1087">"https://earth.google.com/web/search/" &amp; A1087 &amp; "," &amp; B1087</f>
        <v>https://earth.google.com/web/search/-30.8979588529936,-55.5414541692595</v>
      </c>
      <c r="H1087" s="12"/>
      <c r="I1087" s="12"/>
      <c r="J1087" s="12"/>
      <c r="K1087" s="12"/>
      <c r="L1087" s="12"/>
      <c r="M1087" s="12"/>
      <c r="N1087" s="12"/>
      <c r="O1087" s="12"/>
      <c r="P1087" s="12"/>
      <c r="Q1087" s="12"/>
      <c r="R1087" s="12"/>
      <c r="S1087" s="12"/>
      <c r="T1087" s="12"/>
      <c r="U1087" s="12"/>
      <c r="V1087" s="12"/>
      <c r="W1087" s="12"/>
      <c r="X1087" s="12"/>
      <c r="Y1087" s="12"/>
      <c r="Z1087" s="12"/>
      <c r="AA1087" s="12"/>
    </row>
    <row r="1088" ht="26.25" customHeight="1">
      <c r="A1088" s="17" t="s">
        <v>2180</v>
      </c>
      <c r="B1088" s="18" t="s">
        <v>2181</v>
      </c>
      <c r="C1088" s="14">
        <v>1.0</v>
      </c>
      <c r="D1088" s="15">
        <v>135.0</v>
      </c>
      <c r="E1088" s="15">
        <v>8.0</v>
      </c>
      <c r="F1088" s="16" t="str">
        <f t="array" ref="F1088">"https://www.google.com/maps/search/?api=1&amp;query=" &amp; A1088 &amp; "," &amp; B1088</f>
        <v>https://www.google.com/maps/search/?api=1&amp;query=-30.8979981246765,-55.5413497459045</v>
      </c>
      <c r="G1088" s="16" t="str">
        <f t="array" ref="G1088">"https://earth.google.com/web/search/" &amp; A1088 &amp; "," &amp; B1088</f>
        <v>https://earth.google.com/web/search/-30.8979981246765,-55.5413497459045</v>
      </c>
      <c r="H1088" s="12"/>
      <c r="I1088" s="12"/>
      <c r="J1088" s="12"/>
      <c r="K1088" s="12"/>
      <c r="L1088" s="12"/>
      <c r="M1088" s="12"/>
      <c r="N1088" s="12"/>
      <c r="O1088" s="12"/>
      <c r="P1088" s="12"/>
      <c r="Q1088" s="12"/>
      <c r="R1088" s="12"/>
      <c r="S1088" s="12"/>
      <c r="T1088" s="12"/>
      <c r="U1088" s="12"/>
      <c r="V1088" s="12"/>
      <c r="W1088" s="12"/>
      <c r="X1088" s="12"/>
      <c r="Y1088" s="12"/>
      <c r="Z1088" s="12"/>
      <c r="AA1088" s="12"/>
    </row>
    <row r="1089" ht="26.25" customHeight="1">
      <c r="A1089" s="17" t="s">
        <v>2182</v>
      </c>
      <c r="B1089" s="18" t="s">
        <v>2183</v>
      </c>
      <c r="C1089" s="14">
        <v>1.0</v>
      </c>
      <c r="D1089" s="15">
        <v>135.0</v>
      </c>
      <c r="E1089" s="15">
        <v>9.0</v>
      </c>
      <c r="F1089" s="16" t="str">
        <f t="array" ref="F1089">"https://www.google.com/maps/search/?api=1&amp;query=" &amp; A1089 &amp; "," &amp; B1089</f>
        <v>https://www.google.com/maps/search/?api=1&amp;query=-30.8980688866958,-55.5412593826228</v>
      </c>
      <c r="G1089" s="16" t="str">
        <f t="array" ref="G1089">"https://earth.google.com/web/search/" &amp; A1089 &amp; "," &amp; B1089</f>
        <v>https://earth.google.com/web/search/-30.8980688866958,-55.5412593826228</v>
      </c>
      <c r="H1089" s="12"/>
      <c r="I1089" s="12"/>
      <c r="J1089" s="12"/>
      <c r="K1089" s="12"/>
      <c r="L1089" s="12"/>
      <c r="M1089" s="12"/>
      <c r="N1089" s="12"/>
      <c r="O1089" s="12"/>
      <c r="P1089" s="12"/>
      <c r="Q1089" s="12"/>
      <c r="R1089" s="12"/>
      <c r="S1089" s="12"/>
      <c r="T1089" s="12"/>
      <c r="U1089" s="12"/>
      <c r="V1089" s="12"/>
      <c r="W1089" s="12"/>
      <c r="X1089" s="12"/>
      <c r="Y1089" s="12"/>
      <c r="Z1089" s="12"/>
      <c r="AA1089" s="12"/>
    </row>
    <row r="1090" ht="26.25" customHeight="1">
      <c r="A1090" s="17" t="s">
        <v>2184</v>
      </c>
      <c r="B1090" s="18" t="s">
        <v>2185</v>
      </c>
      <c r="C1090" s="14">
        <v>1.0</v>
      </c>
      <c r="D1090" s="15">
        <v>135.0</v>
      </c>
      <c r="E1090" s="15">
        <v>10.0</v>
      </c>
      <c r="F1090" s="16" t="str">
        <f t="array" ref="F1090">"https://www.google.com/maps/search/?api=1&amp;query=" &amp; A1090 &amp; "," &amp; B1090</f>
        <v>https://www.google.com/maps/search/?api=1&amp;query=-30.8980172644362,-55.5411293065341</v>
      </c>
      <c r="G1090" s="16" t="str">
        <f t="array" ref="G1090">"https://earth.google.com/web/search/" &amp; A1090 &amp; "," &amp; B1090</f>
        <v>https://earth.google.com/web/search/-30.8980172644362,-55.5411293065341</v>
      </c>
      <c r="H1090" s="12"/>
      <c r="I1090" s="12"/>
      <c r="J1090" s="12"/>
      <c r="K1090" s="12"/>
      <c r="L1090" s="12"/>
      <c r="M1090" s="12"/>
      <c r="N1090" s="12"/>
      <c r="O1090" s="12"/>
      <c r="P1090" s="12"/>
      <c r="Q1090" s="12"/>
      <c r="R1090" s="12"/>
      <c r="S1090" s="12"/>
      <c r="T1090" s="12"/>
      <c r="U1090" s="12"/>
      <c r="V1090" s="12"/>
      <c r="W1090" s="12"/>
      <c r="X1090" s="12"/>
      <c r="Y1090" s="12"/>
      <c r="Z1090" s="12"/>
      <c r="AA1090" s="12"/>
    </row>
    <row r="1091" ht="26.25" customHeight="1">
      <c r="A1091" s="17" t="s">
        <v>2186</v>
      </c>
      <c r="B1091" s="18" t="s">
        <v>2187</v>
      </c>
      <c r="C1091" s="14">
        <v>1.0</v>
      </c>
      <c r="D1091" s="15">
        <v>135.0</v>
      </c>
      <c r="E1091" s="15">
        <v>11.0</v>
      </c>
      <c r="F1091" s="16" t="str">
        <f t="array" ref="F1091">"https://www.google.com/maps/search/?api=1&amp;query=" &amp; A1091 &amp; "," &amp; B1091</f>
        <v>https://www.google.com/maps/search/?api=1&amp;query=-30.8979529051311,-5.5541082071278</v>
      </c>
      <c r="G1091" s="16" t="str">
        <f t="array" ref="G1091">"https://earth.google.com/web/search/" &amp; A1091 &amp; "," &amp; B1091</f>
        <v>https://earth.google.com/web/search/-30.8979529051311,-5.5541082071278</v>
      </c>
      <c r="H1091" s="12"/>
      <c r="I1091" s="12"/>
      <c r="J1091" s="12"/>
      <c r="K1091" s="12"/>
      <c r="L1091" s="12"/>
      <c r="M1091" s="12"/>
      <c r="N1091" s="12"/>
      <c r="O1091" s="12"/>
      <c r="P1091" s="12"/>
      <c r="Q1091" s="12"/>
      <c r="R1091" s="12"/>
      <c r="S1091" s="12"/>
      <c r="T1091" s="12"/>
      <c r="U1091" s="12"/>
      <c r="V1091" s="12"/>
      <c r="W1091" s="12"/>
      <c r="X1091" s="12"/>
      <c r="Y1091" s="12"/>
      <c r="Z1091" s="12"/>
      <c r="AA1091" s="12"/>
    </row>
    <row r="1092" ht="26.25" customHeight="1">
      <c r="A1092" s="17" t="s">
        <v>2188</v>
      </c>
      <c r="B1092" s="18" t="s">
        <v>2189</v>
      </c>
      <c r="C1092" s="14">
        <v>1.0</v>
      </c>
      <c r="D1092" s="15">
        <v>135.0</v>
      </c>
      <c r="E1092" s="15">
        <v>12.0</v>
      </c>
      <c r="F1092" s="16" t="str">
        <f t="array" ref="F1092">"https://www.google.com/maps/search/?api=1&amp;query=" &amp; A1092 &amp; "," &amp; B1092</f>
        <v>https://www.google.com/maps/search/?api=1&amp;query=-30.8974666285866,-55.5407460755374</v>
      </c>
      <c r="G1092" s="16" t="str">
        <f t="array" ref="G1092">"https://earth.google.com/web/search/" &amp; A1092 &amp; "," &amp; B1092</f>
        <v>https://earth.google.com/web/search/-30.8974666285866,-55.5407460755374</v>
      </c>
      <c r="H1092" s="12"/>
      <c r="I1092" s="12"/>
      <c r="J1092" s="12"/>
      <c r="K1092" s="12"/>
      <c r="L1092" s="12"/>
      <c r="M1092" s="12"/>
      <c r="N1092" s="12"/>
      <c r="O1092" s="12"/>
      <c r="P1092" s="12"/>
      <c r="Q1092" s="12"/>
      <c r="R1092" s="12"/>
      <c r="S1092" s="12"/>
      <c r="T1092" s="12"/>
      <c r="U1092" s="12"/>
      <c r="V1092" s="12"/>
      <c r="W1092" s="12"/>
      <c r="X1092" s="12"/>
      <c r="Y1092" s="12"/>
      <c r="Z1092" s="12"/>
      <c r="AA1092" s="12"/>
    </row>
    <row r="1093" ht="26.25" customHeight="1">
      <c r="A1093" s="17" t="s">
        <v>2190</v>
      </c>
      <c r="B1093" s="18" t="s">
        <v>2191</v>
      </c>
      <c r="C1093" s="14">
        <v>1.0</v>
      </c>
      <c r="D1093" s="15">
        <v>135.0</v>
      </c>
      <c r="E1093" s="15">
        <v>13.0</v>
      </c>
      <c r="F1093" s="16" t="str">
        <f t="array" ref="F1093">"https://www.google.com/maps/search/?api=1&amp;query=" &amp; A1093 &amp; "," &amp; B1093</f>
        <v>https://www.google.com/maps/search/?api=1&amp;query=-30.8973302216526,-55.5408226919036</v>
      </c>
      <c r="G1093" s="16" t="str">
        <f t="array" ref="G1093">"https://earth.google.com/web/search/" &amp; A1093 &amp; "," &amp; B1093</f>
        <v>https://earth.google.com/web/search/-30.8973302216526,-55.5408226919036</v>
      </c>
      <c r="H1093" s="12"/>
      <c r="I1093" s="12"/>
      <c r="J1093" s="12"/>
      <c r="K1093" s="12"/>
      <c r="L1093" s="12"/>
      <c r="M1093" s="12"/>
      <c r="N1093" s="12"/>
      <c r="O1093" s="12"/>
      <c r="P1093" s="12"/>
      <c r="Q1093" s="12"/>
      <c r="R1093" s="12"/>
      <c r="S1093" s="12"/>
      <c r="T1093" s="12"/>
      <c r="U1093" s="12"/>
      <c r="V1093" s="12"/>
      <c r="W1093" s="12"/>
      <c r="X1093" s="12"/>
      <c r="Y1093" s="12"/>
      <c r="Z1093" s="12"/>
      <c r="AA1093" s="12"/>
    </row>
    <row r="1094" ht="26.25" customHeight="1">
      <c r="A1094" s="17" t="s">
        <v>2192</v>
      </c>
      <c r="B1094" s="18" t="s">
        <v>2193</v>
      </c>
      <c r="C1094" s="14">
        <v>1.0</v>
      </c>
      <c r="D1094" s="15">
        <v>135.0</v>
      </c>
      <c r="E1094" s="15">
        <v>14.0</v>
      </c>
      <c r="F1094" s="16" t="str">
        <f t="array" ref="F1094">"https://www.google.com/maps/search/?api=1&amp;query=" &amp; A1094 &amp; "," &amp; B1094</f>
        <v>https://www.google.com/maps/search/?api=1&amp;query=-30.8972171118245,-55.5410393285147</v>
      </c>
      <c r="G1094" s="16" t="str">
        <f t="array" ref="G1094">"https://earth.google.com/web/search/" &amp; A1094 &amp; "," &amp; B1094</f>
        <v>https://earth.google.com/web/search/-30.8972171118245,-55.5410393285147</v>
      </c>
      <c r="H1094" s="12"/>
      <c r="I1094" s="12"/>
      <c r="J1094" s="12"/>
      <c r="K1094" s="12"/>
      <c r="L1094" s="12"/>
      <c r="M1094" s="12"/>
      <c r="N1094" s="12"/>
      <c r="O1094" s="12"/>
      <c r="P1094" s="12"/>
      <c r="Q1094" s="12"/>
      <c r="R1094" s="12"/>
      <c r="S1094" s="12"/>
      <c r="T1094" s="12"/>
      <c r="U1094" s="12"/>
      <c r="V1094" s="12"/>
      <c r="W1094" s="12"/>
      <c r="X1094" s="12"/>
      <c r="Y1094" s="12"/>
      <c r="Z1094" s="12"/>
      <c r="AA1094" s="12"/>
    </row>
    <row r="1095" ht="26.25" customHeight="1">
      <c r="A1095" s="17" t="s">
        <v>2194</v>
      </c>
      <c r="B1095" s="18" t="s">
        <v>2195</v>
      </c>
      <c r="C1095" s="14">
        <v>1.0</v>
      </c>
      <c r="D1095" s="15">
        <v>124.0</v>
      </c>
      <c r="E1095" s="15">
        <v>1.0</v>
      </c>
      <c r="F1095" s="16" t="str">
        <f t="array" ref="F1095">"https://www.google.com/maps/search/?api=1&amp;query=" &amp; A1095 &amp; "," &amp; B1095</f>
        <v>https://www.google.com/maps/search/?api=1&amp;query=-30.8991185273018,-55.5354067809209</v>
      </c>
      <c r="G1095" s="16" t="str">
        <f t="array" ref="G1095">"https://earth.google.com/web/search/" &amp; A1095 &amp; "," &amp; B1095</f>
        <v>https://earth.google.com/web/search/-30.8991185273018,-55.5354067809209</v>
      </c>
      <c r="H1095" s="12"/>
      <c r="I1095" s="12"/>
      <c r="J1095" s="12"/>
      <c r="K1095" s="12"/>
      <c r="L1095" s="12"/>
      <c r="M1095" s="12"/>
      <c r="N1095" s="12"/>
      <c r="O1095" s="12"/>
      <c r="P1095" s="12"/>
      <c r="Q1095" s="12"/>
      <c r="R1095" s="12"/>
      <c r="S1095" s="12"/>
      <c r="T1095" s="12"/>
      <c r="U1095" s="12"/>
      <c r="V1095" s="12"/>
      <c r="W1095" s="12"/>
      <c r="X1095" s="12"/>
      <c r="Y1095" s="12"/>
      <c r="Z1095" s="12"/>
      <c r="AA1095" s="12"/>
    </row>
    <row r="1096" ht="26.25" customHeight="1">
      <c r="A1096" s="17" t="s">
        <v>2196</v>
      </c>
      <c r="B1096" s="18" t="s">
        <v>2197</v>
      </c>
      <c r="C1096" s="14">
        <v>1.0</v>
      </c>
      <c r="D1096" s="15">
        <v>124.0</v>
      </c>
      <c r="E1096" s="15">
        <v>2.0</v>
      </c>
      <c r="F1096" s="16" t="str">
        <f t="array" ref="F1096">"https://www.google.com/maps/search/?api=1&amp;query=" &amp; A1096 &amp; "," &amp; B1096</f>
        <v>https://www.google.com/maps/search/?api=1&amp;query=-30.8992627663952,-55.5351300070335</v>
      </c>
      <c r="G1096" s="16" t="str">
        <f t="array" ref="G1096">"https://earth.google.com/web/search/" &amp; A1096 &amp; "," &amp; B1096</f>
        <v>https://earth.google.com/web/search/-30.8992627663952,-55.5351300070335</v>
      </c>
      <c r="H1096" s="12"/>
      <c r="I1096" s="12"/>
      <c r="J1096" s="12"/>
      <c r="K1096" s="12"/>
      <c r="L1096" s="12"/>
      <c r="M1096" s="12"/>
      <c r="N1096" s="12"/>
      <c r="O1096" s="12"/>
      <c r="P1096" s="12"/>
      <c r="Q1096" s="12"/>
      <c r="R1096" s="12"/>
      <c r="S1096" s="12"/>
      <c r="T1096" s="12"/>
      <c r="U1096" s="12"/>
      <c r="V1096" s="12"/>
      <c r="W1096" s="12"/>
      <c r="X1096" s="12"/>
      <c r="Y1096" s="12"/>
      <c r="Z1096" s="12"/>
      <c r="AA1096" s="12"/>
    </row>
    <row r="1097" ht="26.25" customHeight="1">
      <c r="A1097" s="17" t="s">
        <v>2198</v>
      </c>
      <c r="B1097" s="18" t="s">
        <v>2199</v>
      </c>
      <c r="C1097" s="14">
        <v>1.0</v>
      </c>
      <c r="D1097" s="15">
        <v>124.0</v>
      </c>
      <c r="E1097" s="15">
        <v>3.0</v>
      </c>
      <c r="F1097" s="16" t="str">
        <f t="array" ref="F1097">"https://www.google.com/maps/search/?api=1&amp;query=" &amp; A1097 &amp; "," &amp; B1097</f>
        <v>https://www.google.com/maps/search/?api=1&amp;query=-30.8993007165468,-55.5350487530961</v>
      </c>
      <c r="G1097" s="16" t="str">
        <f t="array" ref="G1097">"https://earth.google.com/web/search/" &amp; A1097 &amp; "," &amp; B1097</f>
        <v>https://earth.google.com/web/search/-30.8993007165468,-55.5350487530961</v>
      </c>
      <c r="H1097" s="12"/>
      <c r="I1097" s="12"/>
      <c r="J1097" s="12"/>
      <c r="K1097" s="12"/>
      <c r="L1097" s="12"/>
      <c r="M1097" s="12"/>
      <c r="N1097" s="12"/>
      <c r="O1097" s="12"/>
      <c r="P1097" s="12"/>
      <c r="Q1097" s="12"/>
      <c r="R1097" s="12"/>
      <c r="S1097" s="12"/>
      <c r="T1097" s="12"/>
      <c r="U1097" s="12"/>
      <c r="V1097" s="12"/>
      <c r="W1097" s="12"/>
      <c r="X1097" s="12"/>
      <c r="Y1097" s="12"/>
      <c r="Z1097" s="12"/>
      <c r="AA1097" s="12"/>
    </row>
    <row r="1098" ht="26.25" customHeight="1">
      <c r="A1098" s="17" t="s">
        <v>2200</v>
      </c>
      <c r="B1098" s="18" t="s">
        <v>2201</v>
      </c>
      <c r="C1098" s="14">
        <v>1.0</v>
      </c>
      <c r="D1098" s="15">
        <v>124.0</v>
      </c>
      <c r="E1098" s="15">
        <v>4.0</v>
      </c>
      <c r="F1098" s="16" t="str">
        <f t="array" ref="F1098">"https://www.google.com/maps/search/?api=1&amp;query=" &amp; A1098 &amp; "," &amp; B1098</f>
        <v>https://www.google.com/maps/search/?api=1&amp;query=-30.8998243707252,-55.5348442015356</v>
      </c>
      <c r="G1098" s="16" t="str">
        <f t="array" ref="G1098">"https://earth.google.com/web/search/" &amp; A1098 &amp; "," &amp; B1098</f>
        <v>https://earth.google.com/web/search/-30.8998243707252,-55.5348442015356</v>
      </c>
      <c r="H1098" s="12"/>
      <c r="I1098" s="12"/>
      <c r="J1098" s="12"/>
      <c r="K1098" s="12"/>
      <c r="L1098" s="12"/>
      <c r="M1098" s="12"/>
      <c r="N1098" s="12"/>
      <c r="O1098" s="12"/>
      <c r="P1098" s="12"/>
      <c r="Q1098" s="12"/>
      <c r="R1098" s="12"/>
      <c r="S1098" s="12"/>
      <c r="T1098" s="12"/>
      <c r="U1098" s="12"/>
      <c r="V1098" s="12"/>
      <c r="W1098" s="12"/>
      <c r="X1098" s="12"/>
      <c r="Y1098" s="12"/>
      <c r="Z1098" s="12"/>
      <c r="AA1098" s="12"/>
    </row>
    <row r="1099" ht="26.25" customHeight="1">
      <c r="A1099" s="17" t="s">
        <v>2202</v>
      </c>
      <c r="B1099" s="18" t="s">
        <v>2203</v>
      </c>
      <c r="C1099" s="14">
        <v>1.0</v>
      </c>
      <c r="D1099" s="15">
        <v>124.0</v>
      </c>
      <c r="E1099" s="15">
        <v>5.0</v>
      </c>
      <c r="F1099" s="16" t="str">
        <f t="array" ref="F1099">"https://www.google.com/maps/search/?api=1&amp;query=" &amp; A1099 &amp; "," &amp; B1099</f>
        <v>https://www.google.com/maps/search/?api=1&amp;query=-30.8999887271415,-55.5349860175962</v>
      </c>
      <c r="G1099" s="16" t="str">
        <f t="array" ref="G1099">"https://earth.google.com/web/search/" &amp; A1099 &amp; "," &amp; B1099</f>
        <v>https://earth.google.com/web/search/-30.8999887271415,-55.5349860175962</v>
      </c>
      <c r="H1099" s="12"/>
      <c r="I1099" s="12"/>
      <c r="J1099" s="12"/>
      <c r="K1099" s="12"/>
      <c r="L1099" s="12"/>
      <c r="M1099" s="12"/>
      <c r="N1099" s="12"/>
      <c r="O1099" s="12"/>
      <c r="P1099" s="12"/>
      <c r="Q1099" s="12"/>
      <c r="R1099" s="12"/>
      <c r="S1099" s="12"/>
      <c r="T1099" s="12"/>
      <c r="U1099" s="12"/>
      <c r="V1099" s="12"/>
      <c r="W1099" s="12"/>
      <c r="X1099" s="12"/>
      <c r="Y1099" s="12"/>
      <c r="Z1099" s="12"/>
      <c r="AA1099" s="12"/>
    </row>
    <row r="1100" ht="26.25" customHeight="1">
      <c r="A1100" s="17" t="s">
        <v>2204</v>
      </c>
      <c r="B1100" s="18" t="s">
        <v>2205</v>
      </c>
      <c r="C1100" s="14">
        <v>1.0</v>
      </c>
      <c r="D1100" s="15">
        <v>124.0</v>
      </c>
      <c r="E1100" s="15">
        <v>6.0</v>
      </c>
      <c r="F1100" s="16" t="str">
        <f t="array" ref="F1100">"https://www.google.com/maps/search/?api=1&amp;query=" &amp; A1100 &amp; "," &amp; B1100</f>
        <v>https://www.google.com/maps/search/?api=1&amp;query=-30.9001494910488,-55.5350796502981</v>
      </c>
      <c r="G1100" s="16" t="str">
        <f t="array" ref="G1100">"https://earth.google.com/web/search/" &amp; A1100 &amp; "," &amp; B1100</f>
        <v>https://earth.google.com/web/search/-30.9001494910488,-55.5350796502981</v>
      </c>
      <c r="H1100" s="12"/>
      <c r="I1100" s="12"/>
      <c r="J1100" s="12"/>
      <c r="K1100" s="12"/>
      <c r="L1100" s="12"/>
      <c r="M1100" s="12"/>
      <c r="N1100" s="12"/>
      <c r="O1100" s="12"/>
      <c r="P1100" s="12"/>
      <c r="Q1100" s="12"/>
      <c r="R1100" s="12"/>
      <c r="S1100" s="12"/>
      <c r="T1100" s="12"/>
      <c r="U1100" s="12"/>
      <c r="V1100" s="12"/>
      <c r="W1100" s="12"/>
      <c r="X1100" s="12"/>
      <c r="Y1100" s="12"/>
      <c r="Z1100" s="12"/>
      <c r="AA1100" s="12"/>
    </row>
    <row r="1101" ht="26.25" customHeight="1">
      <c r="A1101" s="17" t="s">
        <v>2206</v>
      </c>
      <c r="B1101" s="18" t="s">
        <v>2207</v>
      </c>
      <c r="C1101" s="14">
        <v>1.0</v>
      </c>
      <c r="D1101" s="15">
        <v>124.0</v>
      </c>
      <c r="E1101" s="15">
        <v>7.0</v>
      </c>
      <c r="F1101" s="16" t="str">
        <f t="array" ref="F1101">"https://www.google.com/maps/search/?api=1&amp;query=" &amp; A1101 &amp; "," &amp; B1101</f>
        <v>https://www.google.com/maps/search/?api=1&amp;query=-30.9001931999452,-55.5352153001735</v>
      </c>
      <c r="G1101" s="16" t="str">
        <f t="array" ref="G1101">"https://earth.google.com/web/search/" &amp; A1101 &amp; "," &amp; B1101</f>
        <v>https://earth.google.com/web/search/-30.9001931999452,-55.5352153001735</v>
      </c>
      <c r="H1101" s="12"/>
      <c r="I1101" s="12"/>
      <c r="J1101" s="12"/>
      <c r="K1101" s="12"/>
      <c r="L1101" s="12"/>
      <c r="M1101" s="12"/>
      <c r="N1101" s="12"/>
      <c r="O1101" s="12"/>
      <c r="P1101" s="12"/>
      <c r="Q1101" s="12"/>
      <c r="R1101" s="12"/>
      <c r="S1101" s="12"/>
      <c r="T1101" s="12"/>
      <c r="U1101" s="12"/>
      <c r="V1101" s="12"/>
      <c r="W1101" s="12"/>
      <c r="X1101" s="12"/>
      <c r="Y1101" s="12"/>
      <c r="Z1101" s="12"/>
      <c r="AA1101" s="12"/>
    </row>
    <row r="1102" ht="26.25" customHeight="1">
      <c r="A1102" s="17" t="s">
        <v>2208</v>
      </c>
      <c r="B1102" s="18" t="s">
        <v>2209</v>
      </c>
      <c r="C1102" s="14">
        <v>1.0</v>
      </c>
      <c r="D1102" s="15">
        <v>124.0</v>
      </c>
      <c r="E1102" s="15">
        <v>8.0</v>
      </c>
      <c r="F1102" s="16" t="str">
        <f t="array" ref="F1102">"https://www.google.com/maps/search/?api=1&amp;query=" &amp; A1102 &amp; "," &amp; B1102</f>
        <v>https://www.google.com/maps/search/?api=1&amp;query=-3.0900125083475,-55.5353351457291</v>
      </c>
      <c r="G1102" s="16" t="str">
        <f t="array" ref="G1102">"https://earth.google.com/web/search/" &amp; A1102 &amp; "," &amp; B1102</f>
        <v>https://earth.google.com/web/search/-3.0900125083475,-55.5353351457291</v>
      </c>
      <c r="H1102" s="12"/>
      <c r="I1102" s="12"/>
      <c r="J1102" s="12"/>
      <c r="K1102" s="12"/>
      <c r="L1102" s="12"/>
      <c r="M1102" s="12"/>
      <c r="N1102" s="12"/>
      <c r="O1102" s="12"/>
      <c r="P1102" s="12"/>
      <c r="Q1102" s="12"/>
      <c r="R1102" s="12"/>
      <c r="S1102" s="12"/>
      <c r="T1102" s="12"/>
      <c r="U1102" s="12"/>
      <c r="V1102" s="12"/>
      <c r="W1102" s="12"/>
      <c r="X1102" s="12"/>
      <c r="Y1102" s="12"/>
      <c r="Z1102" s="12"/>
      <c r="AA1102" s="12"/>
    </row>
    <row r="1103" ht="26.25" customHeight="1">
      <c r="A1103" s="17" t="s">
        <v>2210</v>
      </c>
      <c r="B1103" s="18" t="s">
        <v>2211</v>
      </c>
      <c r="C1103" s="14">
        <v>1.0</v>
      </c>
      <c r="D1103" s="15">
        <v>124.0</v>
      </c>
      <c r="E1103" s="15">
        <v>9.0</v>
      </c>
      <c r="F1103" s="16" t="str">
        <f t="array" ref="F1103">"https://www.google.com/maps/search/?api=1&amp;query=" &amp; A1103 &amp; "," &amp; B1103</f>
        <v>https://www.google.com/maps/search/?api=1&amp;query=-0.3090002739567,-55.5355092746382</v>
      </c>
      <c r="G1103" s="16" t="str">
        <f t="array" ref="G1103">"https://earth.google.com/web/search/" &amp; A1103 &amp; "," &amp; B1103</f>
        <v>https://earth.google.com/web/search/-0.3090002739567,-55.5355092746382</v>
      </c>
      <c r="H1103" s="12"/>
      <c r="I1103" s="12"/>
      <c r="J1103" s="12"/>
      <c r="K1103" s="12"/>
      <c r="L1103" s="12"/>
      <c r="M1103" s="12"/>
      <c r="N1103" s="12"/>
      <c r="O1103" s="12"/>
      <c r="P1103" s="12"/>
      <c r="Q1103" s="12"/>
      <c r="R1103" s="12"/>
      <c r="S1103" s="12"/>
      <c r="T1103" s="12"/>
      <c r="U1103" s="12"/>
      <c r="V1103" s="12"/>
      <c r="W1103" s="12"/>
      <c r="X1103" s="12"/>
      <c r="Y1103" s="12"/>
      <c r="Z1103" s="12"/>
      <c r="AA1103" s="12"/>
    </row>
    <row r="1104" ht="26.25" customHeight="1">
      <c r="A1104" s="17" t="s">
        <v>2212</v>
      </c>
      <c r="B1104" s="18" t="s">
        <v>2213</v>
      </c>
      <c r="C1104" s="14">
        <v>1.0</v>
      </c>
      <c r="D1104" s="15">
        <v>124.0</v>
      </c>
      <c r="E1104" s="15">
        <v>10.0</v>
      </c>
      <c r="F1104" s="16" t="str">
        <f t="array" ref="F1104">"https://www.google.com/maps/search/?api=1&amp;query=" &amp; A1104 &amp; "," &amp; B1104</f>
        <v>https://www.google.com/maps/search/?api=1&amp;query=-30.8999580929387,-55.5356157719271</v>
      </c>
      <c r="G1104" s="16" t="str">
        <f t="array" ref="G1104">"https://earth.google.com/web/search/" &amp; A1104 &amp; "," &amp; B1104</f>
        <v>https://earth.google.com/web/search/-30.8999580929387,-55.5356157719271</v>
      </c>
      <c r="H1104" s="12"/>
      <c r="I1104" s="12"/>
      <c r="J1104" s="12"/>
      <c r="K1104" s="12"/>
      <c r="L1104" s="12"/>
      <c r="M1104" s="12"/>
      <c r="N1104" s="12"/>
      <c r="O1104" s="12"/>
      <c r="P1104" s="12"/>
      <c r="Q1104" s="12"/>
      <c r="R1104" s="12"/>
      <c r="S1104" s="12"/>
      <c r="T1104" s="12"/>
      <c r="U1104" s="12"/>
      <c r="V1104" s="12"/>
      <c r="W1104" s="12"/>
      <c r="X1104" s="12"/>
      <c r="Y1104" s="12"/>
      <c r="Z1104" s="12"/>
      <c r="AA1104" s="12"/>
    </row>
    <row r="1105" ht="26.25" customHeight="1">
      <c r="A1105" s="17" t="s">
        <v>2214</v>
      </c>
      <c r="B1105" s="18" t="s">
        <v>2215</v>
      </c>
      <c r="C1105" s="14">
        <v>1.0</v>
      </c>
      <c r="D1105" s="15">
        <v>124.0</v>
      </c>
      <c r="E1105" s="15">
        <v>11.0</v>
      </c>
      <c r="F1105" s="16" t="str">
        <f t="array" ref="F1105">"https://www.google.com/maps/search/?api=1&amp;query=" &amp; A1105 &amp; "," &amp; B1105</f>
        <v>https://www.google.com/maps/search/?api=1&amp;query=-3.0899923335301,-55.5357023826731</v>
      </c>
      <c r="G1105" s="16" t="str">
        <f t="array" ref="G1105">"https://earth.google.com/web/search/" &amp; A1105 &amp; "," &amp; B1105</f>
        <v>https://earth.google.com/web/search/-3.0899923335301,-55.5357023826731</v>
      </c>
      <c r="H1105" s="12"/>
      <c r="I1105" s="12"/>
      <c r="J1105" s="12"/>
      <c r="K1105" s="12"/>
      <c r="L1105" s="12"/>
      <c r="M1105" s="12"/>
      <c r="N1105" s="12"/>
      <c r="O1105" s="12"/>
      <c r="P1105" s="12"/>
      <c r="Q1105" s="12"/>
      <c r="R1105" s="12"/>
      <c r="S1105" s="12"/>
      <c r="T1105" s="12"/>
      <c r="U1105" s="12"/>
      <c r="V1105" s="12"/>
      <c r="W1105" s="12"/>
      <c r="X1105" s="12"/>
      <c r="Y1105" s="12"/>
      <c r="Z1105" s="12"/>
      <c r="AA1105" s="12"/>
    </row>
    <row r="1106" ht="26.25" customHeight="1">
      <c r="A1106" s="17" t="s">
        <v>2216</v>
      </c>
      <c r="B1106" s="18" t="s">
        <v>2217</v>
      </c>
      <c r="C1106" s="14">
        <v>1.0</v>
      </c>
      <c r="D1106" s="15">
        <v>124.0</v>
      </c>
      <c r="E1106" s="15">
        <v>12.0</v>
      </c>
      <c r="F1106" s="16" t="str">
        <f t="array" ref="F1106">"https://www.google.com/maps/search/?api=1&amp;query=" &amp; A1106 &amp; "," &amp; B1106</f>
        <v>https://www.google.com/maps/search/?api=1&amp;query=-30.8998849478153,-55.5357824611749</v>
      </c>
      <c r="G1106" s="16" t="str">
        <f t="array" ref="G1106">"https://earth.google.com/web/search/" &amp; A1106 &amp; "," &amp; B1106</f>
        <v>https://earth.google.com/web/search/-30.8998849478153,-55.5357824611749</v>
      </c>
      <c r="H1106" s="12"/>
      <c r="I1106" s="12"/>
      <c r="J1106" s="12"/>
      <c r="K1106" s="12"/>
      <c r="L1106" s="12"/>
      <c r="M1106" s="12"/>
      <c r="N1106" s="12"/>
      <c r="O1106" s="12"/>
      <c r="P1106" s="12"/>
      <c r="Q1106" s="12"/>
      <c r="R1106" s="12"/>
      <c r="S1106" s="12"/>
      <c r="T1106" s="12"/>
      <c r="U1106" s="12"/>
      <c r="V1106" s="12"/>
      <c r="W1106" s="12"/>
      <c r="X1106" s="12"/>
      <c r="Y1106" s="12"/>
      <c r="Z1106" s="12"/>
      <c r="AA1106" s="12"/>
    </row>
    <row r="1107" ht="26.25" customHeight="1">
      <c r="A1107" s="17" t="s">
        <v>2218</v>
      </c>
      <c r="B1107" s="18" t="s">
        <v>2219</v>
      </c>
      <c r="C1107" s="14">
        <v>1.0</v>
      </c>
      <c r="D1107" s="15">
        <v>124.0</v>
      </c>
      <c r="E1107" s="15">
        <v>13.0</v>
      </c>
      <c r="F1107" s="16" t="str">
        <f t="array" ref="F1107">"https://www.google.com/maps/search/?api=1&amp;query=" &amp; A1107 &amp; "," &amp; B1107</f>
        <v>https://www.google.com/maps/search/?api=1&amp;query=-30.8998517313611,-55.5358507610829</v>
      </c>
      <c r="G1107" s="16" t="str">
        <f t="array" ref="G1107">"https://earth.google.com/web/search/" &amp; A1107 &amp; "," &amp; B1107</f>
        <v>https://earth.google.com/web/search/-30.8998517313611,-55.5358507610829</v>
      </c>
      <c r="H1107" s="12"/>
      <c r="I1107" s="12"/>
      <c r="J1107" s="12"/>
      <c r="K1107" s="12"/>
      <c r="L1107" s="12"/>
      <c r="M1107" s="12"/>
      <c r="N1107" s="12"/>
      <c r="O1107" s="12"/>
      <c r="P1107" s="12"/>
      <c r="Q1107" s="12"/>
      <c r="R1107" s="12"/>
      <c r="S1107" s="12"/>
      <c r="T1107" s="12"/>
      <c r="U1107" s="12"/>
      <c r="V1107" s="12"/>
      <c r="W1107" s="12"/>
      <c r="X1107" s="12"/>
      <c r="Y1107" s="12"/>
      <c r="Z1107" s="12"/>
      <c r="AA1107" s="12"/>
    </row>
    <row r="1108" ht="26.25" customHeight="1">
      <c r="A1108" s="17" t="s">
        <v>2220</v>
      </c>
      <c r="B1108" s="18" t="s">
        <v>2221</v>
      </c>
      <c r="C1108" s="14">
        <v>1.0</v>
      </c>
      <c r="D1108" s="15">
        <v>124.0</v>
      </c>
      <c r="E1108" s="15">
        <v>14.0</v>
      </c>
      <c r="F1108" s="16" t="str">
        <f t="array" ref="F1108">"https://www.google.com/maps/search/?api=1&amp;query=" &amp; A1108 &amp; "," &amp; B1108</f>
        <v>https://www.google.com/maps/search/?api=1&amp;query=-30.8998046099616,-5.5535928193997</v>
      </c>
      <c r="G1108" s="16" t="str">
        <f t="array" ref="G1108">"https://earth.google.com/web/search/" &amp; A1108 &amp; "," &amp; B1108</f>
        <v>https://earth.google.com/web/search/-30.8998046099616,-5.5535928193997</v>
      </c>
      <c r="H1108" s="12"/>
      <c r="I1108" s="12"/>
      <c r="J1108" s="12"/>
      <c r="K1108" s="12"/>
      <c r="L1108" s="12"/>
      <c r="M1108" s="12"/>
      <c r="N1108" s="12"/>
      <c r="O1108" s="12"/>
      <c r="P1108" s="12"/>
      <c r="Q1108" s="12"/>
      <c r="R1108" s="12"/>
      <c r="S1108" s="12"/>
      <c r="T1108" s="12"/>
      <c r="U1108" s="12"/>
      <c r="V1108" s="12"/>
      <c r="W1108" s="12"/>
      <c r="X1108" s="12"/>
      <c r="Y1108" s="12"/>
      <c r="Z1108" s="12"/>
      <c r="AA1108" s="12"/>
    </row>
    <row r="1109" ht="26.25" customHeight="1">
      <c r="A1109" s="17" t="s">
        <v>2222</v>
      </c>
      <c r="B1109" s="18" t="s">
        <v>2223</v>
      </c>
      <c r="C1109" s="14">
        <v>1.0</v>
      </c>
      <c r="D1109" s="15">
        <v>124.0</v>
      </c>
      <c r="E1109" s="15">
        <v>15.0</v>
      </c>
      <c r="F1109" s="16" t="str">
        <f t="array" ref="F1109">"https://www.google.com/maps/search/?api=1&amp;query=" &amp; A1109 &amp; "," &amp; B1109</f>
        <v>https://www.google.com/maps/search/?api=1&amp;query=-30.8997442166078,-55.5359113913063</v>
      </c>
      <c r="G1109" s="16" t="str">
        <f t="array" ref="G1109">"https://earth.google.com/web/search/" &amp; A1109 &amp; "," &amp; B1109</f>
        <v>https://earth.google.com/web/search/-30.8997442166078,-55.5359113913063</v>
      </c>
      <c r="H1109" s="12"/>
      <c r="I1109" s="12"/>
      <c r="J1109" s="12"/>
      <c r="K1109" s="12"/>
      <c r="L1109" s="12"/>
      <c r="M1109" s="12"/>
      <c r="N1109" s="12"/>
      <c r="O1109" s="12"/>
      <c r="P1109" s="12"/>
      <c r="Q1109" s="12"/>
      <c r="R1109" s="12"/>
      <c r="S1109" s="12"/>
      <c r="T1109" s="12"/>
      <c r="U1109" s="12"/>
      <c r="V1109" s="12"/>
      <c r="W1109" s="12"/>
      <c r="X1109" s="12"/>
      <c r="Y1109" s="12"/>
      <c r="Z1109" s="12"/>
      <c r="AA1109" s="12"/>
    </row>
    <row r="1110" ht="26.25" customHeight="1">
      <c r="A1110" s="17" t="s">
        <v>2224</v>
      </c>
      <c r="B1110" s="18" t="s">
        <v>2225</v>
      </c>
      <c r="C1110" s="14">
        <v>1.0</v>
      </c>
      <c r="D1110" s="15">
        <v>124.0</v>
      </c>
      <c r="E1110" s="15">
        <v>16.0</v>
      </c>
      <c r="F1110" s="16" t="str">
        <f t="array" ref="F1110">"https://www.google.com/maps/search/?api=1&amp;query=" &amp; A1110 &amp; "," &amp; B1110</f>
        <v>https://www.google.com/maps/search/?api=1&amp;query=-30.8996841400908,-55.5358918692092</v>
      </c>
      <c r="G1110" s="16" t="str">
        <f t="array" ref="G1110">"https://earth.google.com/web/search/" &amp; A1110 &amp; "," &amp; B1110</f>
        <v>https://earth.google.com/web/search/-30.8996841400908,-55.5358918692092</v>
      </c>
      <c r="H1110" s="12"/>
      <c r="I1110" s="12"/>
      <c r="J1110" s="12"/>
      <c r="K1110" s="12"/>
      <c r="L1110" s="12"/>
      <c r="M1110" s="12"/>
      <c r="N1110" s="12"/>
      <c r="O1110" s="12"/>
      <c r="P1110" s="12"/>
      <c r="Q1110" s="12"/>
      <c r="R1110" s="12"/>
      <c r="S1110" s="12"/>
      <c r="T1110" s="12"/>
      <c r="U1110" s="12"/>
      <c r="V1110" s="12"/>
      <c r="W1110" s="12"/>
      <c r="X1110" s="12"/>
      <c r="Y1110" s="12"/>
      <c r="Z1110" s="12"/>
      <c r="AA1110" s="12"/>
    </row>
    <row r="1111" ht="26.25" customHeight="1">
      <c r="A1111" s="17" t="s">
        <v>2226</v>
      </c>
      <c r="B1111" s="18" t="s">
        <v>2227</v>
      </c>
      <c r="C1111" s="14">
        <v>1.0</v>
      </c>
      <c r="D1111" s="15">
        <v>124.0</v>
      </c>
      <c r="E1111" s="15">
        <v>17.0</v>
      </c>
      <c r="F1111" s="16" t="str">
        <f t="array" ref="F1111">"https://www.google.com/maps/search/?api=1&amp;query=" &amp; A1111 &amp; "," &amp; B1111</f>
        <v>https://www.google.com/maps/search/?api=1&amp;query=-3.0899585985188,-5.5535832362631</v>
      </c>
      <c r="G1111" s="16" t="str">
        <f t="array" ref="G1111">"https://earth.google.com/web/search/" &amp; A1111 &amp; "," &amp; B1111</f>
        <v>https://earth.google.com/web/search/-3.0899585985188,-5.5535832362631</v>
      </c>
      <c r="H1111" s="12"/>
      <c r="I1111" s="12"/>
      <c r="J1111" s="12"/>
      <c r="K1111" s="12"/>
      <c r="L1111" s="12"/>
      <c r="M1111" s="12"/>
      <c r="N1111" s="12"/>
      <c r="O1111" s="12"/>
      <c r="P1111" s="12"/>
      <c r="Q1111" s="12"/>
      <c r="R1111" s="12"/>
      <c r="S1111" s="12"/>
      <c r="T1111" s="12"/>
      <c r="U1111" s="12"/>
      <c r="V1111" s="12"/>
      <c r="W1111" s="12"/>
      <c r="X1111" s="12"/>
      <c r="Y1111" s="12"/>
      <c r="Z1111" s="12"/>
      <c r="AA1111" s="12"/>
    </row>
    <row r="1112" ht="26.25" customHeight="1">
      <c r="A1112" s="17" t="s">
        <v>2228</v>
      </c>
      <c r="B1112" s="18" t="s">
        <v>2229</v>
      </c>
      <c r="C1112" s="14">
        <v>1.0</v>
      </c>
      <c r="D1112" s="15">
        <v>124.0</v>
      </c>
      <c r="E1112" s="15">
        <v>18.0</v>
      </c>
      <c r="F1112" s="16" t="str">
        <f t="array" ref="F1112">"https://www.google.com/maps/search/?api=1&amp;query=" &amp; A1112 &amp; "," &amp; B1112</f>
        <v>https://www.google.com/maps/search/?api=1&amp;query=-30.8993771809669,-5.5535694627268</v>
      </c>
      <c r="G1112" s="16" t="str">
        <f t="array" ref="G1112">"https://earth.google.com/web/search/" &amp; A1112 &amp; "," &amp; B1112</f>
        <v>https://earth.google.com/web/search/-30.8993771809669,-5.5535694627268</v>
      </c>
      <c r="H1112" s="12"/>
      <c r="I1112" s="12"/>
      <c r="J1112" s="12"/>
      <c r="K1112" s="12"/>
      <c r="L1112" s="12"/>
      <c r="M1112" s="12"/>
      <c r="N1112" s="12"/>
      <c r="O1112" s="12"/>
      <c r="P1112" s="12"/>
      <c r="Q1112" s="12"/>
      <c r="R1112" s="12"/>
      <c r="S1112" s="12"/>
      <c r="T1112" s="12"/>
      <c r="U1112" s="12"/>
      <c r="V1112" s="12"/>
      <c r="W1112" s="12"/>
      <c r="X1112" s="12"/>
      <c r="Y1112" s="12"/>
      <c r="Z1112" s="12"/>
      <c r="AA1112" s="12"/>
    </row>
    <row r="1113" ht="26.25" customHeight="1">
      <c r="A1113" s="17" t="s">
        <v>2230</v>
      </c>
      <c r="B1113" s="18" t="s">
        <v>2231</v>
      </c>
      <c r="C1113" s="14">
        <v>1.0</v>
      </c>
      <c r="D1113" s="15">
        <v>124.0</v>
      </c>
      <c r="E1113" s="15">
        <v>19.0</v>
      </c>
      <c r="F1113" s="16" t="str">
        <f t="array" ref="F1113">"https://www.google.com/maps/search/?api=1&amp;query=" &amp; A1113 &amp; "," &amp; B1113</f>
        <v>https://www.google.com/maps/search/?api=1&amp;query=-30.8992510644691,-55.5355752495292</v>
      </c>
      <c r="G1113" s="16" t="str">
        <f t="array" ref="G1113">"https://earth.google.com/web/search/" &amp; A1113 &amp; "," &amp; B1113</f>
        <v>https://earth.google.com/web/search/-30.8992510644691,-55.5355752495292</v>
      </c>
      <c r="H1113" s="12"/>
      <c r="I1113" s="12"/>
      <c r="J1113" s="12"/>
      <c r="K1113" s="12"/>
      <c r="L1113" s="12"/>
      <c r="M1113" s="12"/>
      <c r="N1113" s="12"/>
      <c r="O1113" s="12"/>
      <c r="P1113" s="12"/>
      <c r="Q1113" s="12"/>
      <c r="R1113" s="12"/>
      <c r="S1113" s="12"/>
      <c r="T1113" s="12"/>
      <c r="U1113" s="12"/>
      <c r="V1113" s="12"/>
      <c r="W1113" s="12"/>
      <c r="X1113" s="12"/>
      <c r="Y1113" s="12"/>
      <c r="Z1113" s="12"/>
      <c r="AA1113" s="12"/>
    </row>
    <row r="1114" ht="26.25" customHeight="1">
      <c r="A1114" s="17" t="s">
        <v>2232</v>
      </c>
      <c r="B1114" s="18" t="s">
        <v>2233</v>
      </c>
      <c r="C1114" s="14">
        <v>1.0</v>
      </c>
      <c r="D1114" s="15">
        <v>124.0</v>
      </c>
      <c r="E1114" s="15">
        <v>20.0</v>
      </c>
      <c r="F1114" s="16" t="str">
        <f t="array" ref="F1114">"https://www.google.com/maps/search/?api=1&amp;query=" &amp; A1114 &amp; "," &amp; B1114</f>
        <v>https://www.google.com/maps/search/?api=1&amp;query=-30.8991444988936,-55.5355117403194</v>
      </c>
      <c r="G1114" s="16" t="str">
        <f t="array" ref="G1114">"https://earth.google.com/web/search/" &amp; A1114 &amp; "," &amp; B1114</f>
        <v>https://earth.google.com/web/search/-30.8991444988936,-55.5355117403194</v>
      </c>
      <c r="H1114" s="12"/>
      <c r="I1114" s="12"/>
      <c r="J1114" s="12"/>
      <c r="K1114" s="12"/>
      <c r="L1114" s="12"/>
      <c r="M1114" s="12"/>
      <c r="N1114" s="12"/>
      <c r="O1114" s="12"/>
      <c r="P1114" s="12"/>
      <c r="Q1114" s="12"/>
      <c r="R1114" s="12"/>
      <c r="S1114" s="12"/>
      <c r="T1114" s="12"/>
      <c r="U1114" s="12"/>
      <c r="V1114" s="12"/>
      <c r="W1114" s="12"/>
      <c r="X1114" s="12"/>
      <c r="Y1114" s="12"/>
      <c r="Z1114" s="12"/>
      <c r="AA1114" s="12"/>
    </row>
    <row r="1115" ht="26.25" customHeight="1">
      <c r="A1115" s="17" t="s">
        <v>2234</v>
      </c>
      <c r="B1115" s="18" t="s">
        <v>2235</v>
      </c>
      <c r="C1115" s="14">
        <v>1.0</v>
      </c>
      <c r="D1115" s="15">
        <v>123.0</v>
      </c>
      <c r="E1115" s="15">
        <v>1.0</v>
      </c>
      <c r="F1115" s="16" t="str">
        <f t="array" ref="F1115">"https://www.google.com/maps/search/?api=1&amp;query=" &amp; A1115 &amp; "," &amp; B1115</f>
        <v>https://www.google.com/maps/search/?api=1&amp;query=-30.8986458727635,-55.5363072733032</v>
      </c>
      <c r="G1115" s="16" t="str">
        <f t="array" ref="G1115">"https://earth.google.com/web/search/" &amp; A1115 &amp; "," &amp; B1115</f>
        <v>https://earth.google.com/web/search/-30.8986458727635,-55.5363072733032</v>
      </c>
      <c r="H1115" s="12"/>
      <c r="I1115" s="12"/>
      <c r="J1115" s="12"/>
      <c r="K1115" s="12"/>
      <c r="L1115" s="12"/>
      <c r="M1115" s="12"/>
      <c r="N1115" s="12"/>
      <c r="O1115" s="12"/>
      <c r="P1115" s="12"/>
      <c r="Q1115" s="12"/>
      <c r="R1115" s="12"/>
      <c r="S1115" s="12"/>
      <c r="T1115" s="12"/>
      <c r="U1115" s="12"/>
      <c r="V1115" s="12"/>
      <c r="W1115" s="12"/>
      <c r="X1115" s="12"/>
      <c r="Y1115" s="12"/>
      <c r="Z1115" s="12"/>
      <c r="AA1115" s="12"/>
    </row>
    <row r="1116" ht="26.25" customHeight="1">
      <c r="A1116" s="17" t="s">
        <v>2236</v>
      </c>
      <c r="B1116" s="18" t="s">
        <v>2237</v>
      </c>
      <c r="C1116" s="14">
        <v>1.0</v>
      </c>
      <c r="D1116" s="15">
        <v>123.0</v>
      </c>
      <c r="E1116" s="15">
        <v>2.0</v>
      </c>
      <c r="F1116" s="16" t="str">
        <f t="array" ref="F1116">"https://www.google.com/maps/search/?api=1&amp;query=" &amp; A1116 &amp; "," &amp; B1116</f>
        <v>https://www.google.com/maps/search/?api=1&amp;query=-30.8987198591351,-55.5361691359901</v>
      </c>
      <c r="G1116" s="16" t="str">
        <f t="array" ref="G1116">"https://earth.google.com/web/search/" &amp; A1116 &amp; "," &amp; B1116</f>
        <v>https://earth.google.com/web/search/-30.8987198591351,-55.5361691359901</v>
      </c>
      <c r="H1116" s="12"/>
      <c r="I1116" s="12"/>
      <c r="J1116" s="12"/>
      <c r="K1116" s="12"/>
      <c r="L1116" s="12"/>
      <c r="M1116" s="12"/>
      <c r="N1116" s="12"/>
      <c r="O1116" s="12"/>
      <c r="P1116" s="12"/>
      <c r="Q1116" s="12"/>
      <c r="R1116" s="12"/>
      <c r="S1116" s="12"/>
      <c r="T1116" s="12"/>
      <c r="U1116" s="12"/>
      <c r="V1116" s="12"/>
      <c r="W1116" s="12"/>
      <c r="X1116" s="12"/>
      <c r="Y1116" s="12"/>
      <c r="Z1116" s="12"/>
      <c r="AA1116" s="12"/>
    </row>
    <row r="1117" ht="26.25" customHeight="1">
      <c r="A1117" s="17" t="s">
        <v>2238</v>
      </c>
      <c r="B1117" s="18" t="s">
        <v>2239</v>
      </c>
      <c r="C1117" s="14">
        <v>1.0</v>
      </c>
      <c r="D1117" s="15">
        <v>123.0</v>
      </c>
      <c r="E1117" s="15">
        <v>3.0</v>
      </c>
      <c r="F1117" s="16" t="str">
        <f t="array" ref="F1117">"https://www.google.com/maps/search/?api=1&amp;query=" &amp; A1117 &amp; "," &amp; B1117</f>
        <v>https://www.google.com/maps/search/?api=1&amp;query=-30.8987417328002,-55.5360960035778</v>
      </c>
      <c r="G1117" s="16" t="str">
        <f t="array" ref="G1117">"https://earth.google.com/web/search/" &amp; A1117 &amp; "," &amp; B1117</f>
        <v>https://earth.google.com/web/search/-30.8987417328002,-55.5360960035778</v>
      </c>
      <c r="H1117" s="12"/>
      <c r="I1117" s="12"/>
      <c r="J1117" s="12"/>
      <c r="K1117" s="12"/>
      <c r="L1117" s="12"/>
      <c r="M1117" s="12"/>
      <c r="N1117" s="12"/>
      <c r="O1117" s="12"/>
      <c r="P1117" s="12"/>
      <c r="Q1117" s="12"/>
      <c r="R1117" s="12"/>
      <c r="S1117" s="12"/>
      <c r="T1117" s="12"/>
      <c r="U1117" s="12"/>
      <c r="V1117" s="12"/>
      <c r="W1117" s="12"/>
      <c r="X1117" s="12"/>
      <c r="Y1117" s="12"/>
      <c r="Z1117" s="12"/>
      <c r="AA1117" s="12"/>
    </row>
    <row r="1118" ht="26.25" customHeight="1">
      <c r="A1118" s="17" t="s">
        <v>2240</v>
      </c>
      <c r="B1118" s="18" t="s">
        <v>2241</v>
      </c>
      <c r="C1118" s="14">
        <v>1.0</v>
      </c>
      <c r="D1118" s="15">
        <v>123.0</v>
      </c>
      <c r="E1118" s="15">
        <v>4.0</v>
      </c>
      <c r="F1118" s="16" t="str">
        <f t="array" ref="F1118">"https://www.google.com/maps/search/?api=1&amp;query=" &amp; A1118 &amp; "," &amp; B1118</f>
        <v>https://www.google.com/maps/search/?api=1&amp;query=-30.8988394409903,-55.5359478615424</v>
      </c>
      <c r="G1118" s="16" t="str">
        <f t="array" ref="G1118">"https://earth.google.com/web/search/" &amp; A1118 &amp; "," &amp; B1118</f>
        <v>https://earth.google.com/web/search/-30.8988394409903,-55.5359478615424</v>
      </c>
      <c r="H1118" s="12"/>
      <c r="I1118" s="12"/>
      <c r="J1118" s="12"/>
      <c r="K1118" s="12"/>
      <c r="L1118" s="12"/>
      <c r="M1118" s="12"/>
      <c r="N1118" s="12"/>
      <c r="O1118" s="12"/>
      <c r="P1118" s="12"/>
      <c r="Q1118" s="12"/>
      <c r="R1118" s="12"/>
      <c r="S1118" s="12"/>
      <c r="T1118" s="12"/>
      <c r="U1118" s="12"/>
      <c r="V1118" s="12"/>
      <c r="W1118" s="12"/>
      <c r="X1118" s="12"/>
      <c r="Y1118" s="12"/>
      <c r="Z1118" s="12"/>
      <c r="AA1118" s="12"/>
    </row>
    <row r="1119" ht="26.25" customHeight="1">
      <c r="A1119" s="17" t="s">
        <v>2242</v>
      </c>
      <c r="B1119" s="18" t="s">
        <v>2243</v>
      </c>
      <c r="C1119" s="14">
        <v>1.0</v>
      </c>
      <c r="D1119" s="15">
        <v>123.0</v>
      </c>
      <c r="E1119" s="15">
        <v>5.0</v>
      </c>
      <c r="F1119" s="16" t="str">
        <f t="array" ref="F1119">"https://www.google.com/maps/search/?api=1&amp;query=" &amp; A1119 &amp; "," &amp; B1119</f>
        <v>https://www.google.com/maps/search/?api=1&amp;query=-30.8988649762234,-55.5358741915437</v>
      </c>
      <c r="G1119" s="16" t="str">
        <f t="array" ref="G1119">"https://earth.google.com/web/search/" &amp; A1119 &amp; "," &amp; B1119</f>
        <v>https://earth.google.com/web/search/-30.8988649762234,-55.5358741915437</v>
      </c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/>
      <c r="Y1119" s="12"/>
      <c r="Z1119" s="12"/>
      <c r="AA1119" s="12"/>
    </row>
    <row r="1120" ht="26.25" customHeight="1">
      <c r="A1120" s="17" t="s">
        <v>2244</v>
      </c>
      <c r="B1120" s="18" t="s">
        <v>2245</v>
      </c>
      <c r="C1120" s="14">
        <v>1.0</v>
      </c>
      <c r="D1120" s="15">
        <v>123.0</v>
      </c>
      <c r="E1120" s="15">
        <v>6.0</v>
      </c>
      <c r="F1120" s="16" t="str">
        <f t="array" ref="F1120">"https://www.google.com/maps/search/?api=1&amp;query=" &amp; A1120 &amp; "," &amp; B1120</f>
        <v>https://www.google.com/maps/search/?api=1&amp;query=-30.8989412545956,-55.5357222761619</v>
      </c>
      <c r="G1120" s="16" t="str">
        <f t="array" ref="G1120">"https://earth.google.com/web/search/" &amp; A1120 &amp; "," &amp; B1120</f>
        <v>https://earth.google.com/web/search/-30.8989412545956,-55.5357222761619</v>
      </c>
      <c r="H1120" s="12"/>
      <c r="I1120" s="12"/>
      <c r="J1120" s="12"/>
      <c r="K1120" s="12"/>
      <c r="L1120" s="12"/>
      <c r="M1120" s="12"/>
      <c r="N1120" s="12"/>
      <c r="O1120" s="12"/>
      <c r="P1120" s="12"/>
      <c r="Q1120" s="12"/>
      <c r="R1120" s="12"/>
      <c r="S1120" s="12"/>
      <c r="T1120" s="12"/>
      <c r="U1120" s="12"/>
      <c r="V1120" s="12"/>
      <c r="W1120" s="12"/>
      <c r="X1120" s="12"/>
      <c r="Y1120" s="12"/>
      <c r="Z1120" s="12"/>
      <c r="AA1120" s="12"/>
    </row>
    <row r="1121" ht="26.25" customHeight="1">
      <c r="A1121" s="17" t="s">
        <v>2246</v>
      </c>
      <c r="B1121" s="18" t="s">
        <v>2247</v>
      </c>
      <c r="C1121" s="14">
        <v>1.0</v>
      </c>
      <c r="D1121" s="15">
        <v>123.0</v>
      </c>
      <c r="E1121" s="15">
        <v>7.0</v>
      </c>
      <c r="F1121" s="16" t="str">
        <f t="array" ref="F1121">"https://www.google.com/maps/search/?api=1&amp;query=" &amp; A1121 &amp; "," &amp; B1121</f>
        <v>https://www.google.com/maps/search/?api=1&amp;query=-30.8993855389561,-55.5357843964096</v>
      </c>
      <c r="G1121" s="16" t="str">
        <f t="array" ref="G1121">"https://earth.google.com/web/search/" &amp; A1121 &amp; "," &amp; B1121</f>
        <v>https://earth.google.com/web/search/-30.8993855389561,-55.5357843964096</v>
      </c>
      <c r="H1121" s="12"/>
      <c r="I1121" s="12"/>
      <c r="J1121" s="12"/>
      <c r="K1121" s="12"/>
      <c r="L1121" s="12"/>
      <c r="M1121" s="12"/>
      <c r="N1121" s="12"/>
      <c r="O1121" s="12"/>
      <c r="P1121" s="12"/>
      <c r="Q1121" s="12"/>
      <c r="R1121" s="12"/>
      <c r="S1121" s="12"/>
      <c r="T1121" s="12"/>
      <c r="U1121" s="12"/>
      <c r="V1121" s="12"/>
      <c r="W1121" s="12"/>
      <c r="X1121" s="12"/>
      <c r="Y1121" s="12"/>
      <c r="Z1121" s="12"/>
      <c r="AA1121" s="12"/>
    </row>
    <row r="1122" ht="26.25" customHeight="1">
      <c r="A1122" s="17" t="s">
        <v>2248</v>
      </c>
      <c r="B1122" s="18" t="s">
        <v>2249</v>
      </c>
      <c r="C1122" s="14">
        <v>1.0</v>
      </c>
      <c r="D1122" s="15">
        <v>123.0</v>
      </c>
      <c r="E1122" s="15">
        <v>8.0</v>
      </c>
      <c r="F1122" s="16" t="str">
        <f t="array" ref="F1122">"https://www.google.com/maps/search/?api=1&amp;query=" &amp; A1122 &amp; "," &amp; B1122</f>
        <v>https://www.google.com/maps/search/?api=1&amp;query=-30.8994320830532,-55.5358200493181</v>
      </c>
      <c r="G1122" s="16" t="str">
        <f t="array" ref="G1122">"https://earth.google.com/web/search/" &amp; A1122 &amp; "," &amp; B1122</f>
        <v>https://earth.google.com/web/search/-30.8994320830532,-55.5358200493181</v>
      </c>
      <c r="H1122" s="12"/>
      <c r="I1122" s="12"/>
      <c r="J1122" s="12"/>
      <c r="K1122" s="12"/>
      <c r="L1122" s="12"/>
      <c r="M1122" s="12"/>
      <c r="N1122" s="12"/>
      <c r="O1122" s="12"/>
      <c r="P1122" s="12"/>
      <c r="Q1122" s="12"/>
      <c r="R1122" s="12"/>
      <c r="S1122" s="12"/>
      <c r="T1122" s="12"/>
      <c r="U1122" s="12"/>
      <c r="V1122" s="12"/>
      <c r="W1122" s="12"/>
      <c r="X1122" s="12"/>
      <c r="Y1122" s="12"/>
      <c r="Z1122" s="12"/>
      <c r="AA1122" s="12"/>
    </row>
    <row r="1123" ht="26.25" customHeight="1">
      <c r="A1123" s="17" t="s">
        <v>2250</v>
      </c>
      <c r="B1123" s="18" t="s">
        <v>2251</v>
      </c>
      <c r="C1123" s="14">
        <v>1.0</v>
      </c>
      <c r="D1123" s="15">
        <v>123.0</v>
      </c>
      <c r="E1123" s="15">
        <v>9.0</v>
      </c>
      <c r="F1123" s="16" t="str">
        <f t="array" ref="F1123">"https://www.google.com/maps/search/?api=1&amp;query=" &amp; A1123 &amp; "," &amp; B1123</f>
        <v>https://www.google.com/maps/search/?api=1&amp;query=-30.8994698381431,-55.5358824207205</v>
      </c>
      <c r="G1123" s="16" t="str">
        <f t="array" ref="G1123">"https://earth.google.com/web/search/" &amp; A1123 &amp; "," &amp; B1123</f>
        <v>https://earth.google.com/web/search/-30.8994698381431,-55.5358824207205</v>
      </c>
      <c r="H1123" s="12"/>
      <c r="I1123" s="12"/>
      <c r="J1123" s="12"/>
      <c r="K1123" s="12"/>
      <c r="L1123" s="12"/>
      <c r="M1123" s="12"/>
      <c r="N1123" s="12"/>
      <c r="O1123" s="12"/>
      <c r="P1123" s="12"/>
      <c r="Q1123" s="12"/>
      <c r="R1123" s="12"/>
      <c r="S1123" s="12"/>
      <c r="T1123" s="12"/>
      <c r="U1123" s="12"/>
      <c r="V1123" s="12"/>
      <c r="W1123" s="12"/>
      <c r="X1123" s="12"/>
      <c r="Y1123" s="12"/>
      <c r="Z1123" s="12"/>
      <c r="AA1123" s="12"/>
    </row>
    <row r="1124" ht="26.25" customHeight="1">
      <c r="A1124" s="17" t="s">
        <v>2252</v>
      </c>
      <c r="B1124" s="18" t="s">
        <v>2253</v>
      </c>
      <c r="C1124" s="14">
        <v>1.0</v>
      </c>
      <c r="D1124" s="15">
        <v>123.0</v>
      </c>
      <c r="E1124" s="15">
        <v>10.0</v>
      </c>
      <c r="F1124" s="16" t="str">
        <f t="array" ref="F1124">"https://www.google.com/maps/search/?api=1&amp;query=" &amp; A1124 &amp; "," &amp; B1124</f>
        <v>https://www.google.com/maps/search/?api=1&amp;query=-30.8995161161859,-55.5359156178134</v>
      </c>
      <c r="G1124" s="16" t="str">
        <f t="array" ref="G1124">"https://earth.google.com/web/search/" &amp; A1124 &amp; "," &amp; B1124</f>
        <v>https://earth.google.com/web/search/-30.8995161161859,-55.5359156178134</v>
      </c>
      <c r="H1124" s="12"/>
      <c r="I1124" s="12"/>
      <c r="J1124" s="12"/>
      <c r="K1124" s="12"/>
      <c r="L1124" s="12"/>
      <c r="M1124" s="12"/>
      <c r="N1124" s="12"/>
      <c r="O1124" s="12"/>
      <c r="P1124" s="12"/>
      <c r="Q1124" s="12"/>
      <c r="R1124" s="12"/>
      <c r="S1124" s="12"/>
      <c r="T1124" s="12"/>
      <c r="U1124" s="12"/>
      <c r="V1124" s="12"/>
      <c r="W1124" s="12"/>
      <c r="X1124" s="12"/>
      <c r="Y1124" s="12"/>
      <c r="Z1124" s="12"/>
      <c r="AA1124" s="12"/>
    </row>
    <row r="1125" ht="26.25" customHeight="1">
      <c r="A1125" s="17" t="s">
        <v>2254</v>
      </c>
      <c r="B1125" s="18" t="s">
        <v>2255</v>
      </c>
      <c r="C1125" s="14">
        <v>1.0</v>
      </c>
      <c r="D1125" s="15">
        <v>123.0</v>
      </c>
      <c r="E1125" s="15">
        <v>11.0</v>
      </c>
      <c r="F1125" s="16" t="str">
        <f t="array" ref="F1125">"https://www.google.com/maps/search/?api=1&amp;query=" &amp; A1125 &amp; "," &amp; B1125</f>
        <v>https://www.google.com/maps/search/?api=1&amp;query=-30.8995816437679,-55.5359273132256</v>
      </c>
      <c r="G1125" s="16" t="str">
        <f t="array" ref="G1125">"https://earth.google.com/web/search/" &amp; A1125 &amp; "," &amp; B1125</f>
        <v>https://earth.google.com/web/search/-30.8995816437679,-55.5359273132256</v>
      </c>
      <c r="H1125" s="12"/>
      <c r="I1125" s="12"/>
      <c r="J1125" s="12"/>
      <c r="K1125" s="12"/>
      <c r="L1125" s="12"/>
      <c r="M1125" s="12"/>
      <c r="N1125" s="12"/>
      <c r="O1125" s="12"/>
      <c r="P1125" s="12"/>
      <c r="Q1125" s="12"/>
      <c r="R1125" s="12"/>
      <c r="S1125" s="12"/>
      <c r="T1125" s="12"/>
      <c r="U1125" s="12"/>
      <c r="V1125" s="12"/>
      <c r="W1125" s="12"/>
      <c r="X1125" s="12"/>
      <c r="Y1125" s="12"/>
      <c r="Z1125" s="12"/>
      <c r="AA1125" s="12"/>
    </row>
    <row r="1126" ht="26.25" customHeight="1">
      <c r="A1126" s="17" t="s">
        <v>2256</v>
      </c>
      <c r="B1126" s="18" t="s">
        <v>2257</v>
      </c>
      <c r="C1126" s="14">
        <v>1.0</v>
      </c>
      <c r="D1126" s="15">
        <v>123.0</v>
      </c>
      <c r="E1126" s="15">
        <v>12.0</v>
      </c>
      <c r="F1126" s="16" t="str">
        <f t="array" ref="F1126">"https://www.google.com/maps/search/?api=1&amp;query=" &amp; A1126 &amp; "," &amp; B1126</f>
        <v>https://www.google.com/maps/search/?api=1&amp;query=-3.0899667827062,-55.5359940727543</v>
      </c>
      <c r="G1126" s="16" t="str">
        <f t="array" ref="G1126">"https://earth.google.com/web/search/" &amp; A1126 &amp; "," &amp; B1126</f>
        <v>https://earth.google.com/web/search/-3.0899667827062,-55.5359940727543</v>
      </c>
      <c r="H1126" s="12"/>
      <c r="I1126" s="12"/>
      <c r="J1126" s="12"/>
      <c r="K1126" s="12"/>
      <c r="L1126" s="12"/>
      <c r="M1126" s="12"/>
      <c r="N1126" s="12"/>
      <c r="O1126" s="12"/>
      <c r="P1126" s="12"/>
      <c r="Q1126" s="12"/>
      <c r="R1126" s="12"/>
      <c r="S1126" s="12"/>
      <c r="T1126" s="12"/>
      <c r="U1126" s="12"/>
      <c r="V1126" s="12"/>
      <c r="W1126" s="12"/>
      <c r="X1126" s="12"/>
      <c r="Y1126" s="12"/>
      <c r="Z1126" s="12"/>
      <c r="AA1126" s="12"/>
    </row>
    <row r="1127" ht="26.25" customHeight="1">
      <c r="A1127" s="17" t="s">
        <v>2258</v>
      </c>
      <c r="B1127" s="18" t="s">
        <v>2259</v>
      </c>
      <c r="C1127" s="14">
        <v>1.0</v>
      </c>
      <c r="D1127" s="15">
        <v>123.0</v>
      </c>
      <c r="E1127" s="15">
        <v>13.0</v>
      </c>
      <c r="F1127" s="16" t="str">
        <f t="array" ref="F1127">"https://www.google.com/maps/search/?api=1&amp;query=" &amp; A1127 &amp; "," &amp; B1127</f>
        <v>https://www.google.com/maps/search/?api=1&amp;query=-30.8997110449716,-55.5360244853794</v>
      </c>
      <c r="G1127" s="16" t="str">
        <f t="array" ref="G1127">"https://earth.google.com/web/search/" &amp; A1127 &amp; "," &amp; B1127</f>
        <v>https://earth.google.com/web/search/-30.8997110449716,-55.5360244853794</v>
      </c>
      <c r="H1127" s="12"/>
      <c r="I1127" s="12"/>
      <c r="J1127" s="12"/>
      <c r="K1127" s="12"/>
      <c r="L1127" s="12"/>
      <c r="M1127" s="12"/>
      <c r="N1127" s="12"/>
      <c r="O1127" s="12"/>
      <c r="P1127" s="12"/>
      <c r="Q1127" s="12"/>
      <c r="R1127" s="12"/>
      <c r="S1127" s="12"/>
      <c r="T1127" s="12"/>
      <c r="U1127" s="12"/>
      <c r="V1127" s="12"/>
      <c r="W1127" s="12"/>
      <c r="X1127" s="12"/>
      <c r="Y1127" s="12"/>
      <c r="Z1127" s="12"/>
      <c r="AA1127" s="12"/>
    </row>
    <row r="1128" ht="26.25" customHeight="1">
      <c r="A1128" s="17" t="s">
        <v>2260</v>
      </c>
      <c r="B1128" s="18" t="s">
        <v>2261</v>
      </c>
      <c r="C1128" s="14">
        <v>1.0</v>
      </c>
      <c r="D1128" s="15">
        <v>123.0</v>
      </c>
      <c r="E1128" s="15">
        <v>14.0</v>
      </c>
      <c r="F1128" s="16" t="str">
        <f t="array" ref="F1128">"https://www.google.com/maps/search/?api=1&amp;query=" &amp; A1128 &amp; "," &amp; B1128</f>
        <v>https://www.google.com/maps/search/?api=1&amp;query=-30.8996828066695,-55.5361705267261</v>
      </c>
      <c r="G1128" s="16" t="str">
        <f t="array" ref="G1128">"https://earth.google.com/web/search/" &amp; A1128 &amp; "," &amp; B1128</f>
        <v>https://earth.google.com/web/search/-30.8996828066695,-55.5361705267261</v>
      </c>
      <c r="H1128" s="12"/>
      <c r="I1128" s="12"/>
      <c r="J1128" s="12"/>
      <c r="K1128" s="12"/>
      <c r="L1128" s="12"/>
      <c r="M1128" s="12"/>
      <c r="N1128" s="12"/>
      <c r="O1128" s="12"/>
      <c r="P1128" s="12"/>
      <c r="Q1128" s="12"/>
      <c r="R1128" s="12"/>
      <c r="S1128" s="12"/>
      <c r="T1128" s="12"/>
      <c r="U1128" s="12"/>
      <c r="V1128" s="12"/>
      <c r="W1128" s="12"/>
      <c r="X1128" s="12"/>
      <c r="Y1128" s="12"/>
      <c r="Z1128" s="12"/>
      <c r="AA1128" s="12"/>
    </row>
    <row r="1129" ht="26.25" customHeight="1">
      <c r="A1129" s="17" t="s">
        <v>2262</v>
      </c>
      <c r="B1129" s="18" t="s">
        <v>2263</v>
      </c>
      <c r="C1129" s="14">
        <v>1.0</v>
      </c>
      <c r="D1129" s="15">
        <v>123.0</v>
      </c>
      <c r="E1129" s="15">
        <v>15.0</v>
      </c>
      <c r="F1129" s="16" t="str">
        <f t="array" ref="F1129">"https://www.google.com/maps/search/?api=1&amp;query=" &amp; A1129 &amp; "," &amp; B1129</f>
        <v>https://www.google.com/maps/search/?api=1&amp;query=-30.8996693462714,-55.5362159603479</v>
      </c>
      <c r="G1129" s="16" t="str">
        <f t="array" ref="G1129">"https://earth.google.com/web/search/" &amp; A1129 &amp; "," &amp; B1129</f>
        <v>https://earth.google.com/web/search/-30.8996693462714,-55.5362159603479</v>
      </c>
      <c r="H1129" s="12"/>
      <c r="I1129" s="12"/>
      <c r="J1129" s="12"/>
      <c r="K1129" s="12"/>
      <c r="L1129" s="12"/>
      <c r="M1129" s="12"/>
      <c r="N1129" s="12"/>
      <c r="O1129" s="12"/>
      <c r="P1129" s="12"/>
      <c r="Q1129" s="12"/>
      <c r="R1129" s="12"/>
      <c r="S1129" s="12"/>
      <c r="T1129" s="12"/>
      <c r="U1129" s="12"/>
      <c r="V1129" s="12"/>
      <c r="W1129" s="12"/>
      <c r="X1129" s="12"/>
      <c r="Y1129" s="12"/>
      <c r="Z1129" s="12"/>
      <c r="AA1129" s="12"/>
    </row>
    <row r="1130" ht="26.25" customHeight="1">
      <c r="A1130" s="17" t="s">
        <v>2264</v>
      </c>
      <c r="B1130" s="18" t="s">
        <v>2265</v>
      </c>
      <c r="C1130" s="14">
        <v>1.0</v>
      </c>
      <c r="D1130" s="15">
        <v>123.0</v>
      </c>
      <c r="E1130" s="15">
        <v>16.0</v>
      </c>
      <c r="F1130" s="16" t="str">
        <f t="array" ref="F1130">"https://www.google.com/maps/search/?api=1&amp;query=" &amp; A1130 &amp; "," &amp; B1130</f>
        <v>https://www.google.com/maps/search/?api=1&amp;query=-3.0899592635948,-55.5363443643395</v>
      </c>
      <c r="G1130" s="16" t="str">
        <f t="array" ref="G1130">"https://earth.google.com/web/search/" &amp; A1130 &amp; "," &amp; B1130</f>
        <v>https://earth.google.com/web/search/-3.0899592635948,-55.5363443643395</v>
      </c>
      <c r="H1130" s="12"/>
      <c r="I1130" s="12"/>
      <c r="J1130" s="12"/>
      <c r="K1130" s="12"/>
      <c r="L1130" s="12"/>
      <c r="M1130" s="12"/>
      <c r="N1130" s="12"/>
      <c r="O1130" s="12"/>
      <c r="P1130" s="12"/>
      <c r="Q1130" s="12"/>
      <c r="R1130" s="12"/>
      <c r="S1130" s="12"/>
      <c r="T1130" s="12"/>
      <c r="U1130" s="12"/>
      <c r="V1130" s="12"/>
      <c r="W1130" s="12"/>
      <c r="X1130" s="12"/>
      <c r="Y1130" s="12"/>
      <c r="Z1130" s="12"/>
      <c r="AA1130" s="12"/>
    </row>
    <row r="1131" ht="26.25" customHeight="1">
      <c r="A1131" s="17" t="s">
        <v>2266</v>
      </c>
      <c r="B1131" s="18" t="s">
        <v>2267</v>
      </c>
      <c r="C1131" s="14">
        <v>1.0</v>
      </c>
      <c r="D1131" s="15">
        <v>123.0</v>
      </c>
      <c r="E1131" s="15">
        <v>17.0</v>
      </c>
      <c r="F1131" s="16" t="str">
        <f t="array" ref="F1131">"https://www.google.com/maps/search/?api=1&amp;query=" &amp; A1131 &amp; "," &amp; B1131</f>
        <v>https://www.google.com/maps/search/?api=1&amp;query=-30.8995637699041,-55.5364051697746</v>
      </c>
      <c r="G1131" s="16" t="str">
        <f t="array" ref="G1131">"https://earth.google.com/web/search/" &amp; A1131 &amp; "," &amp; B1131</f>
        <v>https://earth.google.com/web/search/-30.8995637699041,-55.5364051697746</v>
      </c>
      <c r="H1131" s="12"/>
      <c r="I1131" s="12"/>
      <c r="J1131" s="12"/>
      <c r="K1131" s="12"/>
      <c r="L1131" s="12"/>
      <c r="M1131" s="12"/>
      <c r="N1131" s="12"/>
      <c r="O1131" s="12"/>
      <c r="P1131" s="12"/>
      <c r="Q1131" s="12"/>
      <c r="R1131" s="12"/>
      <c r="S1131" s="12"/>
      <c r="T1131" s="12"/>
      <c r="U1131" s="12"/>
      <c r="V1131" s="12"/>
      <c r="W1131" s="12"/>
      <c r="X1131" s="12"/>
      <c r="Y1131" s="12"/>
      <c r="Z1131" s="12"/>
      <c r="AA1131" s="12"/>
    </row>
    <row r="1132" ht="26.25" customHeight="1">
      <c r="A1132" s="17" t="s">
        <v>2268</v>
      </c>
      <c r="B1132" s="18" t="s">
        <v>2269</v>
      </c>
      <c r="C1132" s="14">
        <v>1.0</v>
      </c>
      <c r="D1132" s="15">
        <v>123.0</v>
      </c>
      <c r="E1132" s="15">
        <v>18.0</v>
      </c>
      <c r="F1132" s="16" t="str">
        <f t="array" ref="F1132">"https://www.google.com/maps/search/?api=1&amp;query=" &amp; A1132 &amp; "," &amp; B1132</f>
        <v>https://www.google.com/maps/search/?api=1&amp;query=-30.8995295526835,-55.5364505755152</v>
      </c>
      <c r="G1132" s="16" t="str">
        <f t="array" ref="G1132">"https://earth.google.com/web/search/" &amp; A1132 &amp; "," &amp; B1132</f>
        <v>https://earth.google.com/web/search/-30.8995295526835,-55.5364505755152</v>
      </c>
      <c r="H1132" s="12"/>
      <c r="I1132" s="12"/>
      <c r="J1132" s="12"/>
      <c r="K1132" s="12"/>
      <c r="L1132" s="12"/>
      <c r="M1132" s="12"/>
      <c r="N1132" s="12"/>
      <c r="O1132" s="12"/>
      <c r="P1132" s="12"/>
      <c r="Q1132" s="12"/>
      <c r="R1132" s="12"/>
      <c r="S1132" s="12"/>
      <c r="T1132" s="12"/>
      <c r="U1132" s="12"/>
      <c r="V1132" s="12"/>
      <c r="W1132" s="12"/>
      <c r="X1132" s="12"/>
      <c r="Y1132" s="12"/>
      <c r="Z1132" s="12"/>
      <c r="AA1132" s="12"/>
    </row>
    <row r="1133" ht="26.25" customHeight="1">
      <c r="A1133" s="17" t="s">
        <v>2270</v>
      </c>
      <c r="B1133" s="18" t="s">
        <v>2271</v>
      </c>
      <c r="C1133" s="14">
        <v>1.0</v>
      </c>
      <c r="D1133" s="15">
        <v>123.0</v>
      </c>
      <c r="E1133" s="15">
        <v>19.0</v>
      </c>
      <c r="F1133" s="16" t="str">
        <f t="array" ref="F1133">"https://www.google.com/maps/search/?api=1&amp;query=" &amp; A1133 &amp; "," &amp; B1133</f>
        <v>https://www.google.com/maps/search/?api=1&amp;query=-30.8995026840696,-55.5365076915064</v>
      </c>
      <c r="G1133" s="16" t="str">
        <f t="array" ref="G1133">"https://earth.google.com/web/search/" &amp; A1133 &amp; "," &amp; B1133</f>
        <v>https://earth.google.com/web/search/-30.8995026840696,-55.5365076915064</v>
      </c>
      <c r="H1133" s="12"/>
      <c r="I1133" s="12"/>
      <c r="J1133" s="12"/>
      <c r="K1133" s="12"/>
      <c r="L1133" s="12"/>
      <c r="M1133" s="12"/>
      <c r="N1133" s="12"/>
      <c r="O1133" s="12"/>
      <c r="P1133" s="12"/>
      <c r="Q1133" s="12"/>
      <c r="R1133" s="12"/>
      <c r="S1133" s="12"/>
      <c r="T1133" s="12"/>
      <c r="U1133" s="12"/>
      <c r="V1133" s="12"/>
      <c r="W1133" s="12"/>
      <c r="X1133" s="12"/>
      <c r="Y1133" s="12"/>
      <c r="Z1133" s="12"/>
      <c r="AA1133" s="12"/>
    </row>
    <row r="1134" ht="26.25" customHeight="1">
      <c r="A1134" s="17" t="s">
        <v>2272</v>
      </c>
      <c r="B1134" s="18" t="s">
        <v>2273</v>
      </c>
      <c r="C1134" s="14">
        <v>1.0</v>
      </c>
      <c r="D1134" s="15">
        <v>123.0</v>
      </c>
      <c r="E1134" s="15">
        <v>20.0</v>
      </c>
      <c r="F1134" s="16" t="str">
        <f t="array" ref="F1134">"https://www.google.com/maps/search/?api=1&amp;query=" &amp; A1134 &amp; "," &amp; B1134</f>
        <v>https://www.google.com/maps/search/?api=1&amp;query=-30.8994395609662,-55.5366278137268</v>
      </c>
      <c r="G1134" s="16" t="str">
        <f t="array" ref="G1134">"https://earth.google.com/web/search/" &amp; A1134 &amp; "," &amp; B1134</f>
        <v>https://earth.google.com/web/search/-30.8994395609662,-55.5366278137268</v>
      </c>
      <c r="H1134" s="12"/>
      <c r="I1134" s="12"/>
      <c r="J1134" s="12"/>
      <c r="K1134" s="12"/>
      <c r="L1134" s="12"/>
      <c r="M1134" s="12"/>
      <c r="N1134" s="12"/>
      <c r="O1134" s="12"/>
      <c r="P1134" s="12"/>
      <c r="Q1134" s="12"/>
      <c r="R1134" s="12"/>
      <c r="S1134" s="12"/>
      <c r="T1134" s="12"/>
      <c r="U1134" s="12"/>
      <c r="V1134" s="12"/>
      <c r="W1134" s="12"/>
      <c r="X1134" s="12"/>
      <c r="Y1134" s="12"/>
      <c r="Z1134" s="12"/>
      <c r="AA1134" s="12"/>
    </row>
    <row r="1135" ht="26.25" customHeight="1">
      <c r="A1135" s="17" t="s">
        <v>2274</v>
      </c>
      <c r="B1135" s="18" t="s">
        <v>2275</v>
      </c>
      <c r="C1135" s="14">
        <v>1.0</v>
      </c>
      <c r="D1135" s="15">
        <v>123.0</v>
      </c>
      <c r="E1135" s="15">
        <v>21.0</v>
      </c>
      <c r="F1135" s="16" t="str">
        <f t="array" ref="F1135">"https://www.google.com/maps/search/?api=1&amp;query=" &amp; A1135 &amp; "," &amp; B1135</f>
        <v>https://www.google.com/maps/search/?api=1&amp;query=-30.8993935564574,-55.5367084877386</v>
      </c>
      <c r="G1135" s="16" t="str">
        <f t="array" ref="G1135">"https://earth.google.com/web/search/" &amp; A1135 &amp; "," &amp; B1135</f>
        <v>https://earth.google.com/web/search/-30.8993935564574,-55.5367084877386</v>
      </c>
      <c r="H1135" s="12"/>
      <c r="I1135" s="12"/>
      <c r="J1135" s="12"/>
      <c r="K1135" s="12"/>
      <c r="L1135" s="12"/>
      <c r="M1135" s="12"/>
      <c r="N1135" s="12"/>
      <c r="O1135" s="12"/>
      <c r="P1135" s="12"/>
      <c r="Q1135" s="12"/>
      <c r="R1135" s="12"/>
      <c r="S1135" s="12"/>
      <c r="T1135" s="12"/>
      <c r="U1135" s="12"/>
      <c r="V1135" s="12"/>
      <c r="W1135" s="12"/>
      <c r="X1135" s="12"/>
      <c r="Y1135" s="12"/>
      <c r="Z1135" s="12"/>
      <c r="AA1135" s="12"/>
    </row>
    <row r="1136" ht="26.25" customHeight="1">
      <c r="A1136" s="17" t="s">
        <v>2276</v>
      </c>
      <c r="B1136" s="18" t="s">
        <v>2277</v>
      </c>
      <c r="C1136" s="14">
        <v>1.0</v>
      </c>
      <c r="D1136" s="15">
        <v>123.0</v>
      </c>
      <c r="E1136" s="15">
        <v>22.0</v>
      </c>
      <c r="F1136" s="16" t="str">
        <f t="array" ref="F1136">"https://www.google.com/maps/search/?api=1&amp;query=" &amp; A1136 &amp; "," &amp; B1136</f>
        <v>https://www.google.com/maps/search/?api=1&amp;query=-30.8993312874459,-55.5368351734478</v>
      </c>
      <c r="G1136" s="16" t="str">
        <f t="array" ref="G1136">"https://earth.google.com/web/search/" &amp; A1136 &amp; "," &amp; B1136</f>
        <v>https://earth.google.com/web/search/-30.8993312874459,-55.5368351734478</v>
      </c>
      <c r="H1136" s="12"/>
      <c r="I1136" s="12"/>
      <c r="J1136" s="12"/>
      <c r="K1136" s="12"/>
      <c r="L1136" s="12"/>
      <c r="M1136" s="12"/>
      <c r="N1136" s="12"/>
      <c r="O1136" s="12"/>
      <c r="P1136" s="12"/>
      <c r="Q1136" s="12"/>
      <c r="R1136" s="12"/>
      <c r="S1136" s="12"/>
      <c r="T1136" s="12"/>
      <c r="U1136" s="12"/>
      <c r="V1136" s="12"/>
      <c r="W1136" s="12"/>
      <c r="X1136" s="12"/>
      <c r="Y1136" s="12"/>
      <c r="Z1136" s="12"/>
      <c r="AA1136" s="12"/>
    </row>
    <row r="1137" ht="26.25" customHeight="1">
      <c r="A1137" s="17" t="s">
        <v>2278</v>
      </c>
      <c r="B1137" s="18" t="s">
        <v>2279</v>
      </c>
      <c r="C1137" s="14">
        <v>1.0</v>
      </c>
      <c r="D1137" s="15">
        <v>123.0</v>
      </c>
      <c r="E1137" s="15">
        <v>24.0</v>
      </c>
      <c r="F1137" s="16" t="str">
        <f t="array" ref="F1137">"https://www.google.com/maps/search/?api=1&amp;query=" &amp; A1137 &amp; "," &amp; B1137</f>
        <v>https://www.google.com/maps/search/?api=1&amp;query=-30.8992462474534,-55.5368169692202</v>
      </c>
      <c r="G1137" s="16" t="str">
        <f t="array" ref="G1137">"https://earth.google.com/web/search/" &amp; A1137 &amp; "," &amp; B1137</f>
        <v>https://earth.google.com/web/search/-30.8992462474534,-55.5368169692202</v>
      </c>
      <c r="H1137" s="12"/>
      <c r="I1137" s="12"/>
      <c r="J1137" s="12"/>
      <c r="K1137" s="12"/>
      <c r="L1137" s="12"/>
      <c r="M1137" s="12"/>
      <c r="N1137" s="12"/>
      <c r="O1137" s="12"/>
      <c r="P1137" s="12"/>
      <c r="Q1137" s="12"/>
      <c r="R1137" s="12"/>
      <c r="S1137" s="12"/>
      <c r="T1137" s="12"/>
      <c r="U1137" s="12"/>
      <c r="V1137" s="12"/>
      <c r="W1137" s="12"/>
      <c r="X1137" s="12"/>
      <c r="Y1137" s="12"/>
      <c r="Z1137" s="12"/>
      <c r="AA1137" s="12"/>
    </row>
    <row r="1138" ht="26.25" customHeight="1">
      <c r="A1138" s="17" t="s">
        <v>2280</v>
      </c>
      <c r="B1138" s="18" t="s">
        <v>2281</v>
      </c>
      <c r="C1138" s="14">
        <v>1.0</v>
      </c>
      <c r="D1138" s="15">
        <v>123.0</v>
      </c>
      <c r="E1138" s="15">
        <v>25.0</v>
      </c>
      <c r="F1138" s="16" t="str">
        <f t="array" ref="F1138">"https://www.google.com/maps/search/?api=1&amp;query=" &amp; A1138 &amp; "," &amp; B1138</f>
        <v>https://www.google.com/maps/search/?api=1&amp;query=-30.8991743877247,-55.5367662457434</v>
      </c>
      <c r="G1138" s="16" t="str">
        <f t="array" ref="G1138">"https://earth.google.com/web/search/" &amp; A1138 &amp; "," &amp; B1138</f>
        <v>https://earth.google.com/web/search/-30.8991743877247,-55.5367662457434</v>
      </c>
      <c r="H1138" s="12"/>
      <c r="I1138" s="12"/>
      <c r="J1138" s="12"/>
      <c r="K1138" s="12"/>
      <c r="L1138" s="12"/>
      <c r="M1138" s="12"/>
      <c r="N1138" s="12"/>
      <c r="O1138" s="12"/>
      <c r="P1138" s="12"/>
      <c r="Q1138" s="12"/>
      <c r="R1138" s="12"/>
      <c r="S1138" s="12"/>
      <c r="T1138" s="12"/>
      <c r="U1138" s="12"/>
      <c r="V1138" s="12"/>
      <c r="W1138" s="12"/>
      <c r="X1138" s="12"/>
      <c r="Y1138" s="12"/>
      <c r="Z1138" s="12"/>
      <c r="AA1138" s="12"/>
    </row>
    <row r="1139" ht="26.25" customHeight="1">
      <c r="A1139" s="17" t="s">
        <v>2282</v>
      </c>
      <c r="B1139" s="18" t="s">
        <v>2283</v>
      </c>
      <c r="C1139" s="14">
        <v>1.0</v>
      </c>
      <c r="D1139" s="15">
        <v>123.0</v>
      </c>
      <c r="E1139" s="15">
        <v>26.0</v>
      </c>
      <c r="F1139" s="16" t="str">
        <f t="array" ref="F1139">"https://www.google.com/maps/search/?api=1&amp;query=" &amp; A1139 &amp; "," &amp; B1139</f>
        <v>https://www.google.com/maps/search/?api=1&amp;query=-30.8991175275474,-55.5367111694036</v>
      </c>
      <c r="G1139" s="16" t="str">
        <f t="array" ref="G1139">"https://earth.google.com/web/search/" &amp; A1139 &amp; "," &amp; B1139</f>
        <v>https://earth.google.com/web/search/-30.8991175275474,-55.5367111694036</v>
      </c>
      <c r="H1139" s="12"/>
      <c r="I1139" s="12"/>
      <c r="J1139" s="12"/>
      <c r="K1139" s="12"/>
      <c r="L1139" s="12"/>
      <c r="M1139" s="12"/>
      <c r="N1139" s="12"/>
      <c r="O1139" s="12"/>
      <c r="P1139" s="12"/>
      <c r="Q1139" s="12"/>
      <c r="R1139" s="12"/>
      <c r="S1139" s="12"/>
      <c r="T1139" s="12"/>
      <c r="U1139" s="12"/>
      <c r="V1139" s="12"/>
      <c r="W1139" s="12"/>
      <c r="X1139" s="12"/>
      <c r="Y1139" s="12"/>
      <c r="Z1139" s="12"/>
      <c r="AA1139" s="12"/>
    </row>
    <row r="1140" ht="26.25" customHeight="1">
      <c r="A1140" s="17" t="s">
        <v>2284</v>
      </c>
      <c r="B1140" s="18" t="s">
        <v>2285</v>
      </c>
      <c r="C1140" s="14">
        <v>1.0</v>
      </c>
      <c r="D1140" s="15">
        <v>123.0</v>
      </c>
      <c r="E1140" s="15">
        <v>27.0</v>
      </c>
      <c r="F1140" s="16" t="str">
        <f t="array" ref="F1140">"https://www.google.com/maps/search/?api=1&amp;query=" &amp; A1140 &amp; "," &amp; B1140</f>
        <v>https://www.google.com/maps/search/?api=1&amp;query=-0.3089900739035,-55.5366443176832</v>
      </c>
      <c r="G1140" s="16" t="str">
        <f t="array" ref="G1140">"https://earth.google.com/web/search/" &amp; A1140 &amp; "," &amp; B1140</f>
        <v>https://earth.google.com/web/search/-0.3089900739035,-55.5366443176832</v>
      </c>
      <c r="H1140" s="12"/>
      <c r="I1140" s="12"/>
      <c r="J1140" s="12"/>
      <c r="K1140" s="12"/>
      <c r="L1140" s="12"/>
      <c r="M1140" s="12"/>
      <c r="N1140" s="12"/>
      <c r="O1140" s="12"/>
      <c r="P1140" s="12"/>
      <c r="Q1140" s="12"/>
      <c r="R1140" s="12"/>
      <c r="S1140" s="12"/>
      <c r="T1140" s="12"/>
      <c r="U1140" s="12"/>
      <c r="V1140" s="12"/>
      <c r="W1140" s="12"/>
      <c r="X1140" s="12"/>
      <c r="Y1140" s="12"/>
      <c r="Z1140" s="12"/>
      <c r="AA1140" s="12"/>
    </row>
    <row r="1141" ht="26.25" customHeight="1">
      <c r="A1141" s="17" t="s">
        <v>2286</v>
      </c>
      <c r="B1141" s="18" t="s">
        <v>2287</v>
      </c>
      <c r="C1141" s="14">
        <v>1.0</v>
      </c>
      <c r="D1141" s="15">
        <v>123.0</v>
      </c>
      <c r="E1141" s="15">
        <v>28.0</v>
      </c>
      <c r="F1141" s="16" t="str">
        <f t="array" ref="F1141">"https://www.google.com/maps/search/?api=1&amp;query=" &amp; A1141 &amp; "," &amp; B1141</f>
        <v>https://www.google.com/maps/search/?api=1&amp;query=-30.8988921923372,-55.5365559588614</v>
      </c>
      <c r="G1141" s="16" t="str">
        <f t="array" ref="G1141">"https://earth.google.com/web/search/" &amp; A1141 &amp; "," &amp; B1141</f>
        <v>https://earth.google.com/web/search/-30.8988921923372,-55.5365559588614</v>
      </c>
      <c r="H1141" s="12"/>
      <c r="I1141" s="12"/>
      <c r="J1141" s="12"/>
      <c r="K1141" s="12"/>
      <c r="L1141" s="12"/>
      <c r="M1141" s="12"/>
      <c r="N1141" s="12"/>
      <c r="O1141" s="12"/>
      <c r="P1141" s="12"/>
      <c r="Q1141" s="12"/>
      <c r="R1141" s="12"/>
      <c r="S1141" s="12"/>
      <c r="T1141" s="12"/>
      <c r="U1141" s="12"/>
      <c r="V1141" s="12"/>
      <c r="W1141" s="12"/>
      <c r="X1141" s="12"/>
      <c r="Y1141" s="12"/>
      <c r="Z1141" s="12"/>
      <c r="AA1141" s="12"/>
    </row>
    <row r="1142" ht="26.25" customHeight="1">
      <c r="A1142" s="17" t="s">
        <v>2288</v>
      </c>
      <c r="B1142" s="18" t="s">
        <v>2289</v>
      </c>
      <c r="C1142" s="14">
        <v>1.0</v>
      </c>
      <c r="D1142" s="15">
        <v>123.0</v>
      </c>
      <c r="E1142" s="15">
        <v>29.0</v>
      </c>
      <c r="F1142" s="16" t="str">
        <f t="array" ref="F1142">"https://www.google.com/maps/search/?api=1&amp;query=" &amp; A1142 &amp; "," &amp; B1142</f>
        <v>https://www.google.com/maps/search/?api=1&amp;query=-30.8988277640357,-55.5365192895829</v>
      </c>
      <c r="G1142" s="16" t="str">
        <f t="array" ref="G1142">"https://earth.google.com/web/search/" &amp; A1142 &amp; "," &amp; B1142</f>
        <v>https://earth.google.com/web/search/-30.8988277640357,-55.5365192895829</v>
      </c>
      <c r="H1142" s="12"/>
      <c r="I1142" s="12"/>
      <c r="J1142" s="12"/>
      <c r="K1142" s="12"/>
      <c r="L1142" s="12"/>
      <c r="M1142" s="12"/>
      <c r="N1142" s="12"/>
      <c r="O1142" s="12"/>
      <c r="P1142" s="12"/>
      <c r="Q1142" s="12"/>
      <c r="R1142" s="12"/>
      <c r="S1142" s="12"/>
      <c r="T1142" s="12"/>
      <c r="U1142" s="12"/>
      <c r="V1142" s="12"/>
      <c r="W1142" s="12"/>
      <c r="X1142" s="12"/>
      <c r="Y1142" s="12"/>
      <c r="Z1142" s="12"/>
      <c r="AA1142" s="12"/>
    </row>
    <row r="1143" ht="26.25" customHeight="1">
      <c r="A1143" s="17" t="s">
        <v>2290</v>
      </c>
      <c r="B1143" s="18" t="s">
        <v>2291</v>
      </c>
      <c r="C1143" s="14">
        <v>1.0</v>
      </c>
      <c r="D1143" s="15">
        <v>122.0</v>
      </c>
      <c r="E1143" s="15">
        <v>1.0</v>
      </c>
      <c r="F1143" s="16" t="str">
        <f t="array" ref="F1143">"https://www.google.com/maps/search/?api=1&amp;query=" &amp; A1143 &amp; "," &amp; B1143</f>
        <v>https://www.google.com/maps/search/?api=1&amp;query=-30.8985999992021,-55.5375949088732</v>
      </c>
      <c r="G1143" s="16" t="str">
        <f t="array" ref="G1143">"https://earth.google.com/web/search/" &amp; A1143 &amp; "," &amp; B1143</f>
        <v>https://earth.google.com/web/search/-30.8985999992021,-55.5375949088732</v>
      </c>
      <c r="H1143" s="12"/>
      <c r="I1143" s="12"/>
      <c r="J1143" s="12"/>
      <c r="K1143" s="12"/>
      <c r="L1143" s="12"/>
      <c r="M1143" s="12"/>
      <c r="N1143" s="12"/>
      <c r="O1143" s="12"/>
      <c r="P1143" s="12"/>
      <c r="Q1143" s="12"/>
      <c r="R1143" s="12"/>
      <c r="S1143" s="12"/>
      <c r="T1143" s="12"/>
      <c r="U1143" s="12"/>
      <c r="V1143" s="12"/>
      <c r="W1143" s="12"/>
      <c r="X1143" s="12"/>
      <c r="Y1143" s="12"/>
      <c r="Z1143" s="12"/>
      <c r="AA1143" s="12"/>
    </row>
    <row r="1144" ht="26.25" customHeight="1">
      <c r="A1144" s="17" t="s">
        <v>2292</v>
      </c>
      <c r="B1144" s="18" t="s">
        <v>2293</v>
      </c>
      <c r="C1144" s="14">
        <v>1.0</v>
      </c>
      <c r="D1144" s="15">
        <v>122.0</v>
      </c>
      <c r="E1144" s="15">
        <v>2.0</v>
      </c>
      <c r="F1144" s="16" t="str">
        <f t="array" ref="F1144">"https://www.google.com/maps/search/?api=1&amp;query=" &amp; A1144 &amp; "," &amp; B1144</f>
        <v>https://www.google.com/maps/search/?api=1&amp;query=-30.8984459312735,-55.5366306758604</v>
      </c>
      <c r="G1144" s="16" t="str">
        <f t="array" ref="G1144">"https://earth.google.com/web/search/" &amp; A1144 &amp; "," &amp; B1144</f>
        <v>https://earth.google.com/web/search/-30.8984459312735,-55.5366306758604</v>
      </c>
      <c r="H1144" s="12"/>
      <c r="I1144" s="12"/>
      <c r="J1144" s="12"/>
      <c r="K1144" s="12"/>
      <c r="L1144" s="12"/>
      <c r="M1144" s="12"/>
      <c r="N1144" s="12"/>
      <c r="O1144" s="12"/>
      <c r="P1144" s="12"/>
      <c r="Q1144" s="12"/>
      <c r="R1144" s="12"/>
      <c r="S1144" s="12"/>
      <c r="T1144" s="12"/>
      <c r="U1144" s="12"/>
      <c r="V1144" s="12"/>
      <c r="W1144" s="12"/>
      <c r="X1144" s="12"/>
      <c r="Y1144" s="12"/>
      <c r="Z1144" s="12"/>
      <c r="AA1144" s="12"/>
    </row>
    <row r="1145" ht="26.25" customHeight="1">
      <c r="A1145" s="17" t="s">
        <v>2294</v>
      </c>
      <c r="B1145" s="18" t="s">
        <v>2295</v>
      </c>
      <c r="C1145" s="14">
        <v>1.0</v>
      </c>
      <c r="D1145" s="15">
        <v>122.0</v>
      </c>
      <c r="E1145" s="15">
        <v>3.0</v>
      </c>
      <c r="F1145" s="16" t="str">
        <f t="array" ref="F1145">"https://www.google.com/maps/search/?api=1&amp;query=" &amp; A1145 &amp; "," &amp; B1145</f>
        <v>https://www.google.com/maps/search/?api=1&amp;query=-3.0898459950825,-5.5536595391157</v>
      </c>
      <c r="G1145" s="16" t="str">
        <f t="array" ref="G1145">"https://earth.google.com/web/search/" &amp; A1145 &amp; "," &amp; B1145</f>
        <v>https://earth.google.com/web/search/-3.0898459950825,-5.5536595391157</v>
      </c>
      <c r="H1145" s="12"/>
      <c r="I1145" s="12"/>
      <c r="J1145" s="12"/>
      <c r="K1145" s="12"/>
      <c r="L1145" s="12"/>
      <c r="M1145" s="12"/>
      <c r="N1145" s="12"/>
      <c r="O1145" s="12"/>
      <c r="P1145" s="12"/>
      <c r="Q1145" s="12"/>
      <c r="R1145" s="12"/>
      <c r="S1145" s="12"/>
      <c r="T1145" s="12"/>
      <c r="U1145" s="12"/>
      <c r="V1145" s="12"/>
      <c r="W1145" s="12"/>
      <c r="X1145" s="12"/>
      <c r="Y1145" s="12"/>
      <c r="Z1145" s="12"/>
      <c r="AA1145" s="12"/>
    </row>
    <row r="1146" ht="26.25" customHeight="1">
      <c r="A1146" s="17" t="s">
        <v>2296</v>
      </c>
      <c r="B1146" s="18" t="s">
        <v>2297</v>
      </c>
      <c r="C1146" s="14">
        <v>1.0</v>
      </c>
      <c r="D1146" s="15">
        <v>122.0</v>
      </c>
      <c r="E1146" s="15">
        <v>4.0</v>
      </c>
      <c r="F1146" s="16" t="str">
        <f t="array" ref="F1146">"https://www.google.com/maps/search/?api=1&amp;query=" &amp; A1146 &amp; "," &amp; B1146</f>
        <v>https://www.google.com/maps/search/?api=1&amp;query=-30.8984925490229,-55.5365628341683</v>
      </c>
      <c r="G1146" s="16" t="str">
        <f t="array" ref="G1146">"https://earth.google.com/web/search/" &amp; A1146 &amp; "," &amp; B1146</f>
        <v>https://earth.google.com/web/search/-30.8984925490229,-55.5365628341683</v>
      </c>
      <c r="H1146" s="12"/>
      <c r="I1146" s="12"/>
      <c r="J1146" s="12"/>
      <c r="K1146" s="12"/>
      <c r="L1146" s="12"/>
      <c r="M1146" s="12"/>
      <c r="N1146" s="12"/>
      <c r="O1146" s="12"/>
      <c r="P1146" s="12"/>
      <c r="Q1146" s="12"/>
      <c r="R1146" s="12"/>
      <c r="S1146" s="12"/>
      <c r="T1146" s="12"/>
      <c r="U1146" s="12"/>
      <c r="V1146" s="12"/>
      <c r="W1146" s="12"/>
      <c r="X1146" s="12"/>
      <c r="Y1146" s="12"/>
      <c r="Z1146" s="12"/>
      <c r="AA1146" s="12"/>
    </row>
    <row r="1147" ht="26.25" customHeight="1">
      <c r="A1147" s="17" t="s">
        <v>2298</v>
      </c>
      <c r="B1147" s="18" t="s">
        <v>2299</v>
      </c>
      <c r="C1147" s="14">
        <v>1.0</v>
      </c>
      <c r="D1147" s="15">
        <v>122.0</v>
      </c>
      <c r="E1147" s="15">
        <v>5.0</v>
      </c>
      <c r="F1147" s="16" t="str">
        <f t="array" ref="F1147">"https://www.google.com/maps/search/?api=1&amp;query=" &amp; A1147 &amp; "," &amp; B1147</f>
        <v>https://www.google.com/maps/search/?api=1&amp;query=-30.8985104435364,-55.5365268838399</v>
      </c>
      <c r="G1147" s="16" t="str">
        <f t="array" ref="G1147">"https://earth.google.com/web/search/" &amp; A1147 &amp; "," &amp; B1147</f>
        <v>https://earth.google.com/web/search/-30.8985104435364,-55.5365268838399</v>
      </c>
      <c r="H1147" s="12"/>
      <c r="I1147" s="12"/>
      <c r="J1147" s="12"/>
      <c r="K1147" s="12"/>
      <c r="L1147" s="12"/>
      <c r="M1147" s="12"/>
      <c r="N1147" s="12"/>
      <c r="O1147" s="12"/>
      <c r="P1147" s="12"/>
      <c r="Q1147" s="12"/>
      <c r="R1147" s="12"/>
      <c r="S1147" s="12"/>
      <c r="T1147" s="12"/>
      <c r="U1147" s="12"/>
      <c r="V1147" s="12"/>
      <c r="W1147" s="12"/>
      <c r="X1147" s="12"/>
      <c r="Y1147" s="12"/>
      <c r="Z1147" s="12"/>
      <c r="AA1147" s="12"/>
    </row>
    <row r="1148" ht="26.25" customHeight="1">
      <c r="A1148" s="17" t="s">
        <v>2300</v>
      </c>
      <c r="B1148" s="18" t="s">
        <v>2301</v>
      </c>
      <c r="C1148" s="14">
        <v>1.0</v>
      </c>
      <c r="D1148" s="15">
        <v>122.0</v>
      </c>
      <c r="E1148" s="15">
        <v>6.0</v>
      </c>
      <c r="F1148" s="16" t="str">
        <f t="array" ref="F1148">"https://www.google.com/maps/search/?api=1&amp;query=" &amp; A1148 &amp; "," &amp; B1148</f>
        <v>https://www.google.com/maps/search/?api=1&amp;query=-30.8986125880957,-55.5364871665514</v>
      </c>
      <c r="G1148" s="16" t="str">
        <f t="array" ref="G1148">"https://earth.google.com/web/search/" &amp; A1148 &amp; "," &amp; B1148</f>
        <v>https://earth.google.com/web/search/-30.8986125880957,-55.5364871665514</v>
      </c>
      <c r="H1148" s="12"/>
      <c r="I1148" s="12"/>
      <c r="J1148" s="12"/>
      <c r="K1148" s="12"/>
      <c r="L1148" s="12"/>
      <c r="M1148" s="12"/>
      <c r="N1148" s="12"/>
      <c r="O1148" s="12"/>
      <c r="P1148" s="12"/>
      <c r="Q1148" s="12"/>
      <c r="R1148" s="12"/>
      <c r="S1148" s="12"/>
      <c r="T1148" s="12"/>
      <c r="U1148" s="12"/>
      <c r="V1148" s="12"/>
      <c r="W1148" s="12"/>
      <c r="X1148" s="12"/>
      <c r="Y1148" s="12"/>
      <c r="Z1148" s="12"/>
      <c r="AA1148" s="12"/>
    </row>
    <row r="1149" ht="26.25" customHeight="1">
      <c r="A1149" s="17" t="s">
        <v>2302</v>
      </c>
      <c r="B1149" s="18" t="s">
        <v>2303</v>
      </c>
      <c r="C1149" s="14">
        <v>1.0</v>
      </c>
      <c r="D1149" s="15">
        <v>122.0</v>
      </c>
      <c r="E1149" s="15">
        <v>7.0</v>
      </c>
      <c r="F1149" s="16" t="str">
        <f t="array" ref="F1149">"https://www.google.com/maps/search/?api=1&amp;query=" &amp; A1149 &amp; "," &amp; B1149</f>
        <v>https://www.google.com/maps/search/?api=1&amp;query=-30.8986361246489,-55.5365077520177</v>
      </c>
      <c r="G1149" s="16" t="str">
        <f t="array" ref="G1149">"https://earth.google.com/web/search/" &amp; A1149 &amp; "," &amp; B1149</f>
        <v>https://earth.google.com/web/search/-30.8986361246489,-55.5365077520177</v>
      </c>
      <c r="H1149" s="12"/>
      <c r="I1149" s="12"/>
      <c r="J1149" s="12"/>
      <c r="K1149" s="12"/>
      <c r="L1149" s="12"/>
      <c r="M1149" s="12"/>
      <c r="N1149" s="12"/>
      <c r="O1149" s="12"/>
      <c r="P1149" s="12"/>
      <c r="Q1149" s="12"/>
      <c r="R1149" s="12"/>
      <c r="S1149" s="12"/>
      <c r="T1149" s="12"/>
      <c r="U1149" s="12"/>
      <c r="V1149" s="12"/>
      <c r="W1149" s="12"/>
      <c r="X1149" s="12"/>
      <c r="Y1149" s="12"/>
      <c r="Z1149" s="12"/>
      <c r="AA1149" s="12"/>
    </row>
    <row r="1150" ht="26.25" customHeight="1">
      <c r="A1150" s="17" t="s">
        <v>2304</v>
      </c>
      <c r="B1150" s="18" t="s">
        <v>2305</v>
      </c>
      <c r="C1150" s="14">
        <v>1.0</v>
      </c>
      <c r="D1150" s="15">
        <v>122.0</v>
      </c>
      <c r="E1150" s="15">
        <v>8.0</v>
      </c>
      <c r="F1150" s="16" t="str">
        <f t="array" ref="F1150">"https://www.google.com/maps/search/?api=1&amp;query=" &amp; A1150 &amp; "," &amp; B1150</f>
        <v>https://www.google.com/maps/search/?api=1&amp;query=-30.8986644549758,-55.5365273467064</v>
      </c>
      <c r="G1150" s="16" t="str">
        <f t="array" ref="G1150">"https://earth.google.com/web/search/" &amp; A1150 &amp; "," &amp; B1150</f>
        <v>https://earth.google.com/web/search/-30.8986644549758,-55.5365273467064</v>
      </c>
      <c r="H1150" s="12"/>
      <c r="I1150" s="12"/>
      <c r="J1150" s="12"/>
      <c r="K1150" s="12"/>
      <c r="L1150" s="12"/>
      <c r="M1150" s="12"/>
      <c r="N1150" s="12"/>
      <c r="O1150" s="12"/>
      <c r="P1150" s="12"/>
      <c r="Q1150" s="12"/>
      <c r="R1150" s="12"/>
      <c r="S1150" s="12"/>
      <c r="T1150" s="12"/>
      <c r="U1150" s="12"/>
      <c r="V1150" s="12"/>
      <c r="W1150" s="12"/>
      <c r="X1150" s="12"/>
      <c r="Y1150" s="12"/>
      <c r="Z1150" s="12"/>
      <c r="AA1150" s="12"/>
    </row>
    <row r="1151" ht="26.25" customHeight="1">
      <c r="A1151" s="17" t="s">
        <v>2306</v>
      </c>
      <c r="B1151" s="18" t="s">
        <v>2307</v>
      </c>
      <c r="C1151" s="14">
        <v>1.0</v>
      </c>
      <c r="D1151" s="15">
        <v>122.0</v>
      </c>
      <c r="E1151" s="15">
        <v>9.0</v>
      </c>
      <c r="F1151" s="16" t="str">
        <f t="array" ref="F1151">"https://www.google.com/maps/search/?api=1&amp;query=" &amp; A1151 &amp; "," &amp; B1151</f>
        <v>https://www.google.com/maps/search/?api=1&amp;query=-30.8990062010701,-55.5367696283028</v>
      </c>
      <c r="G1151" s="16" t="str">
        <f t="array" ref="G1151">"https://earth.google.com/web/search/" &amp; A1151 &amp; "," &amp; B1151</f>
        <v>https://earth.google.com/web/search/-30.8990062010701,-55.5367696283028</v>
      </c>
      <c r="H1151" s="12"/>
      <c r="I1151" s="12"/>
      <c r="J1151" s="12"/>
      <c r="K1151" s="12"/>
      <c r="L1151" s="12"/>
      <c r="M1151" s="12"/>
      <c r="N1151" s="12"/>
      <c r="O1151" s="12"/>
      <c r="P1151" s="12"/>
      <c r="Q1151" s="12"/>
      <c r="R1151" s="12"/>
      <c r="S1151" s="12"/>
      <c r="T1151" s="12"/>
      <c r="U1151" s="12"/>
      <c r="V1151" s="12"/>
      <c r="W1151" s="12"/>
      <c r="X1151" s="12"/>
      <c r="Y1151" s="12"/>
      <c r="Z1151" s="12"/>
      <c r="AA1151" s="12"/>
    </row>
    <row r="1152" ht="26.25" customHeight="1">
      <c r="A1152" s="17" t="s">
        <v>2308</v>
      </c>
      <c r="B1152" s="18" t="s">
        <v>2309</v>
      </c>
      <c r="C1152" s="14">
        <v>1.0</v>
      </c>
      <c r="D1152" s="15">
        <v>122.0</v>
      </c>
      <c r="E1152" s="15">
        <v>10.0</v>
      </c>
      <c r="F1152" s="16" t="str">
        <f t="array" ref="F1152">"https://www.google.com/maps/search/?api=1&amp;query=" &amp; A1152 &amp; "," &amp; B1152</f>
        <v>https://www.google.com/maps/search/?api=1&amp;query=-30.8990318467959,-55.5368028434873</v>
      </c>
      <c r="G1152" s="16" t="str">
        <f t="array" ref="G1152">"https://earth.google.com/web/search/" &amp; A1152 &amp; "," &amp; B1152</f>
        <v>https://earth.google.com/web/search/-30.8990318467959,-55.5368028434873</v>
      </c>
      <c r="H1152" s="12"/>
      <c r="I1152" s="12"/>
      <c r="J1152" s="12"/>
      <c r="K1152" s="12"/>
      <c r="L1152" s="12"/>
      <c r="M1152" s="12"/>
      <c r="N1152" s="12"/>
      <c r="O1152" s="12"/>
      <c r="P1152" s="12"/>
      <c r="Q1152" s="12"/>
      <c r="R1152" s="12"/>
      <c r="S1152" s="12"/>
      <c r="T1152" s="12"/>
      <c r="U1152" s="12"/>
      <c r="V1152" s="12"/>
      <c r="W1152" s="12"/>
      <c r="X1152" s="12"/>
      <c r="Y1152" s="12"/>
      <c r="Z1152" s="12"/>
      <c r="AA1152" s="12"/>
    </row>
    <row r="1153" ht="26.25" customHeight="1">
      <c r="A1153" s="17" t="s">
        <v>2310</v>
      </c>
      <c r="B1153" s="18" t="s">
        <v>2311</v>
      </c>
      <c r="C1153" s="14">
        <v>1.0</v>
      </c>
      <c r="D1153" s="15">
        <v>122.0</v>
      </c>
      <c r="E1153" s="15">
        <v>11.0</v>
      </c>
      <c r="F1153" s="16" t="str">
        <f t="array" ref="F1153">"https://www.google.com/maps/search/?api=1&amp;query=" &amp; A1153 &amp; "," &amp; B1153</f>
        <v>https://www.google.com/maps/search/?api=1&amp;query=-30.8991003685532,-55.5368407189866</v>
      </c>
      <c r="G1153" s="16" t="str">
        <f t="array" ref="G1153">"https://earth.google.com/web/search/" &amp; A1153 &amp; "," &amp; B1153</f>
        <v>https://earth.google.com/web/search/-30.8991003685532,-55.5368407189866</v>
      </c>
      <c r="H1153" s="12"/>
      <c r="I1153" s="12"/>
      <c r="J1153" s="12"/>
      <c r="K1153" s="12"/>
      <c r="L1153" s="12"/>
      <c r="M1153" s="12"/>
      <c r="N1153" s="12"/>
      <c r="O1153" s="12"/>
      <c r="P1153" s="12"/>
      <c r="Q1153" s="12"/>
      <c r="R1153" s="12"/>
      <c r="S1153" s="12"/>
      <c r="T1153" s="12"/>
      <c r="U1153" s="12"/>
      <c r="V1153" s="12"/>
      <c r="W1153" s="12"/>
      <c r="X1153" s="12"/>
      <c r="Y1153" s="12"/>
      <c r="Z1153" s="12"/>
      <c r="AA1153" s="12"/>
    </row>
    <row r="1154" ht="26.25" customHeight="1">
      <c r="A1154" s="17" t="s">
        <v>2312</v>
      </c>
      <c r="B1154" s="18" t="s">
        <v>2313</v>
      </c>
      <c r="C1154" s="14">
        <v>1.0</v>
      </c>
      <c r="D1154" s="15">
        <v>122.0</v>
      </c>
      <c r="E1154" s="15">
        <v>12.0</v>
      </c>
      <c r="F1154" s="16" t="str">
        <f t="array" ref="F1154">"https://www.google.com/maps/search/?api=1&amp;query=" &amp; A1154 &amp; "," &amp; B1154</f>
        <v>https://www.google.com/maps/search/?api=1&amp;query=-30.8992074997515,-55.5369182489475</v>
      </c>
      <c r="G1154" s="16" t="str">
        <f t="array" ref="G1154">"https://earth.google.com/web/search/" &amp; A1154 &amp; "," &amp; B1154</f>
        <v>https://earth.google.com/web/search/-30.8992074997515,-55.5369182489475</v>
      </c>
      <c r="H1154" s="12"/>
      <c r="I1154" s="12"/>
      <c r="J1154" s="12"/>
      <c r="K1154" s="12"/>
      <c r="L1154" s="12"/>
      <c r="M1154" s="12"/>
      <c r="N1154" s="12"/>
      <c r="O1154" s="12"/>
      <c r="P1154" s="12"/>
      <c r="Q1154" s="12"/>
      <c r="R1154" s="12"/>
      <c r="S1154" s="12"/>
      <c r="T1154" s="12"/>
      <c r="U1154" s="12"/>
      <c r="V1154" s="12"/>
      <c r="W1154" s="12"/>
      <c r="X1154" s="12"/>
      <c r="Y1154" s="12"/>
      <c r="Z1154" s="12"/>
      <c r="AA1154" s="12"/>
    </row>
    <row r="1155" ht="26.25" customHeight="1">
      <c r="A1155" s="17" t="s">
        <v>2314</v>
      </c>
      <c r="B1155" s="18" t="s">
        <v>2315</v>
      </c>
      <c r="C1155" s="14">
        <v>1.0</v>
      </c>
      <c r="D1155" s="15">
        <v>122.0</v>
      </c>
      <c r="E1155" s="15">
        <v>13.0</v>
      </c>
      <c r="F1155" s="16" t="str">
        <f t="array" ref="F1155">"https://www.google.com/maps/search/?api=1&amp;query=" &amp; A1155 &amp; "," &amp; B1155</f>
        <v>https://www.google.com/maps/search/?api=1&amp;query=-30.8992498154256,-55.5369896458995</v>
      </c>
      <c r="G1155" s="16" t="str">
        <f t="array" ref="G1155">"https://earth.google.com/web/search/" &amp; A1155 &amp; "," &amp; B1155</f>
        <v>https://earth.google.com/web/search/-30.8992498154256,-55.5369896458995</v>
      </c>
      <c r="H1155" s="12"/>
      <c r="I1155" s="12"/>
      <c r="J1155" s="12"/>
      <c r="K1155" s="12"/>
      <c r="L1155" s="12"/>
      <c r="M1155" s="12"/>
      <c r="N1155" s="12"/>
      <c r="O1155" s="12"/>
      <c r="P1155" s="12"/>
      <c r="Q1155" s="12"/>
      <c r="R1155" s="12"/>
      <c r="S1155" s="12"/>
      <c r="T1155" s="12"/>
      <c r="U1155" s="12"/>
      <c r="V1155" s="12"/>
      <c r="W1155" s="12"/>
      <c r="X1155" s="12"/>
      <c r="Y1155" s="12"/>
      <c r="Z1155" s="12"/>
      <c r="AA1155" s="12"/>
    </row>
    <row r="1156" ht="26.25" customHeight="1">
      <c r="A1156" s="17" t="s">
        <v>2316</v>
      </c>
      <c r="B1156" s="18" t="s">
        <v>2317</v>
      </c>
      <c r="C1156" s="14">
        <v>1.0</v>
      </c>
      <c r="D1156" s="15">
        <v>122.0</v>
      </c>
      <c r="E1156" s="15">
        <v>14.0</v>
      </c>
      <c r="F1156" s="16" t="str">
        <f t="array" ref="F1156">"https://www.google.com/maps/search/?api=1&amp;query=" &amp; A1156 &amp; "," &amp; B1156</f>
        <v>https://www.google.com/maps/search/?api=1&amp;query=-30.8992311684242,-55.5370424888258</v>
      </c>
      <c r="G1156" s="16" t="str">
        <f t="array" ref="G1156">"https://earth.google.com/web/search/" &amp; A1156 &amp; "," &amp; B1156</f>
        <v>https://earth.google.com/web/search/-30.8992311684242,-55.5370424888258</v>
      </c>
      <c r="H1156" s="12"/>
      <c r="I1156" s="12"/>
      <c r="J1156" s="12"/>
      <c r="K1156" s="12"/>
      <c r="L1156" s="12"/>
      <c r="M1156" s="12"/>
      <c r="N1156" s="12"/>
      <c r="O1156" s="12"/>
      <c r="P1156" s="12"/>
      <c r="Q1156" s="12"/>
      <c r="R1156" s="12"/>
      <c r="S1156" s="12"/>
      <c r="T1156" s="12"/>
      <c r="U1156" s="12"/>
      <c r="V1156" s="12"/>
      <c r="W1156" s="12"/>
      <c r="X1156" s="12"/>
      <c r="Y1156" s="12"/>
      <c r="Z1156" s="12"/>
      <c r="AA1156" s="12"/>
    </row>
    <row r="1157" ht="26.25" customHeight="1">
      <c r="A1157" s="17" t="s">
        <v>2318</v>
      </c>
      <c r="B1157" s="18" t="s">
        <v>2319</v>
      </c>
      <c r="C1157" s="14">
        <v>1.0</v>
      </c>
      <c r="D1157" s="15">
        <v>122.0</v>
      </c>
      <c r="E1157" s="15">
        <v>15.0</v>
      </c>
      <c r="F1157" s="16" t="str">
        <f t="array" ref="F1157">"https://www.google.com/maps/search/?api=1&amp;query=" &amp; A1157 &amp; "," &amp; B1157</f>
        <v>https://www.google.com/maps/search/?api=1&amp;query=-30.8991923733739,-55.5371048339746</v>
      </c>
      <c r="G1157" s="16" t="str">
        <f t="array" ref="G1157">"https://earth.google.com/web/search/" &amp; A1157 &amp; "," &amp; B1157</f>
        <v>https://earth.google.com/web/search/-30.8991923733739,-55.5371048339746</v>
      </c>
      <c r="H1157" s="12"/>
      <c r="I1157" s="12"/>
      <c r="J1157" s="12"/>
      <c r="K1157" s="12"/>
      <c r="L1157" s="12"/>
      <c r="M1157" s="12"/>
      <c r="N1157" s="12"/>
      <c r="O1157" s="12"/>
      <c r="P1157" s="12"/>
      <c r="Q1157" s="12"/>
      <c r="R1157" s="12"/>
      <c r="S1157" s="12"/>
      <c r="T1157" s="12"/>
      <c r="U1157" s="12"/>
      <c r="V1157" s="12"/>
      <c r="W1157" s="12"/>
      <c r="X1157" s="12"/>
      <c r="Y1157" s="12"/>
      <c r="Z1157" s="12"/>
      <c r="AA1157" s="12"/>
    </row>
    <row r="1158" ht="26.25" customHeight="1">
      <c r="A1158" s="17" t="s">
        <v>2320</v>
      </c>
      <c r="B1158" s="18" t="s">
        <v>2321</v>
      </c>
      <c r="C1158" s="14">
        <v>1.0</v>
      </c>
      <c r="D1158" s="15">
        <v>122.0</v>
      </c>
      <c r="E1158" s="15">
        <v>16.0</v>
      </c>
      <c r="F1158" s="16" t="str">
        <f t="array" ref="F1158">"https://www.google.com/maps/search/?api=1&amp;query=" &amp; A1158 &amp; "," &amp; B1158</f>
        <v>https://www.google.com/maps/search/?api=1&amp;query=-30.8991676513289,-55.5371408561324</v>
      </c>
      <c r="G1158" s="16" t="str">
        <f t="array" ref="G1158">"https://earth.google.com/web/search/" &amp; A1158 &amp; "," &amp; B1158</f>
        <v>https://earth.google.com/web/search/-30.8991676513289,-55.5371408561324</v>
      </c>
      <c r="H1158" s="12"/>
      <c r="I1158" s="12"/>
      <c r="J1158" s="12"/>
      <c r="K1158" s="12"/>
      <c r="L1158" s="12"/>
      <c r="M1158" s="12"/>
      <c r="N1158" s="12"/>
      <c r="O1158" s="12"/>
      <c r="P1158" s="12"/>
      <c r="Q1158" s="12"/>
      <c r="R1158" s="12"/>
      <c r="S1158" s="12"/>
      <c r="T1158" s="12"/>
      <c r="U1158" s="12"/>
      <c r="V1158" s="12"/>
      <c r="W1158" s="12"/>
      <c r="X1158" s="12"/>
      <c r="Y1158" s="12"/>
      <c r="Z1158" s="12"/>
      <c r="AA1158" s="12"/>
    </row>
    <row r="1159" ht="26.25" customHeight="1">
      <c r="A1159" s="17" t="s">
        <v>2322</v>
      </c>
      <c r="B1159" s="18" t="s">
        <v>2323</v>
      </c>
      <c r="C1159" s="14">
        <v>1.0</v>
      </c>
      <c r="D1159" s="15">
        <v>122.0</v>
      </c>
      <c r="E1159" s="15">
        <v>17.0</v>
      </c>
      <c r="F1159" s="16" t="str">
        <f t="array" ref="F1159">"https://www.google.com/maps/search/?api=1&amp;query=" &amp; A1159 &amp; "," &amp; B1159</f>
        <v>https://www.google.com/maps/search/?api=1&amp;query=-30.8991230350277,-55.5372274818883</v>
      </c>
      <c r="G1159" s="16" t="str">
        <f t="array" ref="G1159">"https://earth.google.com/web/search/" &amp; A1159 &amp; "," &amp; B1159</f>
        <v>https://earth.google.com/web/search/-30.8991230350277,-55.5372274818883</v>
      </c>
      <c r="H1159" s="12"/>
      <c r="I1159" s="12"/>
      <c r="J1159" s="12"/>
      <c r="K1159" s="12"/>
      <c r="L1159" s="12"/>
      <c r="M1159" s="12"/>
      <c r="N1159" s="12"/>
      <c r="O1159" s="12"/>
      <c r="P1159" s="12"/>
      <c r="Q1159" s="12"/>
      <c r="R1159" s="12"/>
      <c r="S1159" s="12"/>
      <c r="T1159" s="12"/>
      <c r="U1159" s="12"/>
      <c r="V1159" s="12"/>
      <c r="W1159" s="12"/>
      <c r="X1159" s="12"/>
      <c r="Y1159" s="12"/>
      <c r="Z1159" s="12"/>
      <c r="AA1159" s="12"/>
    </row>
    <row r="1160" ht="26.25" customHeight="1">
      <c r="A1160" s="17" t="s">
        <v>2324</v>
      </c>
      <c r="B1160" s="18" t="s">
        <v>2325</v>
      </c>
      <c r="C1160" s="14">
        <v>1.0</v>
      </c>
      <c r="D1160" s="15">
        <v>122.0</v>
      </c>
      <c r="E1160" s="15">
        <v>18.0</v>
      </c>
      <c r="F1160" s="16" t="str">
        <f t="array" ref="F1160">"https://www.google.com/maps/search/?api=1&amp;query=" &amp; A1160 &amp; "," &amp; B1160</f>
        <v>https://www.google.com/maps/search/?api=1&amp;query=-3.0899095688601,-55.5372942594293</v>
      </c>
      <c r="G1160" s="16" t="str">
        <f t="array" ref="G1160">"https://earth.google.com/web/search/" &amp; A1160 &amp; "," &amp; B1160</f>
        <v>https://earth.google.com/web/search/-3.0899095688601,-55.5372942594293</v>
      </c>
      <c r="H1160" s="12"/>
      <c r="I1160" s="12"/>
      <c r="J1160" s="12"/>
      <c r="K1160" s="12"/>
      <c r="L1160" s="12"/>
      <c r="M1160" s="12"/>
      <c r="N1160" s="12"/>
      <c r="O1160" s="12"/>
      <c r="P1160" s="12"/>
      <c r="Q1160" s="12"/>
      <c r="R1160" s="12"/>
      <c r="S1160" s="12"/>
      <c r="T1160" s="12"/>
      <c r="U1160" s="12"/>
      <c r="V1160" s="12"/>
      <c r="W1160" s="12"/>
      <c r="X1160" s="12"/>
      <c r="Y1160" s="12"/>
      <c r="Z1160" s="12"/>
      <c r="AA1160" s="12"/>
    </row>
    <row r="1161" ht="26.25" customHeight="1">
      <c r="A1161" s="17" t="s">
        <v>2326</v>
      </c>
      <c r="B1161" s="18" t="s">
        <v>2327</v>
      </c>
      <c r="C1161" s="14">
        <v>1.0</v>
      </c>
      <c r="D1161" s="15">
        <v>122.0</v>
      </c>
      <c r="E1161" s="15">
        <v>19.0</v>
      </c>
      <c r="F1161" s="16" t="str">
        <f t="array" ref="F1161">"https://www.google.com/maps/search/?api=1&amp;query=" &amp; A1161 &amp; "," &amp; B1161</f>
        <v>https://www.google.com/maps/search/?api=1&amp;query=-30.8989660222569,-55.5375333869465</v>
      </c>
      <c r="G1161" s="16" t="str">
        <f t="array" ref="G1161">"https://earth.google.com/web/search/" &amp; A1161 &amp; "," &amp; B1161</f>
        <v>https://earth.google.com/web/search/-30.8989660222569,-55.5375333869465</v>
      </c>
      <c r="H1161" s="12"/>
      <c r="I1161" s="12"/>
      <c r="J1161" s="12"/>
      <c r="K1161" s="12"/>
      <c r="L1161" s="12"/>
      <c r="M1161" s="12"/>
      <c r="N1161" s="12"/>
      <c r="O1161" s="12"/>
      <c r="P1161" s="12"/>
      <c r="Q1161" s="12"/>
      <c r="R1161" s="12"/>
      <c r="S1161" s="12"/>
      <c r="T1161" s="12"/>
      <c r="U1161" s="12"/>
      <c r="V1161" s="12"/>
      <c r="W1161" s="12"/>
      <c r="X1161" s="12"/>
      <c r="Y1161" s="12"/>
      <c r="Z1161" s="12"/>
      <c r="AA1161" s="12"/>
    </row>
    <row r="1162" ht="26.25" customHeight="1">
      <c r="A1162" s="17" t="s">
        <v>2328</v>
      </c>
      <c r="B1162" s="18" t="s">
        <v>2329</v>
      </c>
      <c r="C1162" s="14">
        <v>1.0</v>
      </c>
      <c r="D1162" s="15">
        <v>122.0</v>
      </c>
      <c r="E1162" s="15">
        <v>20.0</v>
      </c>
      <c r="F1162" s="16" t="str">
        <f t="array" ref="F1162">"https://www.google.com/maps/search/?api=1&amp;query=" &amp; A1162 &amp; "," &amp; B1162</f>
        <v>https://www.google.com/maps/search/?api=1&amp;query=-30.8989415403517,-55.5375817879763</v>
      </c>
      <c r="G1162" s="16" t="str">
        <f t="array" ref="G1162">"https://earth.google.com/web/search/" &amp; A1162 &amp; "," &amp; B1162</f>
        <v>https://earth.google.com/web/search/-30.8989415403517,-55.5375817879763</v>
      </c>
      <c r="H1162" s="12"/>
      <c r="I1162" s="12"/>
      <c r="J1162" s="12"/>
      <c r="K1162" s="12"/>
      <c r="L1162" s="12"/>
      <c r="M1162" s="12"/>
      <c r="N1162" s="12"/>
      <c r="O1162" s="12"/>
      <c r="P1162" s="12"/>
      <c r="Q1162" s="12"/>
      <c r="R1162" s="12"/>
      <c r="S1162" s="12"/>
      <c r="T1162" s="12"/>
      <c r="U1162" s="12"/>
      <c r="V1162" s="12"/>
      <c r="W1162" s="12"/>
      <c r="X1162" s="12"/>
      <c r="Y1162" s="12"/>
      <c r="Z1162" s="12"/>
      <c r="AA1162" s="12"/>
    </row>
    <row r="1163" ht="26.25" customHeight="1">
      <c r="A1163" s="17" t="s">
        <v>2330</v>
      </c>
      <c r="B1163" s="18" t="s">
        <v>2331</v>
      </c>
      <c r="C1163" s="14">
        <v>1.0</v>
      </c>
      <c r="D1163" s="15">
        <v>122.0</v>
      </c>
      <c r="E1163" s="15">
        <v>21.0</v>
      </c>
      <c r="F1163" s="16" t="str">
        <f t="array" ref="F1163">"https://www.google.com/maps/search/?api=1&amp;query=" &amp; A1163 &amp; "," &amp; B1163</f>
        <v>https://www.google.com/maps/search/?api=1&amp;query=-3.0898905563957,-55.5376327496054</v>
      </c>
      <c r="G1163" s="16" t="str">
        <f t="array" ref="G1163">"https://earth.google.com/web/search/" &amp; A1163 &amp; "," &amp; B1163</f>
        <v>https://earth.google.com/web/search/-3.0898905563957,-55.5376327496054</v>
      </c>
      <c r="H1163" s="12"/>
      <c r="I1163" s="12"/>
      <c r="J1163" s="12"/>
      <c r="K1163" s="12"/>
      <c r="L1163" s="12"/>
      <c r="M1163" s="12"/>
      <c r="N1163" s="12"/>
      <c r="O1163" s="12"/>
      <c r="P1163" s="12"/>
      <c r="Q1163" s="12"/>
      <c r="R1163" s="12"/>
      <c r="S1163" s="12"/>
      <c r="T1163" s="12"/>
      <c r="U1163" s="12"/>
      <c r="V1163" s="12"/>
      <c r="W1163" s="12"/>
      <c r="X1163" s="12"/>
      <c r="Y1163" s="12"/>
      <c r="Z1163" s="12"/>
      <c r="AA1163" s="12"/>
    </row>
    <row r="1164" ht="26.25" customHeight="1">
      <c r="A1164" s="17" t="s">
        <v>2332</v>
      </c>
      <c r="B1164" s="18" t="s">
        <v>2333</v>
      </c>
      <c r="C1164" s="14">
        <v>1.0</v>
      </c>
      <c r="D1164" s="15">
        <v>122.0</v>
      </c>
      <c r="E1164" s="15">
        <v>22.0</v>
      </c>
      <c r="F1164" s="16" t="str">
        <f t="array" ref="F1164">"https://www.google.com/maps/search/?api=1&amp;query=" &amp; A1164 &amp; "," &amp; B1164</f>
        <v>https://www.google.com/maps/search/?api=1&amp;query=-30.8988845223396,-55.5376936170822</v>
      </c>
      <c r="G1164" s="16" t="str">
        <f t="array" ref="G1164">"https://earth.google.com/web/search/" &amp; A1164 &amp; "," &amp; B1164</f>
        <v>https://earth.google.com/web/search/-30.8988845223396,-55.5376936170822</v>
      </c>
      <c r="H1164" s="12"/>
      <c r="I1164" s="12"/>
      <c r="J1164" s="12"/>
      <c r="K1164" s="12"/>
      <c r="L1164" s="12"/>
      <c r="M1164" s="12"/>
      <c r="N1164" s="12"/>
      <c r="O1164" s="12"/>
      <c r="P1164" s="12"/>
      <c r="Q1164" s="12"/>
      <c r="R1164" s="12"/>
      <c r="S1164" s="12"/>
      <c r="T1164" s="12"/>
      <c r="U1164" s="12"/>
      <c r="V1164" s="12"/>
      <c r="W1164" s="12"/>
      <c r="X1164" s="12"/>
      <c r="Y1164" s="12"/>
      <c r="Z1164" s="12"/>
      <c r="AA1164" s="12"/>
    </row>
    <row r="1165" ht="26.25" customHeight="1">
      <c r="A1165" s="17" t="s">
        <v>2334</v>
      </c>
      <c r="B1165" s="18" t="s">
        <v>2335</v>
      </c>
      <c r="C1165" s="14">
        <v>1.0</v>
      </c>
      <c r="D1165" s="15">
        <v>121.0</v>
      </c>
      <c r="E1165" s="15">
        <v>1.0</v>
      </c>
      <c r="F1165" s="16" t="str">
        <f t="array" ref="F1165">"https://www.google.com/maps/search/?api=1&amp;query=" &amp; A1165 &amp; "," &amp; B1165</f>
        <v>https://www.google.com/maps/search/?api=1&amp;query=-30.8978213878141,-55.5378815983536</v>
      </c>
      <c r="G1165" s="16" t="str">
        <f t="array" ref="G1165">"https://earth.google.com/web/search/" &amp; A1165 &amp; "," &amp; B1165</f>
        <v>https://earth.google.com/web/search/-30.8978213878141,-55.5378815983536</v>
      </c>
      <c r="H1165" s="12"/>
      <c r="I1165" s="12"/>
      <c r="J1165" s="12"/>
      <c r="K1165" s="12"/>
      <c r="L1165" s="12"/>
      <c r="M1165" s="12"/>
      <c r="N1165" s="12"/>
      <c r="O1165" s="12"/>
      <c r="P1165" s="12"/>
      <c r="Q1165" s="12"/>
      <c r="R1165" s="12"/>
      <c r="S1165" s="12"/>
      <c r="T1165" s="12"/>
      <c r="U1165" s="12"/>
      <c r="V1165" s="12"/>
      <c r="W1165" s="12"/>
      <c r="X1165" s="12"/>
      <c r="Y1165" s="12"/>
      <c r="Z1165" s="12"/>
      <c r="AA1165" s="12"/>
    </row>
    <row r="1166" ht="26.25" customHeight="1">
      <c r="A1166" s="17" t="s">
        <v>2336</v>
      </c>
      <c r="B1166" s="18" t="s">
        <v>2337</v>
      </c>
      <c r="C1166" s="14">
        <v>1.0</v>
      </c>
      <c r="D1166" s="15">
        <v>121.0</v>
      </c>
      <c r="E1166" s="15">
        <v>2.0</v>
      </c>
      <c r="F1166" s="16" t="str">
        <f t="array" ref="F1166">"https://www.google.com/maps/search/?api=1&amp;query=" &amp; A1166 &amp; "," &amp; B1166</f>
        <v>https://www.google.com/maps/search/?api=1&amp;query=-30.8982908806922,-55.5375149218382</v>
      </c>
      <c r="G1166" s="16" t="str">
        <f t="array" ref="G1166">"https://earth.google.com/web/search/" &amp; A1166 &amp; "," &amp; B1166</f>
        <v>https://earth.google.com/web/search/-30.8982908806922,-55.5375149218382</v>
      </c>
      <c r="H1166" s="12"/>
      <c r="I1166" s="12"/>
      <c r="J1166" s="12"/>
      <c r="K1166" s="12"/>
      <c r="L1166" s="12"/>
      <c r="M1166" s="12"/>
      <c r="N1166" s="12"/>
      <c r="O1166" s="12"/>
      <c r="P1166" s="12"/>
      <c r="Q1166" s="12"/>
      <c r="R1166" s="12"/>
      <c r="S1166" s="12"/>
      <c r="T1166" s="12"/>
      <c r="U1166" s="12"/>
      <c r="V1166" s="12"/>
      <c r="W1166" s="12"/>
      <c r="X1166" s="12"/>
      <c r="Y1166" s="12"/>
      <c r="Z1166" s="12"/>
      <c r="AA1166" s="12"/>
    </row>
    <row r="1167" ht="26.25" customHeight="1">
      <c r="A1167" s="17" t="s">
        <v>2338</v>
      </c>
      <c r="B1167" s="18" t="s">
        <v>2339</v>
      </c>
      <c r="C1167" s="14">
        <v>1.0</v>
      </c>
      <c r="D1167" s="15">
        <v>121.0</v>
      </c>
      <c r="E1167" s="15">
        <v>2.0</v>
      </c>
      <c r="F1167" s="16" t="str">
        <f t="array" ref="F1167">"https://www.google.com/maps/search/?api=1&amp;query=" &amp; A1167 &amp; "," &amp; B1167</f>
        <v>https://www.google.com/maps/search/?api=1&amp;query=-30.8985693232319,-55.5377229044773</v>
      </c>
      <c r="G1167" s="16" t="str">
        <f t="array" ref="G1167">"https://earth.google.com/web/search/" &amp; A1167 &amp; "," &amp; B1167</f>
        <v>https://earth.google.com/web/search/-30.8985693232319,-55.5377229044773</v>
      </c>
      <c r="H1167" s="12"/>
      <c r="I1167" s="12"/>
      <c r="J1167" s="12"/>
      <c r="K1167" s="12"/>
      <c r="L1167" s="12"/>
      <c r="M1167" s="12"/>
      <c r="N1167" s="12"/>
      <c r="O1167" s="12"/>
      <c r="P1167" s="12"/>
      <c r="Q1167" s="12"/>
      <c r="R1167" s="12"/>
      <c r="S1167" s="12"/>
      <c r="T1167" s="12"/>
      <c r="U1167" s="12"/>
      <c r="V1167" s="12"/>
      <c r="W1167" s="12"/>
      <c r="X1167" s="12"/>
      <c r="Y1167" s="12"/>
      <c r="Z1167" s="12"/>
      <c r="AA1167" s="12"/>
    </row>
    <row r="1168" ht="26.25" customHeight="1">
      <c r="A1168" s="17" t="s">
        <v>2340</v>
      </c>
      <c r="B1168" s="18" t="s">
        <v>2341</v>
      </c>
      <c r="C1168" s="14">
        <v>1.0</v>
      </c>
      <c r="D1168" s="15">
        <v>121.0</v>
      </c>
      <c r="E1168" s="15">
        <v>3.0</v>
      </c>
      <c r="F1168" s="16" t="str">
        <f t="array" ref="F1168">"https://www.google.com/maps/search/?api=1&amp;query=" &amp; A1168 &amp; "," &amp; B1168</f>
        <v>https://www.google.com/maps/search/?api=1&amp;query=-30.8987288357909,-55.5379126881168</v>
      </c>
      <c r="G1168" s="16" t="str">
        <f t="array" ref="G1168">"https://earth.google.com/web/search/" &amp; A1168 &amp; "," &amp; B1168</f>
        <v>https://earth.google.com/web/search/-30.8987288357909,-55.5379126881168</v>
      </c>
      <c r="H1168" s="12"/>
      <c r="I1168" s="12"/>
      <c r="J1168" s="12"/>
      <c r="K1168" s="12"/>
      <c r="L1168" s="12"/>
      <c r="M1168" s="12"/>
      <c r="N1168" s="12"/>
      <c r="O1168" s="12"/>
      <c r="P1168" s="12"/>
      <c r="Q1168" s="12"/>
      <c r="R1168" s="12"/>
      <c r="S1168" s="12"/>
      <c r="T1168" s="12"/>
      <c r="U1168" s="12"/>
      <c r="V1168" s="12"/>
      <c r="W1168" s="12"/>
      <c r="X1168" s="12"/>
      <c r="Y1168" s="12"/>
      <c r="Z1168" s="12"/>
      <c r="AA1168" s="12"/>
    </row>
    <row r="1169" ht="26.25" customHeight="1">
      <c r="A1169" s="17" t="s">
        <v>2342</v>
      </c>
      <c r="B1169" s="18" t="s">
        <v>2343</v>
      </c>
      <c r="C1169" s="14">
        <v>1.0</v>
      </c>
      <c r="D1169" s="15">
        <v>121.0</v>
      </c>
      <c r="E1169" s="15">
        <v>4.0</v>
      </c>
      <c r="F1169" s="16" t="str">
        <f t="array" ref="F1169">"https://www.google.com/maps/search/?api=1&amp;query=" &amp; A1169 &amp; "," &amp; B1169</f>
        <v>https://www.google.com/maps/search/?api=1&amp;query=-30.8987294971539,-55.5379716884469</v>
      </c>
      <c r="G1169" s="16" t="str">
        <f t="array" ref="G1169">"https://earth.google.com/web/search/" &amp; A1169 &amp; "," &amp; B1169</f>
        <v>https://earth.google.com/web/search/-30.8987294971539,-55.5379716884469</v>
      </c>
      <c r="H1169" s="12"/>
      <c r="I1169" s="12"/>
      <c r="J1169" s="12"/>
      <c r="K1169" s="12"/>
      <c r="L1169" s="12"/>
      <c r="M1169" s="12"/>
      <c r="N1169" s="12"/>
      <c r="O1169" s="12"/>
      <c r="P1169" s="12"/>
      <c r="Q1169" s="12"/>
      <c r="R1169" s="12"/>
      <c r="S1169" s="12"/>
      <c r="T1169" s="12"/>
      <c r="U1169" s="12"/>
      <c r="V1169" s="12"/>
      <c r="W1169" s="12"/>
      <c r="X1169" s="12"/>
      <c r="Y1169" s="12"/>
      <c r="Z1169" s="12"/>
      <c r="AA1169" s="12"/>
    </row>
    <row r="1170" ht="26.25" customHeight="1">
      <c r="A1170" s="17" t="s">
        <v>2344</v>
      </c>
      <c r="B1170" s="18" t="s">
        <v>2345</v>
      </c>
      <c r="C1170" s="14">
        <v>1.0</v>
      </c>
      <c r="D1170" s="15">
        <v>120.0</v>
      </c>
      <c r="E1170" s="15">
        <v>1.0</v>
      </c>
      <c r="F1170" s="16" t="str">
        <f t="array" ref="F1170">"https://www.google.com/maps/search/?api=1&amp;query=" &amp; A1170 &amp; "," &amp; B1170</f>
        <v>https://www.google.com/maps/search/?api=1&amp;query=-30.8972896502978,-55.5392003359218</v>
      </c>
      <c r="G1170" s="16" t="str">
        <f t="array" ref="G1170">"https://earth.google.com/web/search/" &amp; A1170 &amp; "," &amp; B1170</f>
        <v>https://earth.google.com/web/search/-30.8972896502978,-55.5392003359218</v>
      </c>
      <c r="H1170" s="12"/>
      <c r="I1170" s="12"/>
      <c r="J1170" s="12"/>
      <c r="K1170" s="12"/>
      <c r="L1170" s="12"/>
      <c r="M1170" s="12"/>
      <c r="N1170" s="12"/>
      <c r="O1170" s="12"/>
      <c r="P1170" s="12"/>
      <c r="Q1170" s="12"/>
      <c r="R1170" s="12"/>
      <c r="S1170" s="12"/>
      <c r="T1170" s="12"/>
      <c r="U1170" s="12"/>
      <c r="V1170" s="12"/>
      <c r="W1170" s="12"/>
      <c r="X1170" s="12"/>
      <c r="Y1170" s="12"/>
      <c r="Z1170" s="12"/>
      <c r="AA1170" s="12"/>
    </row>
    <row r="1171" ht="26.25" customHeight="1">
      <c r="A1171" s="17" t="s">
        <v>2346</v>
      </c>
      <c r="B1171" s="18" t="s">
        <v>2347</v>
      </c>
      <c r="C1171" s="14">
        <v>1.0</v>
      </c>
      <c r="D1171" s="15">
        <v>120.0</v>
      </c>
      <c r="E1171" s="15">
        <v>2.0</v>
      </c>
      <c r="F1171" s="16" t="str">
        <f t="array" ref="F1171">"https://www.google.com/maps/search/?api=1&amp;query=" &amp; A1171 &amp; "," &amp; B1171</f>
        <v>https://www.google.com/maps/search/?api=1&amp;query=-30.8974586254541,-55.5393184021817</v>
      </c>
      <c r="G1171" s="16" t="str">
        <f t="array" ref="G1171">"https://earth.google.com/web/search/" &amp; A1171 &amp; "," &amp; B1171</f>
        <v>https://earth.google.com/web/search/-30.8974586254541,-55.5393184021817</v>
      </c>
      <c r="H1171" s="12"/>
      <c r="I1171" s="12"/>
      <c r="J1171" s="12"/>
      <c r="K1171" s="12"/>
      <c r="L1171" s="12"/>
      <c r="M1171" s="12"/>
      <c r="N1171" s="12"/>
      <c r="O1171" s="12"/>
      <c r="P1171" s="12"/>
      <c r="Q1171" s="12"/>
      <c r="R1171" s="12"/>
      <c r="S1171" s="12"/>
      <c r="T1171" s="12"/>
      <c r="U1171" s="12"/>
      <c r="V1171" s="12"/>
      <c r="W1171" s="12"/>
      <c r="X1171" s="12"/>
      <c r="Y1171" s="12"/>
      <c r="Z1171" s="12"/>
      <c r="AA1171" s="12"/>
    </row>
    <row r="1172" ht="26.25" customHeight="1">
      <c r="A1172" s="17" t="s">
        <v>2348</v>
      </c>
      <c r="B1172" s="18" t="s">
        <v>2349</v>
      </c>
      <c r="C1172" s="14">
        <v>1.0</v>
      </c>
      <c r="D1172" s="15">
        <v>120.0</v>
      </c>
      <c r="E1172" s="15">
        <v>3.0</v>
      </c>
      <c r="F1172" s="16" t="str">
        <f t="array" ref="F1172">"https://www.google.com/maps/search/?api=1&amp;query=" &amp; A1172 &amp; "," &amp; B1172</f>
        <v>https://www.google.com/maps/search/?api=1&amp;query=-30.8976626755872,-55.5394858623086</v>
      </c>
      <c r="G1172" s="16" t="str">
        <f t="array" ref="G1172">"https://earth.google.com/web/search/" &amp; A1172 &amp; "," &amp; B1172</f>
        <v>https://earth.google.com/web/search/-30.8976626755872,-55.5394858623086</v>
      </c>
      <c r="H1172" s="12"/>
      <c r="I1172" s="12"/>
      <c r="J1172" s="12"/>
      <c r="K1172" s="12"/>
      <c r="L1172" s="12"/>
      <c r="M1172" s="12"/>
      <c r="N1172" s="12"/>
      <c r="O1172" s="12"/>
      <c r="P1172" s="12"/>
      <c r="Q1172" s="12"/>
      <c r="R1172" s="12"/>
      <c r="S1172" s="12"/>
      <c r="T1172" s="12"/>
      <c r="U1172" s="12"/>
      <c r="V1172" s="12"/>
      <c r="W1172" s="12"/>
      <c r="X1172" s="12"/>
      <c r="Y1172" s="12"/>
      <c r="Z1172" s="12"/>
      <c r="AA1172" s="12"/>
    </row>
    <row r="1173" ht="26.25" customHeight="1">
      <c r="A1173" s="17" t="s">
        <v>2350</v>
      </c>
      <c r="B1173" s="18" t="s">
        <v>2351</v>
      </c>
      <c r="C1173" s="14">
        <v>1.0</v>
      </c>
      <c r="D1173" s="15">
        <v>120.0</v>
      </c>
      <c r="E1173" s="15">
        <v>4.0</v>
      </c>
      <c r="F1173" s="16" t="str">
        <f t="array" ref="F1173">"https://www.google.com/maps/search/?api=1&amp;query=" &amp; A1173 &amp; "," &amp; B1173</f>
        <v>https://www.google.com/maps/search/?api=1&amp;query=-30.8977832569225,-55.5395537839099</v>
      </c>
      <c r="G1173" s="16" t="str">
        <f t="array" ref="G1173">"https://earth.google.com/web/search/" &amp; A1173 &amp; "," &amp; B1173</f>
        <v>https://earth.google.com/web/search/-30.8977832569225,-55.5395537839099</v>
      </c>
      <c r="H1173" s="12"/>
      <c r="I1173" s="12"/>
      <c r="J1173" s="12"/>
      <c r="K1173" s="12"/>
      <c r="L1173" s="12"/>
      <c r="M1173" s="12"/>
      <c r="N1173" s="12"/>
      <c r="O1173" s="12"/>
      <c r="P1173" s="12"/>
      <c r="Q1173" s="12"/>
      <c r="R1173" s="12"/>
      <c r="S1173" s="12"/>
      <c r="T1173" s="12"/>
      <c r="U1173" s="12"/>
      <c r="V1173" s="12"/>
      <c r="W1173" s="12"/>
      <c r="X1173" s="12"/>
      <c r="Y1173" s="12"/>
      <c r="Z1173" s="12"/>
      <c r="AA1173" s="12"/>
    </row>
    <row r="1174" ht="26.25" customHeight="1">
      <c r="A1174" s="17" t="s">
        <v>2352</v>
      </c>
      <c r="B1174" s="18" t="s">
        <v>2353</v>
      </c>
      <c r="C1174" s="14">
        <v>1.0</v>
      </c>
      <c r="D1174" s="15">
        <v>120.0</v>
      </c>
      <c r="E1174" s="15">
        <v>5.0</v>
      </c>
      <c r="F1174" s="16" t="str">
        <f t="array" ref="F1174">"https://www.google.com/maps/search/?api=1&amp;query=" &amp; A1174 &amp; "," &amp; B1174</f>
        <v>https://www.google.com/maps/search/?api=1&amp;query=-30.8978977748816,-55.5395250873687</v>
      </c>
      <c r="G1174" s="16" t="str">
        <f t="array" ref="G1174">"https://earth.google.com/web/search/" &amp; A1174 &amp; "," &amp; B1174</f>
        <v>https://earth.google.com/web/search/-30.8978977748816,-55.5395250873687</v>
      </c>
      <c r="H1174" s="12"/>
      <c r="I1174" s="12"/>
      <c r="J1174" s="12"/>
      <c r="K1174" s="12"/>
      <c r="L1174" s="12"/>
      <c r="M1174" s="12"/>
      <c r="N1174" s="12"/>
      <c r="O1174" s="12"/>
      <c r="P1174" s="12"/>
      <c r="Q1174" s="12"/>
      <c r="R1174" s="12"/>
      <c r="S1174" s="12"/>
      <c r="T1174" s="12"/>
      <c r="U1174" s="12"/>
      <c r="V1174" s="12"/>
      <c r="W1174" s="12"/>
      <c r="X1174" s="12"/>
      <c r="Y1174" s="12"/>
      <c r="Z1174" s="12"/>
      <c r="AA1174" s="12"/>
    </row>
    <row r="1175" ht="26.25" customHeight="1">
      <c r="A1175" s="17" t="s">
        <v>2354</v>
      </c>
      <c r="B1175" s="18" t="s">
        <v>2355</v>
      </c>
      <c r="C1175" s="14">
        <v>1.0</v>
      </c>
      <c r="D1175" s="15">
        <v>119.0</v>
      </c>
      <c r="E1175" s="15">
        <v>1.0</v>
      </c>
      <c r="F1175" s="16" t="str">
        <f t="array" ref="F1175">"https://www.google.com/maps/search/?api=1&amp;query=" &amp; A1175 &amp; "," &amp; B1175</f>
        <v>https://www.google.com/maps/search/?api=1&amp;query=-0.3089720011116,-5.5539287761384</v>
      </c>
      <c r="G1175" s="16" t="str">
        <f t="array" ref="G1175">"https://earth.google.com/web/search/" &amp; A1175 &amp; "," &amp; B1175</f>
        <v>https://earth.google.com/web/search/-0.3089720011116,-5.5539287761384</v>
      </c>
      <c r="H1175" s="12"/>
      <c r="I1175" s="12"/>
      <c r="J1175" s="12"/>
      <c r="K1175" s="12"/>
      <c r="L1175" s="12"/>
      <c r="M1175" s="12"/>
      <c r="N1175" s="12"/>
      <c r="O1175" s="12"/>
      <c r="P1175" s="12"/>
      <c r="Q1175" s="12"/>
      <c r="R1175" s="12"/>
      <c r="S1175" s="12"/>
      <c r="T1175" s="12"/>
      <c r="U1175" s="12"/>
      <c r="V1175" s="12"/>
      <c r="W1175" s="12"/>
      <c r="X1175" s="12"/>
      <c r="Y1175" s="12"/>
      <c r="Z1175" s="12"/>
      <c r="AA1175" s="12"/>
    </row>
    <row r="1176" ht="26.25" customHeight="1">
      <c r="A1176" s="17" t="s">
        <v>2356</v>
      </c>
      <c r="B1176" s="18" t="s">
        <v>2357</v>
      </c>
      <c r="C1176" s="14">
        <v>1.0</v>
      </c>
      <c r="D1176" s="15">
        <v>119.0</v>
      </c>
      <c r="E1176" s="15">
        <v>2.0</v>
      </c>
      <c r="F1176" s="16" t="str">
        <f t="array" ref="F1176">"https://www.google.com/maps/search/?api=1&amp;query=" &amp; A1176 &amp; "," &amp; B1176</f>
        <v>https://www.google.com/maps/search/?api=1&amp;query=-30.8972337829006,-55.5393284620067</v>
      </c>
      <c r="G1176" s="16" t="str">
        <f t="array" ref="G1176">"https://earth.google.com/web/search/" &amp; A1176 &amp; "," &amp; B1176</f>
        <v>https://earth.google.com/web/search/-30.8972337829006,-55.5393284620067</v>
      </c>
      <c r="H1176" s="12"/>
      <c r="I1176" s="12"/>
      <c r="J1176" s="12"/>
      <c r="K1176" s="12"/>
      <c r="L1176" s="12"/>
      <c r="M1176" s="12"/>
      <c r="N1176" s="12"/>
      <c r="O1176" s="12"/>
      <c r="P1176" s="12"/>
      <c r="Q1176" s="12"/>
      <c r="R1176" s="12"/>
      <c r="S1176" s="12"/>
      <c r="T1176" s="12"/>
      <c r="U1176" s="12"/>
      <c r="V1176" s="12"/>
      <c r="W1176" s="12"/>
      <c r="X1176" s="12"/>
      <c r="Y1176" s="12"/>
      <c r="Z1176" s="12"/>
      <c r="AA1176" s="12"/>
    </row>
    <row r="1177" ht="26.25" customHeight="1">
      <c r="A1177" s="17" t="s">
        <v>2358</v>
      </c>
      <c r="B1177" s="18" t="s">
        <v>2359</v>
      </c>
      <c r="C1177" s="14">
        <v>1.0</v>
      </c>
      <c r="D1177" s="15">
        <v>119.0</v>
      </c>
      <c r="E1177" s="15">
        <v>3.0</v>
      </c>
      <c r="F1177" s="16" t="str">
        <f t="array" ref="F1177">"https://www.google.com/maps/search/?api=1&amp;query=" &amp; A1177 &amp; "," &amp; B1177</f>
        <v>https://www.google.com/maps/search/?api=1&amp;query=-30.8973076179056,-55.5393588240591</v>
      </c>
      <c r="G1177" s="16" t="str">
        <f t="array" ref="G1177">"https://earth.google.com/web/search/" &amp; A1177 &amp; "," &amp; B1177</f>
        <v>https://earth.google.com/web/search/-30.8973076179056,-55.5393588240591</v>
      </c>
      <c r="H1177" s="12"/>
      <c r="I1177" s="12"/>
      <c r="J1177" s="12"/>
      <c r="K1177" s="12"/>
      <c r="L1177" s="12"/>
      <c r="M1177" s="12"/>
      <c r="N1177" s="12"/>
      <c r="O1177" s="12"/>
      <c r="P1177" s="12"/>
      <c r="Q1177" s="12"/>
      <c r="R1177" s="12"/>
      <c r="S1177" s="12"/>
      <c r="T1177" s="12"/>
      <c r="U1177" s="12"/>
      <c r="V1177" s="12"/>
      <c r="W1177" s="12"/>
      <c r="X1177" s="12"/>
      <c r="Y1177" s="12"/>
      <c r="Z1177" s="12"/>
      <c r="AA1177" s="12"/>
    </row>
    <row r="1178" ht="26.25" customHeight="1">
      <c r="A1178" s="17" t="s">
        <v>2360</v>
      </c>
      <c r="B1178" s="18" t="s">
        <v>2361</v>
      </c>
      <c r="C1178" s="14">
        <v>1.0</v>
      </c>
      <c r="D1178" s="15">
        <v>119.0</v>
      </c>
      <c r="E1178" s="15">
        <v>4.0</v>
      </c>
      <c r="F1178" s="16" t="str">
        <f t="array" ref="F1178">"https://www.google.com/maps/search/?api=1&amp;query=" &amp; A1178 &amp; "," &amp; B1178</f>
        <v>https://www.google.com/maps/search/?api=1&amp;query=-30.8976901340647,-55.5399363732784</v>
      </c>
      <c r="G1178" s="16" t="str">
        <f t="array" ref="G1178">"https://earth.google.com/web/search/" &amp; A1178 &amp; "," &amp; B1178</f>
        <v>https://earth.google.com/web/search/-30.8976901340647,-55.5399363732784</v>
      </c>
      <c r="H1178" s="12"/>
      <c r="I1178" s="12"/>
      <c r="J1178" s="12"/>
      <c r="K1178" s="12"/>
      <c r="L1178" s="12"/>
      <c r="M1178" s="12"/>
      <c r="N1178" s="12"/>
      <c r="O1178" s="12"/>
      <c r="P1178" s="12"/>
      <c r="Q1178" s="12"/>
      <c r="R1178" s="12"/>
      <c r="S1178" s="12"/>
      <c r="T1178" s="12"/>
      <c r="U1178" s="12"/>
      <c r="V1178" s="12"/>
      <c r="W1178" s="12"/>
      <c r="X1178" s="12"/>
      <c r="Y1178" s="12"/>
      <c r="Z1178" s="12"/>
      <c r="AA1178" s="12"/>
    </row>
    <row r="1179" ht="26.25" customHeight="1">
      <c r="A1179" s="17" t="s">
        <v>2362</v>
      </c>
      <c r="B1179" s="18" t="s">
        <v>2363</v>
      </c>
      <c r="C1179" s="14">
        <v>1.0</v>
      </c>
      <c r="D1179" s="15">
        <v>119.0</v>
      </c>
      <c r="E1179" s="15">
        <v>5.0</v>
      </c>
      <c r="F1179" s="16" t="str">
        <f t="array" ref="F1179">"https://www.google.com/maps/search/?api=1&amp;query=" &amp; A1179 &amp; "," &amp; B1179</f>
        <v>https://www.google.com/maps/search/?api=1&amp;query=-30.8972945806288,-55.5405000705481</v>
      </c>
      <c r="G1179" s="16" t="str">
        <f t="array" ref="G1179">"https://earth.google.com/web/search/" &amp; A1179 &amp; "," &amp; B1179</f>
        <v>https://earth.google.com/web/search/-30.8972945806288,-55.5405000705481</v>
      </c>
      <c r="H1179" s="12"/>
      <c r="I1179" s="12"/>
      <c r="J1179" s="12"/>
      <c r="K1179" s="12"/>
      <c r="L1179" s="12"/>
      <c r="M1179" s="12"/>
      <c r="N1179" s="12"/>
      <c r="O1179" s="12"/>
      <c r="P1179" s="12"/>
      <c r="Q1179" s="12"/>
      <c r="R1179" s="12"/>
      <c r="S1179" s="12"/>
      <c r="T1179" s="12"/>
      <c r="U1179" s="12"/>
      <c r="V1179" s="12"/>
      <c r="W1179" s="12"/>
      <c r="X1179" s="12"/>
      <c r="Y1179" s="12"/>
      <c r="Z1179" s="12"/>
      <c r="AA1179" s="12"/>
    </row>
    <row r="1180" ht="26.25" customHeight="1">
      <c r="A1180" s="17" t="s">
        <v>2364</v>
      </c>
      <c r="B1180" s="18" t="s">
        <v>2365</v>
      </c>
      <c r="C1180" s="14">
        <v>1.0</v>
      </c>
      <c r="D1180" s="15">
        <v>119.0</v>
      </c>
      <c r="E1180" s="15">
        <v>6.0</v>
      </c>
      <c r="F1180" s="16" t="str">
        <f t="array" ref="F1180">"https://www.google.com/maps/search/?api=1&amp;query=" &amp; A1180 &amp; "," &amp; B1180</f>
        <v>https://www.google.com/maps/search/?api=1&amp;query=-30.8972200285037,-55.5404426357243</v>
      </c>
      <c r="G1180" s="16" t="str">
        <f t="array" ref="G1180">"https://earth.google.com/web/search/" &amp; A1180 &amp; "," &amp; B1180</f>
        <v>https://earth.google.com/web/search/-30.8972200285037,-55.5404426357243</v>
      </c>
      <c r="H1180" s="12"/>
      <c r="I1180" s="12"/>
      <c r="J1180" s="12"/>
      <c r="K1180" s="12"/>
      <c r="L1180" s="12"/>
      <c r="M1180" s="12"/>
      <c r="N1180" s="12"/>
      <c r="O1180" s="12"/>
      <c r="P1180" s="12"/>
      <c r="Q1180" s="12"/>
      <c r="R1180" s="12"/>
      <c r="S1180" s="12"/>
      <c r="T1180" s="12"/>
      <c r="U1180" s="12"/>
      <c r="V1180" s="12"/>
      <c r="W1180" s="12"/>
      <c r="X1180" s="12"/>
      <c r="Y1180" s="12"/>
      <c r="Z1180" s="12"/>
      <c r="AA1180" s="12"/>
    </row>
    <row r="1181" ht="26.25" customHeight="1">
      <c r="A1181" s="17" t="s">
        <v>2366</v>
      </c>
      <c r="B1181" s="18" t="s">
        <v>2367</v>
      </c>
      <c r="C1181" s="14">
        <v>1.0</v>
      </c>
      <c r="D1181" s="15">
        <v>119.0</v>
      </c>
      <c r="E1181" s="15">
        <v>7.0</v>
      </c>
      <c r="F1181" s="16" t="str">
        <f t="array" ref="F1181">"https://www.google.com/maps/search/?api=1&amp;query=" &amp; A1181 &amp; "," &amp; B1181</f>
        <v>https://www.google.com/maps/search/?api=1&amp;query=-30.8969234643524,-55.5402210109314</v>
      </c>
      <c r="G1181" s="16" t="str">
        <f t="array" ref="G1181">"https://earth.google.com/web/search/" &amp; A1181 &amp; "," &amp; B1181</f>
        <v>https://earth.google.com/web/search/-30.8969234643524,-55.5402210109314</v>
      </c>
      <c r="H1181" s="12"/>
      <c r="I1181" s="12"/>
      <c r="J1181" s="12"/>
      <c r="K1181" s="12"/>
      <c r="L1181" s="12"/>
      <c r="M1181" s="12"/>
      <c r="N1181" s="12"/>
      <c r="O1181" s="12"/>
      <c r="P1181" s="12"/>
      <c r="Q1181" s="12"/>
      <c r="R1181" s="12"/>
      <c r="S1181" s="12"/>
      <c r="T1181" s="12"/>
      <c r="U1181" s="12"/>
      <c r="V1181" s="12"/>
      <c r="W1181" s="12"/>
      <c r="X1181" s="12"/>
      <c r="Y1181" s="12"/>
      <c r="Z1181" s="12"/>
      <c r="AA1181" s="12"/>
    </row>
    <row r="1182" ht="26.25" customHeight="1">
      <c r="A1182" s="17" t="s">
        <v>2368</v>
      </c>
      <c r="B1182" s="18" t="s">
        <v>2369</v>
      </c>
      <c r="C1182" s="14">
        <v>1.0</v>
      </c>
      <c r="D1182" s="15">
        <v>118.0</v>
      </c>
      <c r="E1182" s="15">
        <v>1.0</v>
      </c>
      <c r="F1182" s="16" t="str">
        <f t="array" ref="F1182">"https://www.google.com/maps/search/?api=1&amp;query=" &amp; A1182 &amp; "," &amp; B1182</f>
        <v>https://www.google.com/maps/search/?api=1&amp;query=-30.8963594061273,-55.5410719747362</v>
      </c>
      <c r="G1182" s="16" t="str">
        <f t="array" ref="G1182">"https://earth.google.com/web/search/" &amp; A1182 &amp; "," &amp; B1182</f>
        <v>https://earth.google.com/web/search/-30.8963594061273,-55.5410719747362</v>
      </c>
      <c r="H1182" s="12"/>
      <c r="I1182" s="12"/>
      <c r="J1182" s="12"/>
      <c r="K1182" s="12"/>
      <c r="L1182" s="12"/>
      <c r="M1182" s="12"/>
      <c r="N1182" s="12"/>
      <c r="O1182" s="12"/>
      <c r="P1182" s="12"/>
      <c r="Q1182" s="12"/>
      <c r="R1182" s="12"/>
      <c r="S1182" s="12"/>
      <c r="T1182" s="12"/>
      <c r="U1182" s="12"/>
      <c r="V1182" s="12"/>
      <c r="W1182" s="12"/>
      <c r="X1182" s="12"/>
      <c r="Y1182" s="12"/>
      <c r="Z1182" s="12"/>
      <c r="AA1182" s="12"/>
    </row>
    <row r="1183" ht="26.25" customHeight="1">
      <c r="A1183" s="17" t="s">
        <v>2370</v>
      </c>
      <c r="B1183" s="18" t="s">
        <v>2371</v>
      </c>
      <c r="C1183" s="14">
        <v>1.0</v>
      </c>
      <c r="D1183" s="15">
        <v>118.0</v>
      </c>
      <c r="E1183" s="15">
        <v>2.0</v>
      </c>
      <c r="F1183" s="16" t="str">
        <f t="array" ref="F1183">"https://www.google.com/maps/search/?api=1&amp;query=" &amp; A1183 &amp; "," &amp; B1183</f>
        <v>https://www.google.com/maps/search/?api=1&amp;query=-30.8964080224016,-55.5411064834186</v>
      </c>
      <c r="G1183" s="16" t="str">
        <f t="array" ref="G1183">"https://earth.google.com/web/search/" &amp; A1183 &amp; "," &amp; B1183</f>
        <v>https://earth.google.com/web/search/-30.8964080224016,-55.5411064834186</v>
      </c>
      <c r="H1183" s="12"/>
      <c r="I1183" s="12"/>
      <c r="J1183" s="12"/>
      <c r="K1183" s="12"/>
      <c r="L1183" s="12"/>
      <c r="M1183" s="12"/>
      <c r="N1183" s="12"/>
      <c r="O1183" s="12"/>
      <c r="P1183" s="12"/>
      <c r="Q1183" s="12"/>
      <c r="R1183" s="12"/>
      <c r="S1183" s="12"/>
      <c r="T1183" s="12"/>
      <c r="U1183" s="12"/>
      <c r="V1183" s="12"/>
      <c r="W1183" s="12"/>
      <c r="X1183" s="12"/>
      <c r="Y1183" s="12"/>
      <c r="Z1183" s="12"/>
      <c r="AA1183" s="12"/>
    </row>
    <row r="1184" ht="26.25" customHeight="1">
      <c r="A1184" s="17" t="s">
        <v>2372</v>
      </c>
      <c r="B1184" s="18" t="s">
        <v>2373</v>
      </c>
      <c r="C1184" s="14">
        <v>1.0</v>
      </c>
      <c r="D1184" s="15">
        <v>118.0</v>
      </c>
      <c r="E1184" s="15">
        <v>3.0</v>
      </c>
      <c r="F1184" s="16" t="str">
        <f t="array" ref="F1184">"https://www.google.com/maps/search/?api=1&amp;query=" &amp; A1184 &amp; "," &amp; B1184</f>
        <v>https://www.google.com/maps/search/?api=1&amp;query=-30.8964373755891,-55.5411551762125</v>
      </c>
      <c r="G1184" s="16" t="str">
        <f t="array" ref="G1184">"https://earth.google.com/web/search/" &amp; A1184 &amp; "," &amp; B1184</f>
        <v>https://earth.google.com/web/search/-30.8964373755891,-55.5411551762125</v>
      </c>
      <c r="H1184" s="12"/>
      <c r="I1184" s="12"/>
      <c r="J1184" s="12"/>
      <c r="K1184" s="12"/>
      <c r="L1184" s="12"/>
      <c r="M1184" s="12"/>
      <c r="N1184" s="12"/>
      <c r="O1184" s="12"/>
      <c r="P1184" s="12"/>
      <c r="Q1184" s="12"/>
      <c r="R1184" s="12"/>
      <c r="S1184" s="12"/>
      <c r="T1184" s="12"/>
      <c r="U1184" s="12"/>
      <c r="V1184" s="12"/>
      <c r="W1184" s="12"/>
      <c r="X1184" s="12"/>
      <c r="Y1184" s="12"/>
      <c r="Z1184" s="12"/>
      <c r="AA1184" s="12"/>
    </row>
    <row r="1185" ht="26.25" customHeight="1">
      <c r="A1185" s="17" t="s">
        <v>2374</v>
      </c>
      <c r="B1185" s="18" t="s">
        <v>2375</v>
      </c>
      <c r="C1185" s="14">
        <v>1.0</v>
      </c>
      <c r="D1185" s="15">
        <v>118.0</v>
      </c>
      <c r="E1185" s="15">
        <v>4.0</v>
      </c>
      <c r="F1185" s="16" t="str">
        <f t="array" ref="F1185">"https://www.google.com/maps/search/?api=1&amp;query=" &amp; A1185 &amp; "," &amp; B1185</f>
        <v>https://www.google.com/maps/search/?api=1&amp;query=-30.8965003591061,-55.5411752526253</v>
      </c>
      <c r="G1185" s="16" t="str">
        <f t="array" ref="G1185">"https://earth.google.com/web/search/" &amp; A1185 &amp; "," &amp; B1185</f>
        <v>https://earth.google.com/web/search/-30.8965003591061,-55.5411752526253</v>
      </c>
      <c r="H1185" s="12"/>
      <c r="I1185" s="12"/>
      <c r="J1185" s="12"/>
      <c r="K1185" s="12"/>
      <c r="L1185" s="12"/>
      <c r="M1185" s="12"/>
      <c r="N1185" s="12"/>
      <c r="O1185" s="12"/>
      <c r="P1185" s="12"/>
      <c r="Q1185" s="12"/>
      <c r="R1185" s="12"/>
      <c r="S1185" s="12"/>
      <c r="T1185" s="12"/>
      <c r="U1185" s="12"/>
      <c r="V1185" s="12"/>
      <c r="W1185" s="12"/>
      <c r="X1185" s="12"/>
      <c r="Y1185" s="12"/>
      <c r="Z1185" s="12"/>
      <c r="AA1185" s="12"/>
    </row>
    <row r="1186" ht="26.25" customHeight="1">
      <c r="A1186" s="17" t="s">
        <v>2376</v>
      </c>
      <c r="B1186" s="18" t="s">
        <v>2377</v>
      </c>
      <c r="C1186" s="14">
        <v>1.0</v>
      </c>
      <c r="D1186" s="15">
        <v>115.0</v>
      </c>
      <c r="E1186" s="15">
        <v>5.0</v>
      </c>
      <c r="F1186" s="16" t="str">
        <f t="array" ref="F1186">"https://www.google.com/maps/search/?api=1&amp;query=" &amp; A1186 &amp; "," &amp; B1186</f>
        <v>https://www.google.com/maps/search/?api=1&amp;query=-30.8966018831785,-55.5412525676193</v>
      </c>
      <c r="G1186" s="16" t="str">
        <f t="array" ref="G1186">"https://earth.google.com/web/search/" &amp; A1186 &amp; "," &amp; B1186</f>
        <v>https://earth.google.com/web/search/-30.8966018831785,-55.5412525676193</v>
      </c>
      <c r="H1186" s="12"/>
      <c r="I1186" s="12"/>
      <c r="J1186" s="12"/>
      <c r="K1186" s="12"/>
      <c r="L1186" s="12"/>
      <c r="M1186" s="12"/>
      <c r="N1186" s="12"/>
      <c r="O1186" s="12"/>
      <c r="P1186" s="12"/>
      <c r="Q1186" s="12"/>
      <c r="R1186" s="12"/>
      <c r="S1186" s="12"/>
      <c r="T1186" s="12"/>
      <c r="U1186" s="12"/>
      <c r="V1186" s="12"/>
      <c r="W1186" s="12"/>
      <c r="X1186" s="12"/>
      <c r="Y1186" s="12"/>
      <c r="Z1186" s="12"/>
      <c r="AA1186" s="12"/>
    </row>
    <row r="1187" ht="26.25" customHeight="1">
      <c r="A1187" s="17" t="s">
        <v>2378</v>
      </c>
      <c r="B1187" s="18" t="s">
        <v>2379</v>
      </c>
      <c r="C1187" s="14">
        <v>1.0</v>
      </c>
      <c r="D1187" s="15">
        <v>118.0</v>
      </c>
      <c r="E1187" s="15">
        <v>6.0</v>
      </c>
      <c r="F1187" s="16" t="str">
        <f t="array" ref="F1187">"https://www.google.com/maps/search/?api=1&amp;query=" &amp; A1187 &amp; "," &amp; B1187</f>
        <v>https://www.google.com/maps/search/?api=1&amp;query=-30.8967626825968,-55.5413512600351</v>
      </c>
      <c r="G1187" s="16" t="str">
        <f t="array" ref="G1187">"https://earth.google.com/web/search/" &amp; A1187 &amp; "," &amp; B1187</f>
        <v>https://earth.google.com/web/search/-30.8967626825968,-55.5413512600351</v>
      </c>
      <c r="H1187" s="12"/>
      <c r="I1187" s="12"/>
      <c r="J1187" s="12"/>
      <c r="K1187" s="12"/>
      <c r="L1187" s="12"/>
      <c r="M1187" s="12"/>
      <c r="N1187" s="12"/>
      <c r="O1187" s="12"/>
      <c r="P1187" s="12"/>
      <c r="Q1187" s="12"/>
      <c r="R1187" s="12"/>
      <c r="S1187" s="12"/>
      <c r="T1187" s="12"/>
      <c r="U1187" s="12"/>
      <c r="V1187" s="12"/>
      <c r="W1187" s="12"/>
      <c r="X1187" s="12"/>
      <c r="Y1187" s="12"/>
      <c r="Z1187" s="12"/>
      <c r="AA1187" s="12"/>
    </row>
    <row r="1188" ht="26.25" customHeight="1">
      <c r="A1188" s="17" t="s">
        <v>2380</v>
      </c>
      <c r="B1188" s="18" t="s">
        <v>2381</v>
      </c>
      <c r="C1188" s="14">
        <v>1.0</v>
      </c>
      <c r="D1188" s="15">
        <v>118.0</v>
      </c>
      <c r="E1188" s="15">
        <v>7.0</v>
      </c>
      <c r="F1188" s="16" t="str">
        <f t="array" ref="F1188">"https://www.google.com/maps/search/?api=1&amp;query=" &amp; A1188 &amp; "," &amp; B1188</f>
        <v>https://www.google.com/maps/search/?api=1&amp;query=-3.0897229323636,-55.5407773038706</v>
      </c>
      <c r="G1188" s="16" t="str">
        <f t="array" ref="G1188">"https://earth.google.com/web/search/" &amp; A1188 &amp; "," &amp; B1188</f>
        <v>https://earth.google.com/web/search/-3.0897229323636,-55.5407773038706</v>
      </c>
      <c r="H1188" s="12"/>
      <c r="I1188" s="12"/>
      <c r="J1188" s="12"/>
      <c r="K1188" s="12"/>
      <c r="L1188" s="12"/>
      <c r="M1188" s="12"/>
      <c r="N1188" s="12"/>
      <c r="O1188" s="12"/>
      <c r="P1188" s="12"/>
      <c r="Q1188" s="12"/>
      <c r="R1188" s="12"/>
      <c r="S1188" s="12"/>
      <c r="T1188" s="12"/>
      <c r="U1188" s="12"/>
      <c r="V1188" s="12"/>
      <c r="W1188" s="12"/>
      <c r="X1188" s="12"/>
      <c r="Y1188" s="12"/>
      <c r="Z1188" s="12"/>
      <c r="AA1188" s="12"/>
    </row>
    <row r="1189" ht="26.25" customHeight="1">
      <c r="A1189" s="17" t="s">
        <v>2382</v>
      </c>
      <c r="B1189" s="18" t="s">
        <v>2383</v>
      </c>
      <c r="C1189" s="14">
        <v>1.0</v>
      </c>
      <c r="D1189" s="15">
        <v>118.0</v>
      </c>
      <c r="E1189" s="15">
        <v>8.0</v>
      </c>
      <c r="F1189" s="16" t="str">
        <f t="array" ref="F1189">"https://www.google.com/maps/search/?api=1&amp;query=" &amp; A1189 &amp; "," &amp; B1189</f>
        <v>https://www.google.com/maps/search/?api=1&amp;query=-30.8972645279557,-5.5540726310351</v>
      </c>
      <c r="G1189" s="16" t="str">
        <f t="array" ref="G1189">"https://earth.google.com/web/search/" &amp; A1189 &amp; "," &amp; B1189</f>
        <v>https://earth.google.com/web/search/-30.8972645279557,-5.5540726310351</v>
      </c>
      <c r="H1189" s="12"/>
      <c r="I1189" s="12"/>
      <c r="J1189" s="12"/>
      <c r="K1189" s="12"/>
      <c r="L1189" s="12"/>
      <c r="M1189" s="12"/>
      <c r="N1189" s="12"/>
      <c r="O1189" s="12"/>
      <c r="P1189" s="12"/>
      <c r="Q1189" s="12"/>
      <c r="R1189" s="12"/>
      <c r="S1189" s="12"/>
      <c r="T1189" s="12"/>
      <c r="U1189" s="12"/>
      <c r="V1189" s="12"/>
      <c r="W1189" s="12"/>
      <c r="X1189" s="12"/>
      <c r="Y1189" s="12"/>
      <c r="Z1189" s="12"/>
      <c r="AA1189" s="12"/>
    </row>
    <row r="1190" ht="26.25" customHeight="1">
      <c r="A1190" s="17" t="s">
        <v>2384</v>
      </c>
      <c r="B1190" s="18" t="s">
        <v>2385</v>
      </c>
      <c r="C1190" s="14">
        <v>1.0</v>
      </c>
      <c r="D1190" s="15">
        <v>118.0</v>
      </c>
      <c r="E1190" s="15">
        <v>9.0</v>
      </c>
      <c r="F1190" s="16" t="str">
        <f t="array" ref="F1190">"https://www.google.com/maps/search/?api=1&amp;query=" &amp; A1190 &amp; "," &amp; B1190</f>
        <v>https://www.google.com/maps/search/?api=1&amp;query=-30.8968985342964,-55.5403285936311</v>
      </c>
      <c r="G1190" s="16" t="str">
        <f t="array" ref="G1190">"https://earth.google.com/web/search/" &amp; A1190 &amp; "," &amp; B1190</f>
        <v>https://earth.google.com/web/search/-30.8968985342964,-55.5403285936311</v>
      </c>
      <c r="H1190" s="12"/>
      <c r="I1190" s="12"/>
      <c r="J1190" s="12"/>
      <c r="K1190" s="12"/>
      <c r="L1190" s="12"/>
      <c r="M1190" s="12"/>
      <c r="N1190" s="12"/>
      <c r="O1190" s="12"/>
      <c r="P1190" s="12"/>
      <c r="Q1190" s="12"/>
      <c r="R1190" s="12"/>
      <c r="S1190" s="12"/>
      <c r="T1190" s="12"/>
      <c r="U1190" s="12"/>
      <c r="V1190" s="12"/>
      <c r="W1190" s="12"/>
      <c r="X1190" s="12"/>
      <c r="Y1190" s="12"/>
      <c r="Z1190" s="12"/>
      <c r="AA1190" s="12"/>
    </row>
    <row r="1191" ht="26.25" customHeight="1">
      <c r="A1191" s="17" t="s">
        <v>2386</v>
      </c>
      <c r="B1191" s="18" t="s">
        <v>2387</v>
      </c>
      <c r="C1191" s="14">
        <v>1.0</v>
      </c>
      <c r="D1191" s="15">
        <v>118.0</v>
      </c>
      <c r="E1191" s="15">
        <v>10.0</v>
      </c>
      <c r="F1191" s="16" t="str">
        <f t="array" ref="F1191">"https://www.google.com/maps/search/?api=1&amp;query=" &amp; A1191 &amp; "," &amp; B1191</f>
        <v>https://www.google.com/maps/search/?api=1&amp;query=-30.8964131194391,-55.5405351591686</v>
      </c>
      <c r="G1191" s="16" t="str">
        <f t="array" ref="G1191">"https://earth.google.com/web/search/" &amp; A1191 &amp; "," &amp; B1191</f>
        <v>https://earth.google.com/web/search/-30.8964131194391,-55.5405351591686</v>
      </c>
      <c r="H1191" s="12"/>
      <c r="I1191" s="12"/>
      <c r="J1191" s="12"/>
      <c r="K1191" s="12"/>
      <c r="L1191" s="12"/>
      <c r="M1191" s="12"/>
      <c r="N1191" s="12"/>
      <c r="O1191" s="12"/>
      <c r="P1191" s="12"/>
      <c r="Q1191" s="12"/>
      <c r="R1191" s="12"/>
      <c r="S1191" s="12"/>
      <c r="T1191" s="12"/>
      <c r="U1191" s="12"/>
      <c r="V1191" s="12"/>
      <c r="W1191" s="12"/>
      <c r="X1191" s="12"/>
      <c r="Y1191" s="12"/>
      <c r="Z1191" s="12"/>
      <c r="AA1191" s="12"/>
    </row>
    <row r="1192" ht="26.25" customHeight="1">
      <c r="A1192" s="17" t="s">
        <v>2388</v>
      </c>
      <c r="B1192" s="18" t="s">
        <v>2389</v>
      </c>
      <c r="C1192" s="14">
        <v>1.0</v>
      </c>
      <c r="D1192" s="15">
        <v>118.0</v>
      </c>
      <c r="E1192" s="15">
        <v>11.0</v>
      </c>
      <c r="F1192" s="16" t="str">
        <f t="array" ref="F1192">"https://www.google.com/maps/search/?api=1&amp;query=" &amp; A1192 &amp; "," &amp; B1192</f>
        <v>https://www.google.com/maps/search/?api=1&amp;query=-3.0896356071356,-55.5405933663536</v>
      </c>
      <c r="G1192" s="16" t="str">
        <f t="array" ref="G1192">"https://earth.google.com/web/search/" &amp; A1192 &amp; "," &amp; B1192</f>
        <v>https://earth.google.com/web/search/-3.0896356071356,-55.5405933663536</v>
      </c>
      <c r="H1192" s="12"/>
      <c r="I1192" s="12"/>
      <c r="J1192" s="12"/>
      <c r="K1192" s="12"/>
      <c r="L1192" s="12"/>
      <c r="M1192" s="12"/>
      <c r="N1192" s="12"/>
      <c r="O1192" s="12"/>
      <c r="P1192" s="12"/>
      <c r="Q1192" s="12"/>
      <c r="R1192" s="12"/>
      <c r="S1192" s="12"/>
      <c r="T1192" s="12"/>
      <c r="U1192" s="12"/>
      <c r="V1192" s="12"/>
      <c r="W1192" s="12"/>
      <c r="X1192" s="12"/>
      <c r="Y1192" s="12"/>
      <c r="Z1192" s="12"/>
      <c r="AA1192" s="12"/>
    </row>
    <row r="1193" ht="26.25" customHeight="1">
      <c r="A1193" s="17" t="s">
        <v>2390</v>
      </c>
      <c r="B1193" s="18" t="s">
        <v>2391</v>
      </c>
      <c r="C1193" s="14">
        <v>1.0</v>
      </c>
      <c r="D1193" s="15">
        <v>79.0</v>
      </c>
      <c r="E1193" s="15">
        <v>1.0</v>
      </c>
      <c r="F1193" s="16" t="str">
        <f t="array" ref="F1193">"https://www.google.com/maps/search/?api=1&amp;query=" &amp; A1193 &amp; "," &amp; B1193</f>
        <v>https://www.google.com/maps/search/?api=1&amp;query=-30.8964608884073,-55.5400177724684</v>
      </c>
      <c r="G1193" s="16" t="str">
        <f t="array" ref="G1193">"https://earth.google.com/web/search/" &amp; A1193 &amp; "," &amp; B1193</f>
        <v>https://earth.google.com/web/search/-30.8964608884073,-55.5400177724684</v>
      </c>
      <c r="H1193" s="12"/>
      <c r="I1193" s="12"/>
      <c r="J1193" s="12"/>
      <c r="K1193" s="12"/>
      <c r="L1193" s="12"/>
      <c r="M1193" s="12"/>
      <c r="N1193" s="12"/>
      <c r="O1193" s="12"/>
      <c r="P1193" s="12"/>
      <c r="Q1193" s="12"/>
      <c r="R1193" s="12"/>
      <c r="S1193" s="12"/>
      <c r="T1193" s="12"/>
      <c r="U1193" s="12"/>
      <c r="V1193" s="12"/>
      <c r="W1193" s="12"/>
      <c r="X1193" s="12"/>
      <c r="Y1193" s="12"/>
      <c r="Z1193" s="12"/>
      <c r="AA1193" s="12"/>
    </row>
    <row r="1194" ht="26.25" customHeight="1">
      <c r="A1194" s="17" t="s">
        <v>2392</v>
      </c>
      <c r="B1194" s="18" t="s">
        <v>2393</v>
      </c>
      <c r="C1194" s="14">
        <v>1.0</v>
      </c>
      <c r="D1194" s="15">
        <v>79.0</v>
      </c>
      <c r="E1194" s="15">
        <v>2.0</v>
      </c>
      <c r="F1194" s="16" t="str">
        <f t="array" ref="F1194">"https://www.google.com/maps/search/?api=1&amp;query=" &amp; A1194 &amp; "," &amp; B1194</f>
        <v>https://www.google.com/maps/search/?api=1&amp;query=-3.0896382073898,-55.5399623563855</v>
      </c>
      <c r="G1194" s="16" t="str">
        <f t="array" ref="G1194">"https://earth.google.com/web/search/" &amp; A1194 &amp; "," &amp; B1194</f>
        <v>https://earth.google.com/web/search/-3.0896382073898,-55.5399623563855</v>
      </c>
      <c r="H1194" s="12"/>
      <c r="I1194" s="12"/>
      <c r="J1194" s="12"/>
      <c r="K1194" s="12"/>
      <c r="L1194" s="12"/>
      <c r="M1194" s="12"/>
      <c r="N1194" s="12"/>
      <c r="O1194" s="12"/>
      <c r="P1194" s="12"/>
      <c r="Q1194" s="12"/>
      <c r="R1194" s="12"/>
      <c r="S1194" s="12"/>
      <c r="T1194" s="12"/>
      <c r="U1194" s="12"/>
      <c r="V1194" s="12"/>
      <c r="W1194" s="12"/>
      <c r="X1194" s="12"/>
      <c r="Y1194" s="12"/>
      <c r="Z1194" s="12"/>
      <c r="AA1194" s="12"/>
    </row>
    <row r="1195" ht="26.25" customHeight="1">
      <c r="A1195" s="17" t="s">
        <v>2394</v>
      </c>
      <c r="B1195" s="18" t="s">
        <v>2395</v>
      </c>
      <c r="C1195" s="14">
        <v>1.0</v>
      </c>
      <c r="D1195" s="15">
        <v>79.0</v>
      </c>
      <c r="E1195" s="15">
        <v>3.0</v>
      </c>
      <c r="F1195" s="16" t="str">
        <f t="array" ref="F1195">"https://www.google.com/maps/search/?api=1&amp;query=" &amp; A1195 &amp; "," &amp; B1195</f>
        <v>https://www.google.com/maps/search/?api=1&amp;query=-30.8959824700939,-5.5539667563207</v>
      </c>
      <c r="G1195" s="16" t="str">
        <f t="array" ref="G1195">"https://earth.google.com/web/search/" &amp; A1195 &amp; "," &amp; B1195</f>
        <v>https://earth.google.com/web/search/-30.8959824700939,-5.5539667563207</v>
      </c>
      <c r="H1195" s="12"/>
      <c r="I1195" s="12"/>
      <c r="J1195" s="12"/>
      <c r="K1195" s="12"/>
      <c r="L1195" s="12"/>
      <c r="M1195" s="12"/>
      <c r="N1195" s="12"/>
      <c r="O1195" s="12"/>
      <c r="P1195" s="12"/>
      <c r="Q1195" s="12"/>
      <c r="R1195" s="12"/>
      <c r="S1195" s="12"/>
      <c r="T1195" s="12"/>
      <c r="U1195" s="12"/>
      <c r="V1195" s="12"/>
      <c r="W1195" s="12"/>
      <c r="X1195" s="12"/>
      <c r="Y1195" s="12"/>
      <c r="Z1195" s="12"/>
      <c r="AA1195" s="12"/>
    </row>
    <row r="1196" ht="26.25" customHeight="1">
      <c r="A1196" s="17" t="s">
        <v>2396</v>
      </c>
      <c r="B1196" s="18" t="s">
        <v>2397</v>
      </c>
      <c r="C1196" s="14">
        <v>1.0</v>
      </c>
      <c r="D1196" s="15">
        <v>79.0</v>
      </c>
      <c r="E1196" s="15">
        <v>4.0</v>
      </c>
      <c r="F1196" s="16" t="str">
        <f t="array" ref="F1196">"https://www.google.com/maps/search/?api=1&amp;query=" &amp; A1196 &amp; "," &amp; B1196</f>
        <v>https://www.google.com/maps/search/?api=1&amp;query=-30.8957061253092,-55.5397995383739</v>
      </c>
      <c r="G1196" s="16" t="str">
        <f t="array" ref="G1196">"https://earth.google.com/web/search/" &amp; A1196 &amp; "," &amp; B1196</f>
        <v>https://earth.google.com/web/search/-30.8957061253092,-55.5397995383739</v>
      </c>
      <c r="H1196" s="12"/>
      <c r="I1196" s="12"/>
      <c r="J1196" s="12"/>
      <c r="K1196" s="12"/>
      <c r="L1196" s="12"/>
      <c r="M1196" s="12"/>
      <c r="N1196" s="12"/>
      <c r="O1196" s="12"/>
      <c r="P1196" s="12"/>
      <c r="Q1196" s="12"/>
      <c r="R1196" s="12"/>
      <c r="S1196" s="12"/>
      <c r="T1196" s="12"/>
      <c r="U1196" s="12"/>
      <c r="V1196" s="12"/>
      <c r="W1196" s="12"/>
      <c r="X1196" s="12"/>
      <c r="Y1196" s="12"/>
      <c r="Z1196" s="12"/>
      <c r="AA1196" s="12"/>
    </row>
    <row r="1197" ht="26.25" customHeight="1">
      <c r="A1197" s="17" t="s">
        <v>2398</v>
      </c>
      <c r="B1197" s="18" t="s">
        <v>2399</v>
      </c>
      <c r="C1197" s="14">
        <v>1.0</v>
      </c>
      <c r="D1197" s="15">
        <v>79.0</v>
      </c>
      <c r="E1197" s="15">
        <v>5.0</v>
      </c>
      <c r="F1197" s="16" t="str">
        <f t="array" ref="F1197">"https://www.google.com/maps/search/?api=1&amp;query=" &amp; A1197 &amp; "," &amp; B1197</f>
        <v>https://www.google.com/maps/search/?api=1&amp;query=-30.8956694474419,-55.5398756114676</v>
      </c>
      <c r="G1197" s="16" t="str">
        <f t="array" ref="G1197">"https://earth.google.com/web/search/" &amp; A1197 &amp; "," &amp; B1197</f>
        <v>https://earth.google.com/web/search/-30.8956694474419,-55.5398756114676</v>
      </c>
      <c r="H1197" s="12"/>
      <c r="I1197" s="12"/>
      <c r="J1197" s="12"/>
      <c r="K1197" s="12"/>
      <c r="L1197" s="12"/>
      <c r="M1197" s="12"/>
      <c r="N1197" s="12"/>
      <c r="O1197" s="12"/>
      <c r="P1197" s="12"/>
      <c r="Q1197" s="12"/>
      <c r="R1197" s="12"/>
      <c r="S1197" s="12"/>
      <c r="T1197" s="12"/>
      <c r="U1197" s="12"/>
      <c r="V1197" s="12"/>
      <c r="W1197" s="12"/>
      <c r="X1197" s="12"/>
      <c r="Y1197" s="12"/>
      <c r="Z1197" s="12"/>
      <c r="AA1197" s="12"/>
    </row>
    <row r="1198" ht="26.25" customHeight="1">
      <c r="A1198" s="17" t="s">
        <v>2400</v>
      </c>
      <c r="B1198" s="18" t="s">
        <v>2401</v>
      </c>
      <c r="C1198" s="14">
        <v>1.0</v>
      </c>
      <c r="D1198" s="15">
        <v>79.0</v>
      </c>
      <c r="E1198" s="15">
        <v>6.0</v>
      </c>
      <c r="F1198" s="16" t="str">
        <f t="array" ref="F1198">"https://www.google.com/maps/search/?api=1&amp;query=" &amp; A1198 &amp; "," &amp; B1198</f>
        <v>https://www.google.com/maps/search/?api=1&amp;query=-30.8956252327795,-5.5539955566932</v>
      </c>
      <c r="G1198" s="16" t="str">
        <f t="array" ref="G1198">"https://earth.google.com/web/search/" &amp; A1198 &amp; "," &amp; B1198</f>
        <v>https://earth.google.com/web/search/-30.8956252327795,-5.5539955566932</v>
      </c>
      <c r="H1198" s="12"/>
      <c r="I1198" s="12"/>
      <c r="J1198" s="12"/>
      <c r="K1198" s="12"/>
      <c r="L1198" s="12"/>
      <c r="M1198" s="12"/>
      <c r="N1198" s="12"/>
      <c r="O1198" s="12"/>
      <c r="P1198" s="12"/>
      <c r="Q1198" s="12"/>
      <c r="R1198" s="12"/>
      <c r="S1198" s="12"/>
      <c r="T1198" s="12"/>
      <c r="U1198" s="12"/>
      <c r="V1198" s="12"/>
      <c r="W1198" s="12"/>
      <c r="X1198" s="12"/>
      <c r="Y1198" s="12"/>
      <c r="Z1198" s="12"/>
      <c r="AA1198" s="12"/>
    </row>
    <row r="1199" ht="26.25" customHeight="1">
      <c r="A1199" s="17" t="s">
        <v>2402</v>
      </c>
      <c r="B1199" s="18" t="s">
        <v>2403</v>
      </c>
      <c r="C1199" s="14">
        <v>1.0</v>
      </c>
      <c r="D1199" s="15">
        <v>79.0</v>
      </c>
      <c r="E1199" s="15">
        <v>7.0</v>
      </c>
      <c r="F1199" s="16" t="str">
        <f t="array" ref="F1199">"https://www.google.com/maps/search/?api=1&amp;query=" &amp; A1199 &amp; "," &amp; B1199</f>
        <v>https://www.google.com/maps/search/?api=1&amp;query=-30.8955898763763,-55.5405384285285</v>
      </c>
      <c r="G1199" s="16" t="str">
        <f t="array" ref="G1199">"https://earth.google.com/web/search/" &amp; A1199 &amp; "," &amp; B1199</f>
        <v>https://earth.google.com/web/search/-30.8955898763763,-55.5405384285285</v>
      </c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/>
      <c r="S1199" s="12"/>
      <c r="T1199" s="12"/>
      <c r="U1199" s="12"/>
      <c r="V1199" s="12"/>
      <c r="W1199" s="12"/>
      <c r="X1199" s="12"/>
      <c r="Y1199" s="12"/>
      <c r="Z1199" s="12"/>
      <c r="AA1199" s="12"/>
    </row>
    <row r="1200" ht="26.25" customHeight="1">
      <c r="A1200" s="17" t="s">
        <v>2404</v>
      </c>
      <c r="B1200" s="18" t="s">
        <v>2405</v>
      </c>
      <c r="C1200" s="14">
        <v>1.0</v>
      </c>
      <c r="D1200" s="15">
        <v>79.0</v>
      </c>
      <c r="E1200" s="15">
        <v>8.0</v>
      </c>
      <c r="F1200" s="16" t="str">
        <f t="array" ref="F1200">"https://www.google.com/maps/search/?api=1&amp;query=" &amp; A1200 &amp; "," &amp; B1200</f>
        <v>https://www.google.com/maps/search/?api=1&amp;query=-30.8957049527095,-55.5405880340023</v>
      </c>
      <c r="G1200" s="16" t="str">
        <f t="array" ref="G1200">"https://earth.google.com/web/search/" &amp; A1200 &amp; "," &amp; B1200</f>
        <v>https://earth.google.com/web/search/-30.8957049527095,-55.5405880340023</v>
      </c>
      <c r="H1200" s="12"/>
      <c r="I1200" s="12"/>
      <c r="J1200" s="12"/>
      <c r="K1200" s="12"/>
      <c r="L1200" s="12"/>
      <c r="M1200" s="12"/>
      <c r="N1200" s="12"/>
      <c r="O1200" s="12"/>
      <c r="P1200" s="12"/>
      <c r="Q1200" s="12"/>
      <c r="R1200" s="12"/>
      <c r="S1200" s="12"/>
      <c r="T1200" s="12"/>
      <c r="U1200" s="12"/>
      <c r="V1200" s="12"/>
      <c r="W1200" s="12"/>
      <c r="X1200" s="12"/>
      <c r="Y1200" s="12"/>
      <c r="Z1200" s="12"/>
      <c r="AA1200" s="12"/>
    </row>
    <row r="1201" ht="26.25" customHeight="1">
      <c r="A1201" s="17" t="s">
        <v>2406</v>
      </c>
      <c r="B1201" s="18" t="s">
        <v>2407</v>
      </c>
      <c r="C1201" s="14">
        <v>1.0</v>
      </c>
      <c r="D1201" s="15">
        <v>79.0</v>
      </c>
      <c r="E1201" s="15">
        <v>9.0</v>
      </c>
      <c r="F1201" s="16" t="str">
        <f t="array" ref="F1201">"https://www.google.com/maps/search/?api=1&amp;query=" &amp; A1201 &amp; "," &amp; B1201</f>
        <v>https://www.google.com/maps/search/?api=1&amp;query=-30.8958884445048,-55.5407239257782</v>
      </c>
      <c r="G1201" s="16" t="str">
        <f t="array" ref="G1201">"https://earth.google.com/web/search/" &amp; A1201 &amp; "," &amp; B1201</f>
        <v>https://earth.google.com/web/search/-30.8958884445048,-55.5407239257782</v>
      </c>
      <c r="H1201" s="12"/>
      <c r="I1201" s="12"/>
      <c r="J1201" s="12"/>
      <c r="K1201" s="12"/>
      <c r="L1201" s="12"/>
      <c r="M1201" s="12"/>
      <c r="N1201" s="12"/>
      <c r="O1201" s="12"/>
      <c r="P1201" s="12"/>
      <c r="Q1201" s="12"/>
      <c r="R1201" s="12"/>
      <c r="S1201" s="12"/>
      <c r="T1201" s="12"/>
      <c r="U1201" s="12"/>
      <c r="V1201" s="12"/>
      <c r="W1201" s="12"/>
      <c r="X1201" s="12"/>
      <c r="Y1201" s="12"/>
      <c r="Z1201" s="12"/>
      <c r="AA1201" s="12"/>
    </row>
    <row r="1202" ht="26.25" customHeight="1">
      <c r="A1202" s="17" t="s">
        <v>2408</v>
      </c>
      <c r="B1202" s="18" t="s">
        <v>2409</v>
      </c>
      <c r="C1202" s="14">
        <v>1.0</v>
      </c>
      <c r="D1202" s="15">
        <v>79.0</v>
      </c>
      <c r="E1202" s="15">
        <v>10.0</v>
      </c>
      <c r="F1202" s="16" t="str">
        <f t="array" ref="F1202">"https://www.google.com/maps/search/?api=1&amp;query=" &amp; A1202 &amp; "," &amp; B1202</f>
        <v>https://www.google.com/maps/search/?api=1&amp;query=-30.8960589727538,-55.5408440783611</v>
      </c>
      <c r="G1202" s="16" t="str">
        <f t="array" ref="G1202">"https://earth.google.com/web/search/" &amp; A1202 &amp; "," &amp; B1202</f>
        <v>https://earth.google.com/web/search/-30.8960589727538,-55.5408440783611</v>
      </c>
      <c r="H1202" s="12"/>
      <c r="I1202" s="12"/>
      <c r="J1202" s="12"/>
      <c r="K1202" s="12"/>
      <c r="L1202" s="12"/>
      <c r="M1202" s="12"/>
      <c r="N1202" s="12"/>
      <c r="O1202" s="12"/>
      <c r="P1202" s="12"/>
      <c r="Q1202" s="12"/>
      <c r="R1202" s="12"/>
      <c r="S1202" s="12"/>
      <c r="T1202" s="12"/>
      <c r="U1202" s="12"/>
      <c r="V1202" s="12"/>
      <c r="W1202" s="12"/>
      <c r="X1202" s="12"/>
      <c r="Y1202" s="12"/>
      <c r="Z1202" s="12"/>
      <c r="AA1202" s="12"/>
    </row>
    <row r="1203" ht="26.25" customHeight="1">
      <c r="A1203" s="17" t="s">
        <v>2410</v>
      </c>
      <c r="B1203" s="18" t="s">
        <v>2411</v>
      </c>
      <c r="C1203" s="14">
        <v>1.0</v>
      </c>
      <c r="D1203" s="15">
        <v>79.0</v>
      </c>
      <c r="E1203" s="15">
        <v>11.0</v>
      </c>
      <c r="F1203" s="16" t="str">
        <f t="array" ref="F1203">"https://www.google.com/maps/search/?api=1&amp;query=" &amp; A1203 &amp; "," &amp; B1203</f>
        <v>https://www.google.com/maps/search/?api=1&amp;query=-30.8961490775822,-55.5408290258412</v>
      </c>
      <c r="G1203" s="16" t="str">
        <f t="array" ref="G1203">"https://earth.google.com/web/search/" &amp; A1203 &amp; "," &amp; B1203</f>
        <v>https://earth.google.com/web/search/-30.8961490775822,-55.5408290258412</v>
      </c>
      <c r="H1203" s="12"/>
      <c r="I1203" s="12"/>
      <c r="J1203" s="12"/>
      <c r="K1203" s="12"/>
      <c r="L1203" s="12"/>
      <c r="M1203" s="12"/>
      <c r="N1203" s="12"/>
      <c r="O1203" s="12"/>
      <c r="P1203" s="12"/>
      <c r="Q1203" s="12"/>
      <c r="R1203" s="12"/>
      <c r="S1203" s="12"/>
      <c r="T1203" s="12"/>
      <c r="U1203" s="12"/>
      <c r="V1203" s="12"/>
      <c r="W1203" s="12"/>
      <c r="X1203" s="12"/>
      <c r="Y1203" s="12"/>
      <c r="Z1203" s="12"/>
      <c r="AA1203" s="12"/>
    </row>
    <row r="1204" ht="26.25" customHeight="1">
      <c r="A1204" s="17" t="s">
        <v>2412</v>
      </c>
      <c r="B1204" s="18" t="s">
        <v>2413</v>
      </c>
      <c r="C1204" s="14">
        <v>1.0</v>
      </c>
      <c r="D1204" s="15">
        <v>79.0</v>
      </c>
      <c r="E1204" s="15">
        <v>12.0</v>
      </c>
      <c r="F1204" s="16" t="str">
        <f t="array" ref="F1204">"https://www.google.com/maps/search/?api=1&amp;query=" &amp; A1204 &amp; "," &amp; B1204</f>
        <v>https://www.google.com/maps/search/?api=1&amp;query=-30.8961634434846,-55.5407541260222</v>
      </c>
      <c r="G1204" s="16" t="str">
        <f t="array" ref="G1204">"https://earth.google.com/web/search/" &amp; A1204 &amp; "," &amp; B1204</f>
        <v>https://earth.google.com/web/search/-30.8961634434846,-55.5407541260222</v>
      </c>
      <c r="H1204" s="12"/>
      <c r="I1204" s="12"/>
      <c r="J1204" s="12"/>
      <c r="K1204" s="12"/>
      <c r="L1204" s="12"/>
      <c r="M1204" s="12"/>
      <c r="N1204" s="12"/>
      <c r="O1204" s="12"/>
      <c r="P1204" s="12"/>
      <c r="Q1204" s="12"/>
      <c r="R1204" s="12"/>
      <c r="S1204" s="12"/>
      <c r="T1204" s="12"/>
      <c r="U1204" s="12"/>
      <c r="V1204" s="12"/>
      <c r="W1204" s="12"/>
      <c r="X1204" s="12"/>
      <c r="Y1204" s="12"/>
      <c r="Z1204" s="12"/>
      <c r="AA1204" s="12"/>
    </row>
    <row r="1205" ht="26.25" customHeight="1">
      <c r="A1205" s="17" t="s">
        <v>2414</v>
      </c>
      <c r="B1205" s="18" t="s">
        <v>2415</v>
      </c>
      <c r="C1205" s="14">
        <v>1.0</v>
      </c>
      <c r="D1205" s="15">
        <v>79.0</v>
      </c>
      <c r="E1205" s="15">
        <v>13.0</v>
      </c>
      <c r="F1205" s="16" t="str">
        <f t="array" ref="F1205">"https://www.google.com/maps/search/?api=1&amp;query=" &amp; A1205 &amp; "," &amp; B1205</f>
        <v>https://www.google.com/maps/search/?api=1&amp;query=-30.8962062349824,-5.5540721880676</v>
      </c>
      <c r="G1205" s="16" t="str">
        <f t="array" ref="G1205">"https://earth.google.com/web/search/" &amp; A1205 &amp; "," &amp; B1205</f>
        <v>https://earth.google.com/web/search/-30.8962062349824,-5.5540721880676</v>
      </c>
      <c r="H1205" s="12"/>
      <c r="I1205" s="12"/>
      <c r="J1205" s="12"/>
      <c r="K1205" s="12"/>
      <c r="L1205" s="12"/>
      <c r="M1205" s="12"/>
      <c r="N1205" s="12"/>
      <c r="O1205" s="12"/>
      <c r="P1205" s="12"/>
      <c r="Q1205" s="12"/>
      <c r="R1205" s="12"/>
      <c r="S1205" s="12"/>
      <c r="T1205" s="12"/>
      <c r="U1205" s="12"/>
      <c r="V1205" s="12"/>
      <c r="W1205" s="12"/>
      <c r="X1205" s="12"/>
      <c r="Y1205" s="12"/>
      <c r="Z1205" s="12"/>
      <c r="AA1205" s="12"/>
    </row>
    <row r="1206" ht="26.25" customHeight="1">
      <c r="A1206" s="17" t="s">
        <v>2416</v>
      </c>
      <c r="B1206" s="18" t="s">
        <v>2417</v>
      </c>
      <c r="C1206" s="14">
        <v>1.0</v>
      </c>
      <c r="D1206" s="15">
        <v>79.0</v>
      </c>
      <c r="E1206" s="15">
        <v>14.0</v>
      </c>
      <c r="F1206" s="16" t="str">
        <f t="array" ref="F1206">"https://www.google.com/maps/search/?api=1&amp;query=" &amp; A1206 &amp; "," &amp; B1206</f>
        <v>https://www.google.com/maps/search/?api=1&amp;query=-30.8962577638991,-55.5406329876787</v>
      </c>
      <c r="G1206" s="16" t="str">
        <f t="array" ref="G1206">"https://earth.google.com/web/search/" &amp; A1206 &amp; "," &amp; B1206</f>
        <v>https://earth.google.com/web/search/-30.8962577638991,-55.5406329876787</v>
      </c>
      <c r="H1206" s="12"/>
      <c r="I1206" s="12"/>
      <c r="J1206" s="12"/>
      <c r="K1206" s="12"/>
      <c r="L1206" s="12"/>
      <c r="M1206" s="12"/>
      <c r="N1206" s="12"/>
      <c r="O1206" s="12"/>
      <c r="P1206" s="12"/>
      <c r="Q1206" s="12"/>
      <c r="R1206" s="12"/>
      <c r="S1206" s="12"/>
      <c r="T1206" s="12"/>
      <c r="U1206" s="12"/>
      <c r="V1206" s="12"/>
      <c r="W1206" s="12"/>
      <c r="X1206" s="12"/>
      <c r="Y1206" s="12"/>
      <c r="Z1206" s="12"/>
      <c r="AA1206" s="12"/>
    </row>
    <row r="1207" ht="26.25" customHeight="1">
      <c r="A1207" s="17" t="s">
        <v>2418</v>
      </c>
      <c r="B1207" s="18" t="s">
        <v>2419</v>
      </c>
      <c r="C1207" s="14">
        <v>1.0</v>
      </c>
      <c r="D1207" s="15">
        <v>78.0</v>
      </c>
      <c r="E1207" s="15">
        <v>1.0</v>
      </c>
      <c r="F1207" s="16" t="str">
        <f t="array" ref="F1207">"https://www.google.com/maps/search/?api=1&amp;query=" &amp; A1207 &amp; "," &amp; B1207</f>
        <v>https://www.google.com/maps/search/?api=1&amp;query=-30.8963982943858,-55.5387137746236</v>
      </c>
      <c r="G1207" s="16" t="str">
        <f t="array" ref="G1207">"https://earth.google.com/web/search/" &amp; A1207 &amp; "," &amp; B1207</f>
        <v>https://earth.google.com/web/search/-30.8963982943858,-55.5387137746236</v>
      </c>
      <c r="H1207" s="12"/>
      <c r="I1207" s="12"/>
      <c r="J1207" s="12"/>
      <c r="K1207" s="12"/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/>
    </row>
    <row r="1208" ht="26.25" customHeight="1">
      <c r="A1208" s="17" t="s">
        <v>2420</v>
      </c>
      <c r="B1208" s="18" t="s">
        <v>2421</v>
      </c>
      <c r="C1208" s="14">
        <v>1.0</v>
      </c>
      <c r="D1208" s="15">
        <v>78.0</v>
      </c>
      <c r="E1208" s="15">
        <v>2.0</v>
      </c>
      <c r="F1208" s="16" t="str">
        <f t="array" ref="F1208">"https://www.google.com/maps/search/?api=1&amp;query=" &amp; A1208 &amp; "," &amp; B1208</f>
        <v>https://www.google.com/maps/search/?api=1&amp;query=-30.8964829106729,-55.5387804182816</v>
      </c>
      <c r="G1208" s="16" t="str">
        <f t="array" ref="G1208">"https://earth.google.com/web/search/" &amp; A1208 &amp; "," &amp; B1208</f>
        <v>https://earth.google.com/web/search/-30.8964829106729,-55.5387804182816</v>
      </c>
      <c r="H1208" s="12"/>
      <c r="I1208" s="12"/>
      <c r="J1208" s="12"/>
      <c r="K1208" s="12"/>
      <c r="L1208" s="12"/>
      <c r="M1208" s="12"/>
      <c r="N1208" s="12"/>
      <c r="O1208" s="12"/>
      <c r="P1208" s="12"/>
      <c r="Q1208" s="12"/>
      <c r="R1208" s="12"/>
      <c r="S1208" s="12"/>
      <c r="T1208" s="12"/>
      <c r="U1208" s="12"/>
      <c r="V1208" s="12"/>
      <c r="W1208" s="12"/>
      <c r="X1208" s="12"/>
      <c r="Y1208" s="12"/>
      <c r="Z1208" s="12"/>
      <c r="AA1208" s="12"/>
    </row>
    <row r="1209" ht="26.25" customHeight="1">
      <c r="A1209" s="17" t="s">
        <v>2422</v>
      </c>
      <c r="B1209" s="18" t="s">
        <v>2423</v>
      </c>
      <c r="C1209" s="14">
        <v>1.0</v>
      </c>
      <c r="D1209" s="15">
        <v>78.0</v>
      </c>
      <c r="E1209" s="15">
        <v>3.0</v>
      </c>
      <c r="F1209" s="16" t="str">
        <f t="array" ref="F1209">"https://www.google.com/maps/search/?api=1&amp;query=" &amp; A1209 &amp; "," &amp; B1209</f>
        <v>https://www.google.com/maps/search/?api=1&amp;query=-30.8967283977023,-55.5389572648396</v>
      </c>
      <c r="G1209" s="16" t="str">
        <f t="array" ref="G1209">"https://earth.google.com/web/search/" &amp; A1209 &amp; "," &amp; B1209</f>
        <v>https://earth.google.com/web/search/-30.8967283977023,-55.5389572648396</v>
      </c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/>
      <c r="S1209" s="12"/>
      <c r="T1209" s="12"/>
      <c r="U1209" s="12"/>
      <c r="V1209" s="12"/>
      <c r="W1209" s="12"/>
      <c r="X1209" s="12"/>
      <c r="Y1209" s="12"/>
      <c r="Z1209" s="12"/>
      <c r="AA1209" s="12"/>
    </row>
    <row r="1210" ht="26.25" customHeight="1">
      <c r="A1210" s="17" t="s">
        <v>2424</v>
      </c>
      <c r="B1210" s="18" t="s">
        <v>2425</v>
      </c>
      <c r="C1210" s="14">
        <v>1.0</v>
      </c>
      <c r="D1210" s="15">
        <v>78.0</v>
      </c>
      <c r="E1210" s="15">
        <v>4.0</v>
      </c>
      <c r="F1210" s="16" t="str">
        <f t="array" ref="F1210">"https://www.google.com/maps/search/?api=1&amp;query=" &amp; A1210 &amp; "," &amp; B1210</f>
        <v>https://www.google.com/maps/search/?api=1&amp;query=-30.8968843579261,-55.5393981307237</v>
      </c>
      <c r="G1210" s="16" t="str">
        <f t="array" ref="G1210">"https://earth.google.com/web/search/" &amp; A1210 &amp; "," &amp; B1210</f>
        <v>https://earth.google.com/web/search/-30.8968843579261,-55.5393981307237</v>
      </c>
      <c r="H1210" s="12"/>
      <c r="I1210" s="12"/>
      <c r="J1210" s="12"/>
      <c r="K1210" s="12"/>
      <c r="L1210" s="12"/>
      <c r="M1210" s="12"/>
      <c r="N1210" s="12"/>
      <c r="O1210" s="12"/>
      <c r="P1210" s="12"/>
      <c r="Q1210" s="12"/>
      <c r="R1210" s="12"/>
      <c r="S1210" s="12"/>
      <c r="T1210" s="12"/>
      <c r="U1210" s="12"/>
      <c r="V1210" s="12"/>
      <c r="W1210" s="12"/>
      <c r="X1210" s="12"/>
      <c r="Y1210" s="12"/>
      <c r="Z1210" s="12"/>
      <c r="AA1210" s="12"/>
    </row>
    <row r="1211" ht="26.25" customHeight="1">
      <c r="A1211" s="17" t="s">
        <v>2426</v>
      </c>
      <c r="B1211" s="18" t="s">
        <v>2427</v>
      </c>
      <c r="C1211" s="14">
        <v>1.0</v>
      </c>
      <c r="D1211" s="15">
        <v>78.0</v>
      </c>
      <c r="E1211" s="15">
        <v>5.0</v>
      </c>
      <c r="F1211" s="16" t="str">
        <f t="array" ref="F1211">"https://www.google.com/maps/search/?api=1&amp;query=" &amp; A1211 &amp; "," &amp; B1211</f>
        <v>https://www.google.com/maps/search/?api=1&amp;query=-0.3089658806882,-55.5399743206763</v>
      </c>
      <c r="G1211" s="16" t="str">
        <f t="array" ref="G1211">"https://earth.google.com/web/search/" &amp; A1211 &amp; "," &amp; B1211</f>
        <v>https://earth.google.com/web/search/-0.3089658806882,-55.5399743206763</v>
      </c>
      <c r="H1211" s="12"/>
      <c r="I1211" s="12"/>
      <c r="J1211" s="12"/>
      <c r="K1211" s="12"/>
      <c r="L1211" s="12"/>
      <c r="M1211" s="12"/>
      <c r="N1211" s="12"/>
      <c r="O1211" s="12"/>
      <c r="P1211" s="12"/>
      <c r="Q1211" s="12"/>
      <c r="R1211" s="12"/>
      <c r="S1211" s="12"/>
      <c r="T1211" s="12"/>
      <c r="U1211" s="12"/>
      <c r="V1211" s="12"/>
      <c r="W1211" s="12"/>
      <c r="X1211" s="12"/>
      <c r="Y1211" s="12"/>
      <c r="Z1211" s="12"/>
      <c r="AA1211" s="12"/>
    </row>
    <row r="1212" ht="26.25" customHeight="1">
      <c r="A1212" s="17" t="s">
        <v>2428</v>
      </c>
      <c r="B1212" s="18" t="s">
        <v>2429</v>
      </c>
      <c r="C1212" s="14">
        <v>1.0</v>
      </c>
      <c r="D1212" s="15">
        <v>78.0</v>
      </c>
      <c r="E1212" s="15">
        <v>6.0</v>
      </c>
      <c r="F1212" s="16" t="str">
        <f t="array" ref="F1212">"https://www.google.com/maps/search/?api=1&amp;query=" &amp; A1212 &amp; "," &amp; B1212</f>
        <v>https://www.google.com/maps/search/?api=1&amp;query=-30.8964896014276,-55.5399009675515</v>
      </c>
      <c r="G1212" s="16" t="str">
        <f t="array" ref="G1212">"https://earth.google.com/web/search/" &amp; A1212 &amp; "," &amp; B1212</f>
        <v>https://earth.google.com/web/search/-30.8964896014276,-55.5399009675515</v>
      </c>
      <c r="H1212" s="12"/>
      <c r="I1212" s="12"/>
      <c r="J1212" s="12"/>
      <c r="K1212" s="12"/>
      <c r="L1212" s="12"/>
      <c r="M1212" s="12"/>
      <c r="N1212" s="12"/>
      <c r="O1212" s="12"/>
      <c r="P1212" s="12"/>
      <c r="Q1212" s="12"/>
      <c r="R1212" s="12"/>
      <c r="S1212" s="12"/>
      <c r="T1212" s="12"/>
      <c r="U1212" s="12"/>
      <c r="V1212" s="12"/>
      <c r="W1212" s="12"/>
      <c r="X1212" s="12"/>
      <c r="Y1212" s="12"/>
      <c r="Z1212" s="12"/>
      <c r="AA1212" s="12"/>
    </row>
    <row r="1213" ht="26.25" customHeight="1">
      <c r="A1213" s="17" t="s">
        <v>2430</v>
      </c>
      <c r="B1213" s="18" t="s">
        <v>2431</v>
      </c>
      <c r="C1213" s="14">
        <v>1.0</v>
      </c>
      <c r="D1213" s="15">
        <v>78.0</v>
      </c>
      <c r="E1213" s="15">
        <v>7.0</v>
      </c>
      <c r="F1213" s="16" t="str">
        <f t="array" ref="F1213">"https://www.google.com/maps/search/?api=1&amp;query=" &amp; A1213 &amp; "," &amp; B1213</f>
        <v>https://www.google.com/maps/search/?api=1&amp;query=-30.8961250624666,-55.5396302097219</v>
      </c>
      <c r="G1213" s="16" t="str">
        <f t="array" ref="G1213">"https://earth.google.com/web/search/" &amp; A1213 &amp; "," &amp; B1213</f>
        <v>https://earth.google.com/web/search/-30.8961250624666,-55.5396302097219</v>
      </c>
      <c r="H1213" s="12"/>
      <c r="I1213" s="12"/>
      <c r="J1213" s="12"/>
      <c r="K1213" s="12"/>
      <c r="L1213" s="12"/>
      <c r="M1213" s="12"/>
      <c r="N1213" s="12"/>
      <c r="O1213" s="12"/>
      <c r="P1213" s="12"/>
      <c r="Q1213" s="12"/>
      <c r="R1213" s="12"/>
      <c r="S1213" s="12"/>
      <c r="T1213" s="12"/>
      <c r="U1213" s="12"/>
      <c r="V1213" s="12"/>
      <c r="W1213" s="12"/>
      <c r="X1213" s="12"/>
      <c r="Y1213" s="12"/>
      <c r="Z1213" s="12"/>
      <c r="AA1213" s="12"/>
    </row>
    <row r="1214" ht="26.25" customHeight="1">
      <c r="A1214" s="17" t="s">
        <v>2432</v>
      </c>
      <c r="B1214" s="18" t="s">
        <v>2433</v>
      </c>
      <c r="C1214" s="14">
        <v>1.0</v>
      </c>
      <c r="D1214" s="15">
        <v>78.0</v>
      </c>
      <c r="E1214" s="15">
        <v>8.0</v>
      </c>
      <c r="F1214" s="16" t="str">
        <f t="array" ref="F1214">"https://www.google.com/maps/search/?api=1&amp;query=" &amp; A1214 &amp; "," &amp; B1214</f>
        <v>https://www.google.com/maps/search/?api=1&amp;query=-30.8960437638141,-55.5395877633479</v>
      </c>
      <c r="G1214" s="16" t="str">
        <f t="array" ref="G1214">"https://earth.google.com/web/search/" &amp; A1214 &amp; "," &amp; B1214</f>
        <v>https://earth.google.com/web/search/-30.8960437638141,-55.5395877633479</v>
      </c>
      <c r="H1214" s="12"/>
      <c r="I1214" s="12"/>
      <c r="J1214" s="12"/>
      <c r="K1214" s="12"/>
      <c r="L1214" s="12"/>
      <c r="M1214" s="12"/>
      <c r="N1214" s="12"/>
      <c r="O1214" s="12"/>
      <c r="P1214" s="12"/>
      <c r="Q1214" s="12"/>
      <c r="R1214" s="12"/>
      <c r="S1214" s="12"/>
      <c r="T1214" s="12"/>
      <c r="U1214" s="12"/>
      <c r="V1214" s="12"/>
      <c r="W1214" s="12"/>
      <c r="X1214" s="12"/>
      <c r="Y1214" s="12"/>
      <c r="Z1214" s="12"/>
      <c r="AA1214" s="12"/>
    </row>
    <row r="1215" ht="26.25" customHeight="1">
      <c r="A1215" s="17" t="s">
        <v>2434</v>
      </c>
      <c r="B1215" s="18" t="s">
        <v>2435</v>
      </c>
      <c r="C1215" s="14">
        <v>1.0</v>
      </c>
      <c r="D1215" s="15">
        <v>78.0</v>
      </c>
      <c r="E1215" s="15">
        <v>9.0</v>
      </c>
      <c r="F1215" s="16" t="str">
        <f t="array" ref="F1215">"https://www.google.com/maps/search/?api=1&amp;query=" &amp; A1215 &amp; "," &amp; B1215</f>
        <v>https://www.google.com/maps/search/?api=1&amp;query=-30.8959597047258,-55.5393456717798</v>
      </c>
      <c r="G1215" s="16" t="str">
        <f t="array" ref="G1215">"https://earth.google.com/web/search/" &amp; A1215 &amp; "," &amp; B1215</f>
        <v>https://earth.google.com/web/search/-30.8959597047258,-55.5393456717798</v>
      </c>
      <c r="H1215" s="12"/>
      <c r="I1215" s="12"/>
      <c r="J1215" s="12"/>
      <c r="K1215" s="12"/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/>
    </row>
    <row r="1216" ht="26.25" customHeight="1">
      <c r="A1216" s="17" t="s">
        <v>2436</v>
      </c>
      <c r="B1216" s="18" t="s">
        <v>2437</v>
      </c>
      <c r="C1216" s="14">
        <v>1.0</v>
      </c>
      <c r="D1216" s="15">
        <v>78.0</v>
      </c>
      <c r="E1216" s="15">
        <v>10.0</v>
      </c>
      <c r="F1216" s="16" t="str">
        <f t="array" ref="F1216">"https://www.google.com/maps/search/?api=1&amp;query=" &amp; A1216 &amp; "," &amp; B1216</f>
        <v>https://www.google.com/maps/search/?api=1&amp;query=-30.8960736953033,-55.5391167912065</v>
      </c>
      <c r="G1216" s="16" t="str">
        <f t="array" ref="G1216">"https://earth.google.com/web/search/" &amp; A1216 &amp; "," &amp; B1216</f>
        <v>https://earth.google.com/web/search/-30.8960736953033,-55.5391167912065</v>
      </c>
      <c r="H1216" s="12"/>
      <c r="I1216" s="12"/>
      <c r="J1216" s="12"/>
      <c r="K1216" s="12"/>
      <c r="L1216" s="12"/>
      <c r="M1216" s="12"/>
      <c r="N1216" s="12"/>
      <c r="O1216" s="12"/>
      <c r="P1216" s="12"/>
      <c r="Q1216" s="12"/>
      <c r="R1216" s="12"/>
      <c r="S1216" s="12"/>
      <c r="T1216" s="12"/>
      <c r="U1216" s="12"/>
      <c r="V1216" s="12"/>
      <c r="W1216" s="12"/>
      <c r="X1216" s="12"/>
      <c r="Y1216" s="12"/>
      <c r="Z1216" s="12"/>
      <c r="AA1216" s="12"/>
    </row>
    <row r="1217" ht="26.25" customHeight="1">
      <c r="A1217" s="17" t="s">
        <v>2438</v>
      </c>
      <c r="B1217" s="18" t="s">
        <v>2439</v>
      </c>
      <c r="C1217" s="14">
        <v>1.0</v>
      </c>
      <c r="D1217" s="15">
        <v>78.0</v>
      </c>
      <c r="E1217" s="15">
        <v>11.0</v>
      </c>
      <c r="F1217" s="16" t="str">
        <f t="array" ref="F1217">"https://www.google.com/maps/search/?api=1&amp;query=" &amp; A1217 &amp; "," &amp; B1217</f>
        <v>https://www.google.com/maps/search/?api=1&amp;query=-30.8961390166818,-55.5389877795353</v>
      </c>
      <c r="G1217" s="16" t="str">
        <f t="array" ref="G1217">"https://earth.google.com/web/search/" &amp; A1217 &amp; "," &amp; B1217</f>
        <v>https://earth.google.com/web/search/-30.8961390166818,-55.5389877795353</v>
      </c>
      <c r="H1217" s="12"/>
      <c r="I1217" s="12"/>
      <c r="J1217" s="12"/>
      <c r="K1217" s="12"/>
      <c r="L1217" s="12"/>
      <c r="M1217" s="12"/>
      <c r="N1217" s="12"/>
      <c r="O1217" s="12"/>
      <c r="P1217" s="12"/>
      <c r="Q1217" s="12"/>
      <c r="R1217" s="12"/>
      <c r="S1217" s="12"/>
      <c r="T1217" s="12"/>
      <c r="U1217" s="12"/>
      <c r="V1217" s="12"/>
      <c r="W1217" s="12"/>
      <c r="X1217" s="12"/>
      <c r="Y1217" s="12"/>
      <c r="Z1217" s="12"/>
      <c r="AA1217" s="12"/>
    </row>
    <row r="1218" ht="26.25" customHeight="1">
      <c r="A1218" s="17" t="s">
        <v>2440</v>
      </c>
      <c r="B1218" s="18" t="s">
        <v>2441</v>
      </c>
      <c r="C1218" s="14">
        <v>1.0</v>
      </c>
      <c r="D1218" s="15">
        <v>78.0</v>
      </c>
      <c r="E1218" s="15">
        <v>12.0</v>
      </c>
      <c r="F1218" s="16" t="str">
        <f t="array" ref="F1218">"https://www.google.com/maps/search/?api=1&amp;query=" &amp; A1218 &amp; "," &amp; B1218</f>
        <v>https://www.google.com/maps/search/?api=1&amp;query=-30.8962142188988,-55.5388615483696</v>
      </c>
      <c r="G1218" s="16" t="str">
        <f t="array" ref="G1218">"https://earth.google.com/web/search/" &amp; A1218 &amp; "," &amp; B1218</f>
        <v>https://earth.google.com/web/search/-30.8962142188988,-55.5388615483696</v>
      </c>
      <c r="H1218" s="12"/>
      <c r="I1218" s="12"/>
      <c r="J1218" s="12"/>
      <c r="K1218" s="12"/>
      <c r="L1218" s="12"/>
      <c r="M1218" s="12"/>
      <c r="N1218" s="12"/>
      <c r="O1218" s="12"/>
      <c r="P1218" s="12"/>
      <c r="Q1218" s="12"/>
      <c r="R1218" s="12"/>
      <c r="S1218" s="12"/>
      <c r="T1218" s="12"/>
      <c r="U1218" s="12"/>
      <c r="V1218" s="12"/>
      <c r="W1218" s="12"/>
      <c r="X1218" s="12"/>
      <c r="Y1218" s="12"/>
      <c r="Z1218" s="12"/>
      <c r="AA1218" s="12"/>
    </row>
    <row r="1219" ht="26.25" customHeight="1">
      <c r="A1219" s="17" t="s">
        <v>2442</v>
      </c>
      <c r="B1219" s="18" t="s">
        <v>2443</v>
      </c>
      <c r="C1219" s="14">
        <v>1.0</v>
      </c>
      <c r="D1219" s="15">
        <v>77.0</v>
      </c>
      <c r="E1219" s="15">
        <v>1.0</v>
      </c>
      <c r="F1219" s="16" t="str">
        <f t="array" ref="F1219">"https://www.google.com/maps/search/?api=1&amp;query=" &amp; A1219 &amp; "," &amp; B1219</f>
        <v>https://www.google.com/maps/search/?api=1&amp;query=-30.8964626012366,-5.5538626617819</v>
      </c>
      <c r="G1219" s="16" t="str">
        <f t="array" ref="G1219">"https://earth.google.com/web/search/" &amp; A1219 &amp; "," &amp; B1219</f>
        <v>https://earth.google.com/web/search/-30.8964626012366,-5.5538626617819</v>
      </c>
      <c r="H1219" s="12"/>
      <c r="I1219" s="12"/>
      <c r="J1219" s="12"/>
      <c r="K1219" s="12"/>
      <c r="L1219" s="12"/>
      <c r="M1219" s="12"/>
      <c r="N1219" s="12"/>
      <c r="O1219" s="12"/>
      <c r="P1219" s="12"/>
      <c r="Q1219" s="12"/>
      <c r="R1219" s="12"/>
      <c r="S1219" s="12"/>
      <c r="T1219" s="12"/>
      <c r="U1219" s="12"/>
      <c r="V1219" s="12"/>
      <c r="W1219" s="12"/>
      <c r="X1219" s="12"/>
      <c r="Y1219" s="12"/>
      <c r="Z1219" s="12"/>
      <c r="AA1219" s="12"/>
    </row>
    <row r="1220" ht="26.25" customHeight="1">
      <c r="A1220" s="17" t="s">
        <v>2444</v>
      </c>
      <c r="B1220" s="18" t="s">
        <v>2445</v>
      </c>
      <c r="C1220" s="14">
        <v>1.0</v>
      </c>
      <c r="D1220" s="15">
        <v>77.0</v>
      </c>
      <c r="E1220" s="15">
        <v>2.0</v>
      </c>
      <c r="F1220" s="16" t="str">
        <f t="array" ref="F1220">"https://www.google.com/maps/search/?api=1&amp;query=" &amp; A1220 &amp; "," &amp; B1220</f>
        <v>https://www.google.com/maps/search/?api=1&amp;query=-30.8965446189862,-55.5386850099032</v>
      </c>
      <c r="G1220" s="16" t="str">
        <f t="array" ref="G1220">"https://earth.google.com/web/search/" &amp; A1220 &amp; "," &amp; B1220</f>
        <v>https://earth.google.com/web/search/-30.8965446189862,-55.5386850099032</v>
      </c>
      <c r="H1220" s="12"/>
      <c r="I1220" s="12"/>
      <c r="J1220" s="12"/>
      <c r="K1220" s="12"/>
      <c r="L1220" s="12"/>
      <c r="M1220" s="12"/>
      <c r="N1220" s="12"/>
      <c r="O1220" s="12"/>
      <c r="P1220" s="12"/>
      <c r="Q1220" s="12"/>
      <c r="R1220" s="12"/>
      <c r="S1220" s="12"/>
      <c r="T1220" s="12"/>
      <c r="U1220" s="12"/>
      <c r="V1220" s="12"/>
      <c r="W1220" s="12"/>
      <c r="X1220" s="12"/>
      <c r="Y1220" s="12"/>
      <c r="Z1220" s="12"/>
      <c r="AA1220" s="12"/>
    </row>
    <row r="1221" ht="26.25" customHeight="1">
      <c r="A1221" s="17" t="s">
        <v>2446</v>
      </c>
      <c r="B1221" s="18" t="s">
        <v>2447</v>
      </c>
      <c r="C1221" s="14">
        <v>1.0</v>
      </c>
      <c r="D1221" s="15">
        <v>77.0</v>
      </c>
      <c r="E1221" s="15">
        <v>3.0</v>
      </c>
      <c r="F1221" s="16" t="str">
        <f t="array" ref="F1221">"https://www.google.com/maps/search/?api=1&amp;query=" &amp; A1221 &amp; "," &amp; B1221</f>
        <v>https://www.google.com/maps/search/?api=1&amp;query=-3.0896828355727,-55.5388977491593</v>
      </c>
      <c r="G1221" s="16" t="str">
        <f t="array" ref="G1221">"https://earth.google.com/web/search/" &amp; A1221 &amp; "," &amp; B1221</f>
        <v>https://earth.google.com/web/search/-3.0896828355727,-55.5388977491593</v>
      </c>
      <c r="H1221" s="12"/>
      <c r="I1221" s="12"/>
      <c r="J1221" s="12"/>
      <c r="K1221" s="12"/>
      <c r="L1221" s="12"/>
      <c r="M1221" s="12"/>
      <c r="N1221" s="12"/>
      <c r="O1221" s="12"/>
      <c r="P1221" s="12"/>
      <c r="Q1221" s="12"/>
      <c r="R1221" s="12"/>
      <c r="S1221" s="12"/>
      <c r="T1221" s="12"/>
      <c r="U1221" s="12"/>
      <c r="V1221" s="12"/>
      <c r="W1221" s="12"/>
      <c r="X1221" s="12"/>
      <c r="Y1221" s="12"/>
      <c r="Z1221" s="12"/>
      <c r="AA1221" s="12"/>
    </row>
    <row r="1222" ht="26.25" customHeight="1">
      <c r="A1222" s="17" t="s">
        <v>2448</v>
      </c>
      <c r="B1222" s="18" t="s">
        <v>2449</v>
      </c>
      <c r="C1222" s="14">
        <v>1.0</v>
      </c>
      <c r="D1222" s="15">
        <v>77.0</v>
      </c>
      <c r="E1222" s="15">
        <v>4.0</v>
      </c>
      <c r="F1222" s="16" t="str">
        <f t="array" ref="F1222">"https://www.google.com/maps/search/?api=1&amp;query=" &amp; A1222 &amp; "," &amp; B1222</f>
        <v>https://www.google.com/maps/search/?api=1&amp;query=-30.8968764406173,-5.5538949707548</v>
      </c>
      <c r="G1222" s="16" t="str">
        <f t="array" ref="G1222">"https://earth.google.com/web/search/" &amp; A1222 &amp; "," &amp; B1222</f>
        <v>https://earth.google.com/web/search/-30.8968764406173,-5.5538949707548</v>
      </c>
      <c r="H1222" s="12"/>
      <c r="I1222" s="12"/>
      <c r="J1222" s="12"/>
      <c r="K1222" s="12"/>
      <c r="L1222" s="12"/>
      <c r="M1222" s="12"/>
      <c r="N1222" s="12"/>
      <c r="O1222" s="12"/>
      <c r="P1222" s="12"/>
      <c r="Q1222" s="12"/>
      <c r="R1222" s="12"/>
      <c r="S1222" s="12"/>
      <c r="T1222" s="12"/>
      <c r="U1222" s="12"/>
      <c r="V1222" s="12"/>
      <c r="W1222" s="12"/>
      <c r="X1222" s="12"/>
      <c r="Y1222" s="12"/>
      <c r="Z1222" s="12"/>
      <c r="AA1222" s="12"/>
    </row>
    <row r="1223" ht="26.25" customHeight="1">
      <c r="A1223" s="17" t="s">
        <v>2450</v>
      </c>
      <c r="B1223" s="18" t="s">
        <v>2451</v>
      </c>
      <c r="C1223" s="14">
        <v>1.0</v>
      </c>
      <c r="D1223" s="15">
        <v>77.0</v>
      </c>
      <c r="E1223" s="15">
        <v>5.0</v>
      </c>
      <c r="F1223" s="16" t="str">
        <f t="array" ref="F1223">"https://www.google.com/maps/search/?api=1&amp;query=" &amp; A1223 &amp; "," &amp; B1223</f>
        <v>https://www.google.com/maps/search/?api=1&amp;query=-30.8969406450004,-55.5389796793526</v>
      </c>
      <c r="G1223" s="16" t="str">
        <f t="array" ref="G1223">"https://earth.google.com/web/search/" &amp; A1223 &amp; "," &amp; B1223</f>
        <v>https://earth.google.com/web/search/-30.8969406450004,-55.5389796793526</v>
      </c>
      <c r="H1223" s="12"/>
      <c r="I1223" s="12"/>
      <c r="J1223" s="12"/>
      <c r="K1223" s="12"/>
      <c r="L1223" s="12"/>
      <c r="M1223" s="12"/>
      <c r="N1223" s="12"/>
      <c r="O1223" s="12"/>
      <c r="P1223" s="12"/>
      <c r="Q1223" s="12"/>
      <c r="R1223" s="12"/>
      <c r="S1223" s="12"/>
      <c r="T1223" s="12"/>
      <c r="U1223" s="12"/>
      <c r="V1223" s="12"/>
      <c r="W1223" s="12"/>
      <c r="X1223" s="12"/>
      <c r="Y1223" s="12"/>
      <c r="Z1223" s="12"/>
      <c r="AA1223" s="12"/>
    </row>
    <row r="1224" ht="26.25" customHeight="1">
      <c r="A1224" s="17" t="s">
        <v>2452</v>
      </c>
      <c r="B1224" s="18" t="s">
        <v>2453</v>
      </c>
      <c r="C1224" s="14">
        <v>1.0</v>
      </c>
      <c r="D1224" s="15">
        <v>77.0</v>
      </c>
      <c r="E1224" s="15">
        <v>6.0</v>
      </c>
      <c r="F1224" s="16" t="str">
        <f t="array" ref="F1224">"https://www.google.com/maps/search/?api=1&amp;query=" &amp; A1224 &amp; "," &amp; B1224</f>
        <v>https://www.google.com/maps/search/?api=1&amp;query=-30.8970086943143,-55.5390323463274</v>
      </c>
      <c r="G1224" s="16" t="str">
        <f t="array" ref="G1224">"https://earth.google.com/web/search/" &amp; A1224 &amp; "," &amp; B1224</f>
        <v>https://earth.google.com/web/search/-30.8970086943143,-55.5390323463274</v>
      </c>
      <c r="H1224" s="12"/>
      <c r="I1224" s="12"/>
      <c r="J1224" s="12"/>
      <c r="K1224" s="12"/>
      <c r="L1224" s="12"/>
      <c r="M1224" s="12"/>
      <c r="N1224" s="12"/>
      <c r="O1224" s="12"/>
      <c r="P1224" s="12"/>
      <c r="Q1224" s="12"/>
      <c r="R1224" s="12"/>
      <c r="S1224" s="12"/>
      <c r="T1224" s="12"/>
      <c r="U1224" s="12"/>
      <c r="V1224" s="12"/>
      <c r="W1224" s="12"/>
      <c r="X1224" s="12"/>
      <c r="Y1224" s="12"/>
      <c r="Z1224" s="12"/>
      <c r="AA1224" s="12"/>
    </row>
    <row r="1225" ht="26.25" customHeight="1">
      <c r="A1225" s="17" t="s">
        <v>2454</v>
      </c>
      <c r="B1225" s="18" t="s">
        <v>2455</v>
      </c>
      <c r="C1225" s="14">
        <v>1.0</v>
      </c>
      <c r="D1225" s="15">
        <v>77.0</v>
      </c>
      <c r="E1225" s="15">
        <v>7.0</v>
      </c>
      <c r="F1225" s="16" t="str">
        <f t="array" ref="F1225">"https://www.google.com/maps/search/?api=1&amp;query=" &amp; A1225 &amp; "," &amp; B1225</f>
        <v>https://www.google.com/maps/search/?api=1&amp;query=-30.8972179414473,-5.5538795279808</v>
      </c>
      <c r="G1225" s="16" t="str">
        <f t="array" ref="G1225">"https://earth.google.com/web/search/" &amp; A1225 &amp; "," &amp; B1225</f>
        <v>https://earth.google.com/web/search/-30.8972179414473,-5.5538795279808</v>
      </c>
      <c r="H1225" s="12"/>
      <c r="I1225" s="12"/>
      <c r="J1225" s="12"/>
      <c r="K1225" s="12"/>
      <c r="L1225" s="12"/>
      <c r="M1225" s="12"/>
      <c r="N1225" s="12"/>
      <c r="O1225" s="12"/>
      <c r="P1225" s="12"/>
      <c r="Q1225" s="12"/>
      <c r="R1225" s="12"/>
      <c r="S1225" s="12"/>
      <c r="T1225" s="12"/>
      <c r="U1225" s="12"/>
      <c r="V1225" s="12"/>
      <c r="W1225" s="12"/>
      <c r="X1225" s="12"/>
      <c r="Y1225" s="12"/>
      <c r="Z1225" s="12"/>
      <c r="AA1225" s="12"/>
    </row>
    <row r="1226" ht="26.25" customHeight="1">
      <c r="A1226" s="17" t="s">
        <v>2456</v>
      </c>
      <c r="B1226" s="18" t="s">
        <v>2457</v>
      </c>
      <c r="C1226" s="14">
        <v>1.0</v>
      </c>
      <c r="D1226" s="15">
        <v>77.0</v>
      </c>
      <c r="E1226" s="15">
        <v>8.0</v>
      </c>
      <c r="F1226" s="16" t="str">
        <f t="array" ref="F1226">"https://www.google.com/maps/search/?api=1&amp;query=" &amp; A1226 &amp; "," &amp; B1226</f>
        <v>https://www.google.com/maps/search/?api=1&amp;query=-30.8972380946243,-55.5387387561222</v>
      </c>
      <c r="G1226" s="16" t="str">
        <f t="array" ref="G1226">"https://earth.google.com/web/search/" &amp; A1226 &amp; "," &amp; B1226</f>
        <v>https://earth.google.com/web/search/-30.8972380946243,-55.5387387561222</v>
      </c>
      <c r="H1226" s="12"/>
      <c r="I1226" s="12"/>
      <c r="J1226" s="12"/>
      <c r="K1226" s="12"/>
      <c r="L1226" s="12"/>
      <c r="M1226" s="12"/>
      <c r="N1226" s="12"/>
      <c r="O1226" s="12"/>
      <c r="P1226" s="12"/>
      <c r="Q1226" s="12"/>
      <c r="R1226" s="12"/>
      <c r="S1226" s="12"/>
      <c r="T1226" s="12"/>
      <c r="U1226" s="12"/>
      <c r="V1226" s="12"/>
      <c r="W1226" s="12"/>
      <c r="X1226" s="12"/>
      <c r="Y1226" s="12"/>
      <c r="Z1226" s="12"/>
      <c r="AA1226" s="12"/>
    </row>
    <row r="1227" ht="26.25" customHeight="1">
      <c r="A1227" s="17" t="s">
        <v>2458</v>
      </c>
      <c r="B1227" s="18" t="s">
        <v>2459</v>
      </c>
      <c r="C1227" s="14">
        <v>1.0</v>
      </c>
      <c r="D1227" s="15">
        <v>77.0</v>
      </c>
      <c r="E1227" s="15">
        <v>9.0</v>
      </c>
      <c r="F1227" s="16" t="str">
        <f t="array" ref="F1227">"https://www.google.com/maps/search/?api=1&amp;query=" &amp; A1227 &amp; "," &amp; B1227</f>
        <v>https://www.google.com/maps/search/?api=1&amp;query=-30.8972622018724,-55.5386929178202</v>
      </c>
      <c r="G1227" s="16" t="str">
        <f t="array" ref="G1227">"https://earth.google.com/web/search/" &amp; A1227 &amp; "," &amp; B1227</f>
        <v>https://earth.google.com/web/search/-30.8972622018724,-55.5386929178202</v>
      </c>
      <c r="H1227" s="12"/>
      <c r="I1227" s="12"/>
      <c r="J1227" s="12"/>
      <c r="K1227" s="12"/>
      <c r="L1227" s="12"/>
      <c r="M1227" s="12"/>
      <c r="N1227" s="12"/>
      <c r="O1227" s="12"/>
      <c r="P1227" s="12"/>
      <c r="Q1227" s="12"/>
      <c r="R1227" s="12"/>
      <c r="S1227" s="12"/>
      <c r="T1227" s="12"/>
      <c r="U1227" s="12"/>
      <c r="V1227" s="12"/>
      <c r="W1227" s="12"/>
      <c r="X1227" s="12"/>
      <c r="Y1227" s="12"/>
      <c r="Z1227" s="12"/>
      <c r="AA1227" s="12"/>
    </row>
    <row r="1228" ht="26.25" customHeight="1">
      <c r="A1228" s="17" t="s">
        <v>2460</v>
      </c>
      <c r="B1228" s="18" t="s">
        <v>2461</v>
      </c>
      <c r="C1228" s="14">
        <v>1.0</v>
      </c>
      <c r="D1228" s="15">
        <v>77.0</v>
      </c>
      <c r="E1228" s="15">
        <v>10.0</v>
      </c>
      <c r="F1228" s="16" t="str">
        <f t="array" ref="F1228">"https://www.google.com/maps/search/?api=1&amp;query=" &amp; A1228 &amp; "," &amp; B1228</f>
        <v>https://www.google.com/maps/search/?api=1&amp;query=-30.8973054825383,-55.5386134142694</v>
      </c>
      <c r="G1228" s="16" t="str">
        <f t="array" ref="G1228">"https://earth.google.com/web/search/" &amp; A1228 &amp; "," &amp; B1228</f>
        <v>https://earth.google.com/web/search/-30.8973054825383,-55.5386134142694</v>
      </c>
      <c r="H1228" s="12"/>
      <c r="I1228" s="12"/>
      <c r="J1228" s="12"/>
      <c r="K1228" s="12"/>
      <c r="L1228" s="12"/>
      <c r="M1228" s="12"/>
      <c r="N1228" s="12"/>
      <c r="O1228" s="12"/>
      <c r="P1228" s="12"/>
      <c r="Q1228" s="12"/>
      <c r="R1228" s="12"/>
      <c r="S1228" s="12"/>
      <c r="T1228" s="12"/>
      <c r="U1228" s="12"/>
      <c r="V1228" s="12"/>
      <c r="W1228" s="12"/>
      <c r="X1228" s="12"/>
      <c r="Y1228" s="12"/>
      <c r="Z1228" s="12"/>
      <c r="AA1228" s="12"/>
    </row>
    <row r="1229" ht="26.25" customHeight="1">
      <c r="A1229" s="17" t="s">
        <v>2462</v>
      </c>
      <c r="B1229" s="18" t="s">
        <v>2463</v>
      </c>
      <c r="C1229" s="14">
        <v>1.0</v>
      </c>
      <c r="D1229" s="15">
        <v>76.0</v>
      </c>
      <c r="E1229" s="15">
        <v>1.0</v>
      </c>
      <c r="F1229" s="16" t="str">
        <f t="array" ref="F1229">"https://www.google.com/maps/search/?api=1&amp;query=" &amp; A1229 &amp; "," &amp; B1229</f>
        <v>https://www.google.com/maps/search/?api=1&amp;query=-30.8978742785496,-55.5372296209453</v>
      </c>
      <c r="G1229" s="16" t="str">
        <f t="array" ref="G1229">"https://earth.google.com/web/search/" &amp; A1229 &amp; "," &amp; B1229</f>
        <v>https://earth.google.com/web/search/-30.8978742785496,-55.5372296209453</v>
      </c>
      <c r="H1229" s="12"/>
      <c r="I1229" s="12"/>
      <c r="J1229" s="12"/>
      <c r="K1229" s="12"/>
      <c r="L1229" s="12"/>
      <c r="M1229" s="12"/>
      <c r="N1229" s="12"/>
      <c r="O1229" s="12"/>
      <c r="P1229" s="12"/>
      <c r="Q1229" s="12"/>
      <c r="R1229" s="12"/>
      <c r="S1229" s="12"/>
      <c r="T1229" s="12"/>
      <c r="U1229" s="12"/>
      <c r="V1229" s="12"/>
      <c r="W1229" s="12"/>
      <c r="X1229" s="12"/>
      <c r="Y1229" s="12"/>
      <c r="Z1229" s="12"/>
      <c r="AA1229" s="12"/>
    </row>
    <row r="1230" ht="26.25" customHeight="1">
      <c r="A1230" s="17" t="s">
        <v>2464</v>
      </c>
      <c r="B1230" s="18" t="s">
        <v>2465</v>
      </c>
      <c r="C1230" s="14">
        <v>1.0</v>
      </c>
      <c r="D1230" s="15">
        <v>76.0</v>
      </c>
      <c r="E1230" s="15">
        <v>2.0</v>
      </c>
      <c r="F1230" s="16" t="str">
        <f t="array" ref="F1230">"https://www.google.com/maps/search/?api=1&amp;query=" &amp; A1230 &amp; "," &amp; B1230</f>
        <v>https://www.google.com/maps/search/?api=1&amp;query=-30.8978130778811,-55.5371826522195</v>
      </c>
      <c r="G1230" s="16" t="str">
        <f t="array" ref="G1230">"https://earth.google.com/web/search/" &amp; A1230 &amp; "," &amp; B1230</f>
        <v>https://earth.google.com/web/search/-30.8978130778811,-55.5371826522195</v>
      </c>
      <c r="H1230" s="12"/>
      <c r="I1230" s="12"/>
      <c r="J1230" s="12"/>
      <c r="K1230" s="12"/>
      <c r="L1230" s="12"/>
      <c r="M1230" s="12"/>
      <c r="N1230" s="12"/>
      <c r="O1230" s="12"/>
      <c r="P1230" s="12"/>
      <c r="Q1230" s="12"/>
      <c r="R1230" s="12"/>
      <c r="S1230" s="12"/>
      <c r="T1230" s="12"/>
      <c r="U1230" s="12"/>
      <c r="V1230" s="12"/>
      <c r="W1230" s="12"/>
      <c r="X1230" s="12"/>
      <c r="Y1230" s="12"/>
      <c r="Z1230" s="12"/>
      <c r="AA1230" s="12"/>
    </row>
    <row r="1231" ht="26.25" customHeight="1">
      <c r="A1231" s="17" t="s">
        <v>2466</v>
      </c>
      <c r="B1231" s="18" t="s">
        <v>2467</v>
      </c>
      <c r="C1231" s="14">
        <v>1.0</v>
      </c>
      <c r="D1231" s="15">
        <v>76.0</v>
      </c>
      <c r="E1231" s="15">
        <v>3.0</v>
      </c>
      <c r="F1231" s="16" t="str">
        <f t="array" ref="F1231">"https://www.google.com/maps/search/?api=1&amp;query=" &amp; A1231 &amp; "," &amp; B1231</f>
        <v>https://www.google.com/maps/search/?api=1&amp;query=-30.8977758243543,-55.5371387784613</v>
      </c>
      <c r="G1231" s="16" t="str">
        <f t="array" ref="G1231">"https://earth.google.com/web/search/" &amp; A1231 &amp; "," &amp; B1231</f>
        <v>https://earth.google.com/web/search/-30.8977758243543,-55.5371387784613</v>
      </c>
      <c r="H1231" s="12"/>
      <c r="I1231" s="12"/>
      <c r="J1231" s="12"/>
      <c r="K1231" s="12"/>
      <c r="L1231" s="12"/>
      <c r="M1231" s="12"/>
      <c r="N1231" s="12"/>
      <c r="O1231" s="12"/>
      <c r="P1231" s="12"/>
      <c r="Q1231" s="12"/>
      <c r="R1231" s="12"/>
      <c r="S1231" s="12"/>
      <c r="T1231" s="12"/>
      <c r="U1231" s="12"/>
      <c r="V1231" s="12"/>
      <c r="W1231" s="12"/>
      <c r="X1231" s="12"/>
      <c r="Y1231" s="12"/>
      <c r="Z1231" s="12"/>
      <c r="AA1231" s="12"/>
    </row>
    <row r="1232" ht="26.25" customHeight="1">
      <c r="A1232" s="17" t="s">
        <v>2468</v>
      </c>
      <c r="B1232" s="18" t="s">
        <v>2469</v>
      </c>
      <c r="C1232" s="14">
        <v>1.0</v>
      </c>
      <c r="D1232" s="15">
        <v>76.0</v>
      </c>
      <c r="E1232" s="15">
        <v>4.0</v>
      </c>
      <c r="F1232" s="16" t="str">
        <f t="array" ref="F1232">"https://www.google.com/maps/search/?api=1&amp;query=" &amp; A1232 &amp; "," &amp; B1232</f>
        <v>https://www.google.com/maps/search/?api=1&amp;query=-30.8976993907593,-55.5370900828042</v>
      </c>
      <c r="G1232" s="16" t="str">
        <f t="array" ref="G1232">"https://earth.google.com/web/search/" &amp; A1232 &amp; "," &amp; B1232</f>
        <v>https://earth.google.com/web/search/-30.8976993907593,-55.5370900828042</v>
      </c>
      <c r="H1232" s="12"/>
      <c r="I1232" s="12"/>
      <c r="J1232" s="12"/>
      <c r="K1232" s="12"/>
      <c r="L1232" s="12"/>
      <c r="M1232" s="12"/>
      <c r="N1232" s="12"/>
      <c r="O1232" s="12"/>
      <c r="P1232" s="12"/>
      <c r="Q1232" s="12"/>
      <c r="R1232" s="12"/>
      <c r="S1232" s="12"/>
      <c r="T1232" s="12"/>
      <c r="U1232" s="12"/>
      <c r="V1232" s="12"/>
      <c r="W1232" s="12"/>
      <c r="X1232" s="12"/>
      <c r="Y1232" s="12"/>
      <c r="Z1232" s="12"/>
      <c r="AA1232" s="12"/>
    </row>
    <row r="1233" ht="26.25" customHeight="1">
      <c r="A1233" s="17" t="s">
        <v>2470</v>
      </c>
      <c r="B1233" s="18" t="s">
        <v>2471</v>
      </c>
      <c r="C1233" s="14">
        <v>1.0</v>
      </c>
      <c r="D1233" s="15">
        <v>76.0</v>
      </c>
      <c r="E1233" s="15">
        <v>5.0</v>
      </c>
      <c r="F1233" s="16" t="str">
        <f t="array" ref="F1233">"https://www.google.com/maps/search/?api=1&amp;query=" &amp; A1233 &amp; "," &amp; B1233</f>
        <v>https://www.google.com/maps/search/?api=1&amp;query=-30.8976060447126,-55.5370329687333</v>
      </c>
      <c r="G1233" s="16" t="str">
        <f t="array" ref="G1233">"https://earth.google.com/web/search/" &amp; A1233 &amp; "," &amp; B1233</f>
        <v>https://earth.google.com/web/search/-30.8976060447126,-55.5370329687333</v>
      </c>
      <c r="H1233" s="12"/>
      <c r="I1233" s="12"/>
      <c r="J1233" s="12"/>
      <c r="K1233" s="12"/>
      <c r="L1233" s="12"/>
      <c r="M1233" s="12"/>
      <c r="N1233" s="12"/>
      <c r="O1233" s="12"/>
      <c r="P1233" s="12"/>
      <c r="Q1233" s="12"/>
      <c r="R1233" s="12"/>
      <c r="S1233" s="12"/>
      <c r="T1233" s="12"/>
      <c r="U1233" s="12"/>
      <c r="V1233" s="12"/>
      <c r="W1233" s="12"/>
      <c r="X1233" s="12"/>
      <c r="Y1233" s="12"/>
      <c r="Z1233" s="12"/>
      <c r="AA1233" s="12"/>
    </row>
    <row r="1234" ht="26.25" customHeight="1">
      <c r="A1234" s="17" t="s">
        <v>2472</v>
      </c>
      <c r="B1234" s="18" t="s">
        <v>2473</v>
      </c>
      <c r="C1234" s="14">
        <v>1.0</v>
      </c>
      <c r="D1234" s="15">
        <v>76.0</v>
      </c>
      <c r="E1234" s="15">
        <v>6.0</v>
      </c>
      <c r="F1234" s="16" t="str">
        <f t="array" ref="F1234">"https://www.google.com/maps/search/?api=1&amp;query=" &amp; A1234 &amp; "," &amp; B1234</f>
        <v>https://www.google.com/maps/search/?api=1&amp;query=-30.8974781170179,-55.5369390903648</v>
      </c>
      <c r="G1234" s="16" t="str">
        <f t="array" ref="G1234">"https://earth.google.com/web/search/" &amp; A1234 &amp; "," &amp; B1234</f>
        <v>https://earth.google.com/web/search/-30.8974781170179,-55.5369390903648</v>
      </c>
      <c r="H1234" s="12"/>
      <c r="I1234" s="12"/>
      <c r="J1234" s="12"/>
      <c r="K1234" s="12"/>
      <c r="L1234" s="12"/>
      <c r="M1234" s="12"/>
      <c r="N1234" s="12"/>
      <c r="O1234" s="12"/>
      <c r="P1234" s="12"/>
      <c r="Q1234" s="12"/>
      <c r="R1234" s="12"/>
      <c r="S1234" s="12"/>
      <c r="T1234" s="12"/>
      <c r="U1234" s="12"/>
      <c r="V1234" s="12"/>
      <c r="W1234" s="12"/>
      <c r="X1234" s="12"/>
      <c r="Y1234" s="12"/>
      <c r="Z1234" s="12"/>
      <c r="AA1234" s="12"/>
    </row>
    <row r="1235" ht="26.25" customHeight="1">
      <c r="A1235" s="17" t="s">
        <v>2474</v>
      </c>
      <c r="B1235" s="18" t="s">
        <v>2475</v>
      </c>
      <c r="C1235" s="14">
        <v>1.0</v>
      </c>
      <c r="D1235" s="15">
        <v>76.0</v>
      </c>
      <c r="E1235" s="15">
        <v>7.0</v>
      </c>
      <c r="F1235" s="16" t="str">
        <f t="array" ref="F1235">"https://www.google.com/maps/search/?api=1&amp;query=" &amp; A1235 &amp; "," &amp; B1235</f>
        <v>https://www.google.com/maps/search/?api=1&amp;query=-30.8974002164777,-55.5368883965872</v>
      </c>
      <c r="G1235" s="16" t="str">
        <f t="array" ref="G1235">"https://earth.google.com/web/search/" &amp; A1235 &amp; "," &amp; B1235</f>
        <v>https://earth.google.com/web/search/-30.8974002164777,-55.5368883965872</v>
      </c>
      <c r="H1235" s="12"/>
      <c r="I1235" s="12"/>
      <c r="J1235" s="12"/>
      <c r="K1235" s="12"/>
      <c r="L1235" s="12"/>
      <c r="M1235" s="12"/>
      <c r="N1235" s="12"/>
      <c r="O1235" s="12"/>
      <c r="P1235" s="12"/>
      <c r="Q1235" s="12"/>
      <c r="R1235" s="12"/>
      <c r="S1235" s="12"/>
      <c r="T1235" s="12"/>
      <c r="U1235" s="12"/>
      <c r="V1235" s="12"/>
      <c r="W1235" s="12"/>
      <c r="X1235" s="12"/>
      <c r="Y1235" s="12"/>
      <c r="Z1235" s="12"/>
      <c r="AA1235" s="12"/>
    </row>
    <row r="1236" ht="26.25" customHeight="1">
      <c r="A1236" s="17" t="s">
        <v>2476</v>
      </c>
      <c r="B1236" s="18" t="s">
        <v>2477</v>
      </c>
      <c r="C1236" s="14">
        <v>1.0</v>
      </c>
      <c r="D1236" s="15">
        <v>76.0</v>
      </c>
      <c r="E1236" s="15">
        <v>8.0</v>
      </c>
      <c r="F1236" s="16" t="str">
        <f t="array" ref="F1236">"https://www.google.com/maps/search/?api=1&amp;query=" &amp; A1236 &amp; "," &amp; B1236</f>
        <v>https://www.google.com/maps/search/?api=1&amp;query=-30.8969835301764,-55.5374018777374</v>
      </c>
      <c r="G1236" s="16" t="str">
        <f t="array" ref="G1236">"https://earth.google.com/web/search/" &amp; A1236 &amp; "," &amp; B1236</f>
        <v>https://earth.google.com/web/search/-30.8969835301764,-55.5374018777374</v>
      </c>
      <c r="H1236" s="12"/>
      <c r="I1236" s="12"/>
      <c r="J1236" s="12"/>
      <c r="K1236" s="12"/>
      <c r="L1236" s="12"/>
      <c r="M1236" s="12"/>
      <c r="N1236" s="12"/>
      <c r="O1236" s="12"/>
      <c r="P1236" s="12"/>
      <c r="Q1236" s="12"/>
      <c r="R1236" s="12"/>
      <c r="S1236" s="12"/>
      <c r="T1236" s="12"/>
      <c r="U1236" s="12"/>
      <c r="V1236" s="12"/>
      <c r="W1236" s="12"/>
      <c r="X1236" s="12"/>
      <c r="Y1236" s="12"/>
      <c r="Z1236" s="12"/>
      <c r="AA1236" s="12"/>
    </row>
    <row r="1237" ht="26.25" customHeight="1">
      <c r="A1237" s="17" t="s">
        <v>2478</v>
      </c>
      <c r="B1237" s="18" t="s">
        <v>2479</v>
      </c>
      <c r="C1237" s="14">
        <v>1.0</v>
      </c>
      <c r="D1237" s="15">
        <v>76.0</v>
      </c>
      <c r="E1237" s="15">
        <v>9.0</v>
      </c>
      <c r="F1237" s="16" t="str">
        <f t="array" ref="F1237">"https://www.google.com/maps/search/?api=1&amp;query=" &amp; A1237 &amp; "," &amp; B1237</f>
        <v>https://www.google.com/maps/search/?api=1&amp;query=-30.8969577814029,-55.5374591353061</v>
      </c>
      <c r="G1237" s="16" t="str">
        <f t="array" ref="G1237">"https://earth.google.com/web/search/" &amp; A1237 &amp; "," &amp; B1237</f>
        <v>https://earth.google.com/web/search/-30.8969577814029,-55.5374591353061</v>
      </c>
      <c r="H1237" s="12"/>
      <c r="I1237" s="12"/>
      <c r="J1237" s="12"/>
      <c r="K1237" s="12"/>
      <c r="L1237" s="12"/>
      <c r="M1237" s="12"/>
      <c r="N1237" s="12"/>
      <c r="O1237" s="12"/>
      <c r="P1237" s="12"/>
      <c r="Q1237" s="12"/>
      <c r="R1237" s="12"/>
      <c r="S1237" s="12"/>
      <c r="T1237" s="12"/>
      <c r="U1237" s="12"/>
      <c r="V1237" s="12"/>
      <c r="W1237" s="12"/>
      <c r="X1237" s="12"/>
      <c r="Y1237" s="12"/>
      <c r="Z1237" s="12"/>
      <c r="AA1237" s="12"/>
    </row>
    <row r="1238" ht="26.25" customHeight="1">
      <c r="A1238" s="17" t="s">
        <v>2480</v>
      </c>
      <c r="B1238" s="18" t="s">
        <v>2481</v>
      </c>
      <c r="C1238" s="14">
        <v>1.0</v>
      </c>
      <c r="D1238" s="15">
        <v>76.0</v>
      </c>
      <c r="E1238" s="15">
        <v>10.0</v>
      </c>
      <c r="F1238" s="16" t="str">
        <f t="array" ref="F1238">"https://www.google.com/maps/search/?api=1&amp;query=" &amp; A1238 &amp; "," &amp; B1238</f>
        <v>https://www.google.com/maps/search/?api=1&amp;query=-30.8969318614729,-55.5375051170701</v>
      </c>
      <c r="G1238" s="16" t="str">
        <f t="array" ref="G1238">"https://earth.google.com/web/search/" &amp; A1238 &amp; "," &amp; B1238</f>
        <v>https://earth.google.com/web/search/-30.8969318614729,-55.5375051170701</v>
      </c>
      <c r="H1238" s="12"/>
      <c r="I1238" s="12"/>
      <c r="J1238" s="12"/>
      <c r="K1238" s="12"/>
      <c r="L1238" s="12"/>
      <c r="M1238" s="12"/>
      <c r="N1238" s="12"/>
      <c r="O1238" s="12"/>
      <c r="P1238" s="12"/>
      <c r="Q1238" s="12"/>
      <c r="R1238" s="12"/>
      <c r="S1238" s="12"/>
      <c r="T1238" s="12"/>
      <c r="U1238" s="12"/>
      <c r="V1238" s="12"/>
      <c r="W1238" s="12"/>
      <c r="X1238" s="12"/>
      <c r="Y1238" s="12"/>
      <c r="Z1238" s="12"/>
      <c r="AA1238" s="12"/>
    </row>
    <row r="1239" ht="26.25" customHeight="1">
      <c r="A1239" s="17" t="s">
        <v>2482</v>
      </c>
      <c r="B1239" s="18" t="s">
        <v>2483</v>
      </c>
      <c r="C1239" s="14">
        <v>1.0</v>
      </c>
      <c r="D1239" s="15">
        <v>76.0</v>
      </c>
      <c r="E1239" s="15">
        <v>11.0</v>
      </c>
      <c r="F1239" s="16" t="str">
        <f t="array" ref="F1239">"https://www.google.com/maps/search/?api=1&amp;query=" &amp; A1239 &amp; "," &amp; B1239</f>
        <v>https://www.google.com/maps/search/?api=1&amp;query=-30.8968957440172,-55.5375627035909</v>
      </c>
      <c r="G1239" s="16" t="str">
        <f t="array" ref="G1239">"https://earth.google.com/web/search/" &amp; A1239 &amp; "," &amp; B1239</f>
        <v>https://earth.google.com/web/search/-30.8968957440172,-55.5375627035909</v>
      </c>
      <c r="H1239" s="12"/>
      <c r="I1239" s="12"/>
      <c r="J1239" s="12"/>
      <c r="K1239" s="12"/>
      <c r="L1239" s="12"/>
      <c r="M1239" s="12"/>
      <c r="N1239" s="12"/>
      <c r="O1239" s="12"/>
      <c r="P1239" s="12"/>
      <c r="Q1239" s="12"/>
      <c r="R1239" s="12"/>
      <c r="S1239" s="12"/>
      <c r="T1239" s="12"/>
      <c r="U1239" s="12"/>
      <c r="V1239" s="12"/>
      <c r="W1239" s="12"/>
      <c r="X1239" s="12"/>
      <c r="Y1239" s="12"/>
      <c r="Z1239" s="12"/>
      <c r="AA1239" s="12"/>
    </row>
    <row r="1240" ht="26.25" customHeight="1">
      <c r="A1240" s="17" t="s">
        <v>2484</v>
      </c>
      <c r="B1240" s="18" t="s">
        <v>2485</v>
      </c>
      <c r="C1240" s="14">
        <v>1.0</v>
      </c>
      <c r="D1240" s="15">
        <v>76.0</v>
      </c>
      <c r="E1240" s="15">
        <v>12.0</v>
      </c>
      <c r="F1240" s="16" t="str">
        <f t="array" ref="F1240">"https://www.google.com/maps/search/?api=1&amp;query=" &amp; A1240 &amp; "," &amp; B1240</f>
        <v>https://www.google.com/maps/search/?api=1&amp;query=-30.8969503529115,-55.5376814422364</v>
      </c>
      <c r="G1240" s="16" t="str">
        <f t="array" ref="G1240">"https://earth.google.com/web/search/" &amp; A1240 &amp; "," &amp; B1240</f>
        <v>https://earth.google.com/web/search/-30.8969503529115,-55.5376814422364</v>
      </c>
      <c r="H1240" s="12"/>
      <c r="I1240" s="12"/>
      <c r="J1240" s="12"/>
      <c r="K1240" s="12"/>
      <c r="L1240" s="12"/>
      <c r="M1240" s="12"/>
      <c r="N1240" s="12"/>
      <c r="O1240" s="12"/>
      <c r="P1240" s="12"/>
      <c r="Q1240" s="12"/>
      <c r="R1240" s="12"/>
      <c r="S1240" s="12"/>
      <c r="T1240" s="12"/>
      <c r="U1240" s="12"/>
      <c r="V1240" s="12"/>
      <c r="W1240" s="12"/>
      <c r="X1240" s="12"/>
      <c r="Y1240" s="12"/>
      <c r="Z1240" s="12"/>
      <c r="AA1240" s="12"/>
    </row>
    <row r="1241" ht="26.25" customHeight="1">
      <c r="A1241" s="17" t="s">
        <v>2486</v>
      </c>
      <c r="B1241" s="18" t="s">
        <v>2487</v>
      </c>
      <c r="C1241" s="14">
        <v>1.0</v>
      </c>
      <c r="D1241" s="15">
        <v>76.0</v>
      </c>
      <c r="E1241" s="15">
        <v>13.0</v>
      </c>
      <c r="F1241" s="16" t="str">
        <f t="array" ref="F1241">"https://www.google.com/maps/search/?api=1&amp;query=" &amp; A1241 &amp; "," &amp; B1241</f>
        <v>https://www.google.com/maps/search/?api=1&amp;query=-30.8979365247093,-55.5374225903332</v>
      </c>
      <c r="G1241" s="16" t="str">
        <f t="array" ref="G1241">"https://earth.google.com/web/search/" &amp; A1241 &amp; "," &amp; B1241</f>
        <v>https://earth.google.com/web/search/-30.8979365247093,-55.5374225903332</v>
      </c>
      <c r="H1241" s="12"/>
      <c r="I1241" s="12"/>
      <c r="J1241" s="12"/>
      <c r="K1241" s="12"/>
      <c r="L1241" s="12"/>
      <c r="M1241" s="12"/>
      <c r="N1241" s="12"/>
      <c r="O1241" s="12"/>
      <c r="P1241" s="12"/>
      <c r="Q1241" s="12"/>
      <c r="R1241" s="12"/>
      <c r="S1241" s="12"/>
      <c r="T1241" s="12"/>
      <c r="U1241" s="12"/>
      <c r="V1241" s="12"/>
      <c r="W1241" s="12"/>
      <c r="X1241" s="12"/>
      <c r="Y1241" s="12"/>
      <c r="Z1241" s="12"/>
      <c r="AA1241" s="12"/>
    </row>
    <row r="1242" ht="26.25" customHeight="1">
      <c r="A1242" s="17" t="s">
        <v>2488</v>
      </c>
      <c r="B1242" s="18" t="s">
        <v>2489</v>
      </c>
      <c r="C1242" s="14">
        <v>1.0</v>
      </c>
      <c r="D1242" s="15">
        <v>75.0</v>
      </c>
      <c r="E1242" s="15">
        <v>1.0</v>
      </c>
      <c r="F1242" s="16" t="str">
        <f t="array" ref="F1242">"https://www.google.com/maps/search/?api=1&amp;query=" &amp; A1242 &amp; "," &amp; B1242</f>
        <v>https://www.google.com/maps/search/?api=1&amp;query=-30.8978089958384,-5.5535927781608</v>
      </c>
      <c r="G1242" s="16" t="str">
        <f t="array" ref="G1242">"https://earth.google.com/web/search/" &amp; A1242 &amp; "," &amp; B1242</f>
        <v>https://earth.google.com/web/search/-30.8978089958384,-5.5535927781608</v>
      </c>
      <c r="H1242" s="12"/>
      <c r="I1242" s="12"/>
      <c r="J1242" s="12"/>
      <c r="K1242" s="12"/>
      <c r="L1242" s="12"/>
      <c r="M1242" s="12"/>
      <c r="N1242" s="12"/>
      <c r="O1242" s="12"/>
      <c r="P1242" s="12"/>
      <c r="Q1242" s="12"/>
      <c r="R1242" s="12"/>
      <c r="S1242" s="12"/>
      <c r="T1242" s="12"/>
      <c r="U1242" s="12"/>
      <c r="V1242" s="12"/>
      <c r="W1242" s="12"/>
      <c r="X1242" s="12"/>
      <c r="Y1242" s="12"/>
      <c r="Z1242" s="12"/>
      <c r="AA1242" s="12"/>
    </row>
    <row r="1243" ht="26.25" customHeight="1">
      <c r="A1243" s="17" t="s">
        <v>2490</v>
      </c>
      <c r="B1243" s="18" t="s">
        <v>2491</v>
      </c>
      <c r="C1243" s="14">
        <v>1.0</v>
      </c>
      <c r="D1243" s="15">
        <v>75.0</v>
      </c>
      <c r="E1243" s="15">
        <v>2.0</v>
      </c>
      <c r="F1243" s="16" t="str">
        <f t="array" ref="F1243">"https://www.google.com/maps/search/?api=1&amp;query=" &amp; A1243 &amp; "," &amp; B1243</f>
        <v>https://www.google.com/maps/search/?api=1&amp;query=-30.8982188415444,-55.5362273635869</v>
      </c>
      <c r="G1243" s="16" t="str">
        <f t="array" ref="G1243">"https://earth.google.com/web/search/" &amp; A1243 &amp; "," &amp; B1243</f>
        <v>https://earth.google.com/web/search/-30.8982188415444,-55.5362273635869</v>
      </c>
      <c r="H1243" s="12"/>
      <c r="I1243" s="12"/>
      <c r="J1243" s="12"/>
      <c r="K1243" s="12"/>
      <c r="L1243" s="12"/>
      <c r="M1243" s="12"/>
      <c r="N1243" s="12"/>
      <c r="O1243" s="12"/>
      <c r="P1243" s="12"/>
      <c r="Q1243" s="12"/>
      <c r="R1243" s="12"/>
      <c r="S1243" s="12"/>
      <c r="T1243" s="12"/>
      <c r="U1243" s="12"/>
      <c r="V1243" s="12"/>
      <c r="W1243" s="12"/>
      <c r="X1243" s="12"/>
      <c r="Y1243" s="12"/>
      <c r="Z1243" s="12"/>
      <c r="AA1243" s="12"/>
    </row>
    <row r="1244" ht="26.25" customHeight="1">
      <c r="A1244" s="17" t="s">
        <v>2492</v>
      </c>
      <c r="B1244" s="18" t="s">
        <v>2493</v>
      </c>
      <c r="C1244" s="14">
        <v>1.0</v>
      </c>
      <c r="D1244" s="15">
        <v>75.0</v>
      </c>
      <c r="E1244" s="15">
        <v>3.0</v>
      </c>
      <c r="F1244" s="16" t="str">
        <f t="array" ref="F1244">"https://www.google.com/maps/search/?api=1&amp;query=" &amp; A1244 &amp; "," &amp; B1244</f>
        <v>https://www.google.com/maps/search/?api=1&amp;query=-30.8982263468621,-55.5368865159951</v>
      </c>
      <c r="G1244" s="16" t="str">
        <f t="array" ref="G1244">"https://earth.google.com/web/search/" &amp; A1244 &amp; "," &amp; B1244</f>
        <v>https://earth.google.com/web/search/-30.8982263468621,-55.5368865159951</v>
      </c>
      <c r="H1244" s="12"/>
      <c r="I1244" s="12"/>
      <c r="J1244" s="12"/>
      <c r="K1244" s="12"/>
      <c r="L1244" s="12"/>
      <c r="M1244" s="12"/>
      <c r="N1244" s="12"/>
      <c r="O1244" s="12"/>
      <c r="P1244" s="12"/>
      <c r="Q1244" s="12"/>
      <c r="R1244" s="12"/>
      <c r="S1244" s="12"/>
      <c r="T1244" s="12"/>
      <c r="U1244" s="12"/>
      <c r="V1244" s="12"/>
      <c r="W1244" s="12"/>
      <c r="X1244" s="12"/>
      <c r="Y1244" s="12"/>
      <c r="Z1244" s="12"/>
      <c r="AA1244" s="12"/>
    </row>
    <row r="1245" ht="26.25" customHeight="1">
      <c r="A1245" s="17" t="s">
        <v>2494</v>
      </c>
      <c r="B1245" s="18" t="s">
        <v>2495</v>
      </c>
      <c r="C1245" s="14">
        <v>1.0</v>
      </c>
      <c r="D1245" s="15">
        <v>75.0</v>
      </c>
      <c r="E1245" s="15">
        <v>4.0</v>
      </c>
      <c r="F1245" s="16" t="str">
        <f t="array" ref="F1245">"https://www.google.com/maps/search/?api=1&amp;query=" &amp; A1245 &amp; "," &amp; B1245</f>
        <v>https://www.google.com/maps/search/?api=1&amp;query=-30.8980146178878,-55.5371913696195</v>
      </c>
      <c r="G1245" s="16" t="str">
        <f t="array" ref="G1245">"https://earth.google.com/web/search/" &amp; A1245 &amp; "," &amp; B1245</f>
        <v>https://earth.google.com/web/search/-30.8980146178878,-55.5371913696195</v>
      </c>
      <c r="H1245" s="12"/>
      <c r="I1245" s="12"/>
      <c r="J1245" s="12"/>
      <c r="K1245" s="12"/>
      <c r="L1245" s="12"/>
      <c r="M1245" s="12"/>
      <c r="N1245" s="12"/>
      <c r="O1245" s="12"/>
      <c r="P1245" s="12"/>
      <c r="Q1245" s="12"/>
      <c r="R1245" s="12"/>
      <c r="S1245" s="12"/>
      <c r="T1245" s="12"/>
      <c r="U1245" s="12"/>
      <c r="V1245" s="12"/>
      <c r="W1245" s="12"/>
      <c r="X1245" s="12"/>
      <c r="Y1245" s="12"/>
      <c r="Z1245" s="12"/>
      <c r="AA1245" s="12"/>
    </row>
    <row r="1246" ht="26.25" customHeight="1">
      <c r="A1246" s="17" t="s">
        <v>2496</v>
      </c>
      <c r="B1246" s="18" t="s">
        <v>2497</v>
      </c>
      <c r="C1246" s="14">
        <v>1.0</v>
      </c>
      <c r="D1246" s="15">
        <v>75.0</v>
      </c>
      <c r="E1246" s="15">
        <v>5.0</v>
      </c>
      <c r="F1246" s="16" t="str">
        <f t="array" ref="F1246">"https://www.google.com/maps/search/?api=1&amp;query=" &amp; A1246 &amp; "," &amp; B1246</f>
        <v>https://www.google.com/maps/search/?api=1&amp;query=-3.0897963249291,-55.5371454767079</v>
      </c>
      <c r="G1246" s="16" t="str">
        <f t="array" ref="G1246">"https://earth.google.com/web/search/" &amp; A1246 &amp; "," &amp; B1246</f>
        <v>https://earth.google.com/web/search/-3.0897963249291,-55.5371454767079</v>
      </c>
      <c r="H1246" s="12"/>
      <c r="I1246" s="12"/>
      <c r="J1246" s="12"/>
      <c r="K1246" s="12"/>
      <c r="L1246" s="12"/>
      <c r="M1246" s="12"/>
      <c r="N1246" s="12"/>
      <c r="O1246" s="12"/>
      <c r="P1246" s="12"/>
      <c r="Q1246" s="12"/>
      <c r="R1246" s="12"/>
      <c r="S1246" s="12"/>
      <c r="T1246" s="12"/>
      <c r="U1246" s="12"/>
      <c r="V1246" s="12"/>
      <c r="W1246" s="12"/>
      <c r="X1246" s="12"/>
      <c r="Y1246" s="12"/>
      <c r="Z1246" s="12"/>
      <c r="AA1246" s="12"/>
    </row>
    <row r="1247" ht="26.25" customHeight="1">
      <c r="A1247" s="17" t="s">
        <v>2498</v>
      </c>
      <c r="B1247" s="18" t="s">
        <v>2499</v>
      </c>
      <c r="C1247" s="14">
        <v>1.0</v>
      </c>
      <c r="D1247" s="15">
        <v>75.0</v>
      </c>
      <c r="E1247" s="15">
        <v>6.0</v>
      </c>
      <c r="F1247" s="16" t="str">
        <f t="array" ref="F1247">"https://www.google.com/maps/search/?api=1&amp;query=" &amp; A1247 &amp; "," &amp; B1247</f>
        <v>https://www.google.com/maps/search/?api=1&amp;query=-3.0897746548529,-55.5369831526619</v>
      </c>
      <c r="G1247" s="16" t="str">
        <f t="array" ref="G1247">"https://earth.google.com/web/search/" &amp; A1247 &amp; "," &amp; B1247</f>
        <v>https://earth.google.com/web/search/-3.0897746548529,-55.5369831526619</v>
      </c>
      <c r="H1247" s="12"/>
      <c r="I1247" s="12"/>
      <c r="J1247" s="12"/>
      <c r="K1247" s="12"/>
      <c r="L1247" s="12"/>
      <c r="M1247" s="12"/>
      <c r="N1247" s="12"/>
      <c r="O1247" s="12"/>
      <c r="P1247" s="12"/>
      <c r="Q1247" s="12"/>
      <c r="R1247" s="12"/>
      <c r="S1247" s="12"/>
      <c r="T1247" s="12"/>
      <c r="U1247" s="12"/>
      <c r="V1247" s="12"/>
      <c r="W1247" s="12"/>
      <c r="X1247" s="12"/>
      <c r="Y1247" s="12"/>
      <c r="Z1247" s="12"/>
      <c r="AA1247" s="12"/>
    </row>
    <row r="1248" ht="26.25" customHeight="1">
      <c r="A1248" s="17" t="s">
        <v>2500</v>
      </c>
      <c r="B1248" s="18" t="s">
        <v>2501</v>
      </c>
      <c r="C1248" s="14">
        <v>1.0</v>
      </c>
      <c r="D1248" s="15">
        <v>75.0</v>
      </c>
      <c r="E1248" s="15">
        <v>7.0</v>
      </c>
      <c r="F1248" s="16" t="str">
        <f t="array" ref="F1248">"https://www.google.com/maps/search/?api=1&amp;query=" &amp; A1248 &amp; "," &amp; B1248</f>
        <v>https://www.google.com/maps/search/?api=1&amp;query=-30.8976493498301,-55.5369286107194</v>
      </c>
      <c r="G1248" s="16" t="str">
        <f t="array" ref="G1248">"https://earth.google.com/web/search/" &amp; A1248 &amp; "," &amp; B1248</f>
        <v>https://earth.google.com/web/search/-30.8976493498301,-55.5369286107194</v>
      </c>
      <c r="H1248" s="12"/>
      <c r="I1248" s="12"/>
      <c r="J1248" s="12"/>
      <c r="K1248" s="12"/>
      <c r="L1248" s="12"/>
      <c r="M1248" s="12"/>
      <c r="N1248" s="12"/>
      <c r="O1248" s="12"/>
      <c r="P1248" s="12"/>
      <c r="Q1248" s="12"/>
      <c r="R1248" s="12"/>
      <c r="S1248" s="12"/>
      <c r="T1248" s="12"/>
      <c r="U1248" s="12"/>
      <c r="V1248" s="12"/>
      <c r="W1248" s="12"/>
      <c r="X1248" s="12"/>
      <c r="Y1248" s="12"/>
      <c r="Z1248" s="12"/>
      <c r="AA1248" s="12"/>
    </row>
    <row r="1249" ht="26.25" customHeight="1">
      <c r="A1249" s="17" t="s">
        <v>2502</v>
      </c>
      <c r="B1249" s="18" t="s">
        <v>2503</v>
      </c>
      <c r="C1249" s="14">
        <v>1.0</v>
      </c>
      <c r="D1249" s="15">
        <v>75.0</v>
      </c>
      <c r="E1249" s="15">
        <v>8.0</v>
      </c>
      <c r="F1249" s="16" t="str">
        <f t="array" ref="F1249">"https://www.google.com/maps/search/?api=1&amp;query=" &amp; A1249 &amp; "," &amp; B1249</f>
        <v>https://www.google.com/maps/search/?api=1&amp;query=-30.8976059943484,-55.5362292930463</v>
      </c>
      <c r="G1249" s="16" t="str">
        <f t="array" ref="G1249">"https://earth.google.com/web/search/" &amp; A1249 &amp; "," &amp; B1249</f>
        <v>https://earth.google.com/web/search/-30.8976059943484,-55.5362292930463</v>
      </c>
      <c r="H1249" s="12"/>
      <c r="I1249" s="12"/>
      <c r="J1249" s="12"/>
      <c r="K1249" s="12"/>
      <c r="L1249" s="12"/>
      <c r="M1249" s="12"/>
      <c r="N1249" s="12"/>
      <c r="O1249" s="12"/>
      <c r="P1249" s="12"/>
      <c r="Q1249" s="12"/>
      <c r="R1249" s="12"/>
      <c r="S1249" s="12"/>
      <c r="T1249" s="12"/>
      <c r="U1249" s="12"/>
      <c r="V1249" s="12"/>
      <c r="W1249" s="12"/>
      <c r="X1249" s="12"/>
      <c r="Y1249" s="12"/>
      <c r="Z1249" s="12"/>
      <c r="AA1249" s="12"/>
    </row>
    <row r="1250" ht="26.25" customHeight="1">
      <c r="A1250" s="17" t="s">
        <v>2504</v>
      </c>
      <c r="B1250" s="18" t="s">
        <v>2505</v>
      </c>
      <c r="C1250" s="14">
        <v>1.0</v>
      </c>
      <c r="D1250" s="15">
        <v>74.0</v>
      </c>
      <c r="E1250" s="15">
        <v>1.0</v>
      </c>
      <c r="F1250" s="16" t="str">
        <f t="array" ref="F1250">"https://www.google.com/maps/search/?api=1&amp;query=" &amp; A1250 &amp; "," &amp; B1250</f>
        <v>https://www.google.com/maps/search/?api=1&amp;query=-30.8988967802284,-55.5354411890879</v>
      </c>
      <c r="G1250" s="16" t="str">
        <f t="array" ref="G1250">"https://earth.google.com/web/search/" &amp; A1250 &amp; "," &amp; B1250</f>
        <v>https://earth.google.com/web/search/-30.8988967802284,-55.5354411890879</v>
      </c>
      <c r="H1250" s="12"/>
      <c r="I1250" s="12"/>
      <c r="J1250" s="12"/>
      <c r="K1250" s="12"/>
      <c r="L1250" s="12"/>
      <c r="M1250" s="12"/>
      <c r="N1250" s="12"/>
      <c r="O1250" s="12"/>
      <c r="P1250" s="12"/>
      <c r="Q1250" s="12"/>
      <c r="R1250" s="12"/>
      <c r="S1250" s="12"/>
      <c r="T1250" s="12"/>
      <c r="U1250" s="12"/>
      <c r="V1250" s="12"/>
      <c r="W1250" s="12"/>
      <c r="X1250" s="12"/>
      <c r="Y1250" s="12"/>
      <c r="Z1250" s="12"/>
      <c r="AA1250" s="12"/>
    </row>
    <row r="1251" ht="26.25" customHeight="1">
      <c r="A1251" s="17" t="s">
        <v>2506</v>
      </c>
      <c r="B1251" s="18" t="s">
        <v>2507</v>
      </c>
      <c r="C1251" s="14">
        <v>1.0</v>
      </c>
      <c r="D1251" s="15">
        <v>74.0</v>
      </c>
      <c r="E1251" s="15">
        <v>2.0</v>
      </c>
      <c r="F1251" s="16" t="str">
        <f t="array" ref="F1251">"https://www.google.com/maps/search/?api=1&amp;query=" &amp; A1251 &amp; "," &amp; B1251</f>
        <v>https://www.google.com/maps/search/?api=1&amp;query=-30.8987268779951,-55.5353168640542</v>
      </c>
      <c r="G1251" s="16" t="str">
        <f t="array" ref="G1251">"https://earth.google.com/web/search/" &amp; A1251 &amp; "," &amp; B1251</f>
        <v>https://earth.google.com/web/search/-30.8987268779951,-55.5353168640542</v>
      </c>
      <c r="H1251" s="12"/>
      <c r="I1251" s="12"/>
      <c r="J1251" s="12"/>
      <c r="K1251" s="12"/>
      <c r="L1251" s="12"/>
      <c r="M1251" s="12"/>
      <c r="N1251" s="12"/>
      <c r="O1251" s="12"/>
      <c r="P1251" s="12"/>
      <c r="Q1251" s="12"/>
      <c r="R1251" s="12"/>
      <c r="S1251" s="12"/>
      <c r="T1251" s="12"/>
      <c r="U1251" s="12"/>
      <c r="V1251" s="12"/>
      <c r="W1251" s="12"/>
      <c r="X1251" s="12"/>
      <c r="Y1251" s="12"/>
      <c r="Z1251" s="12"/>
      <c r="AA1251" s="12"/>
    </row>
    <row r="1252" ht="26.25" customHeight="1">
      <c r="A1252" s="17" t="s">
        <v>2508</v>
      </c>
      <c r="B1252" s="18" t="s">
        <v>2509</v>
      </c>
      <c r="C1252" s="14">
        <v>1.0</v>
      </c>
      <c r="D1252" s="15">
        <v>74.0</v>
      </c>
      <c r="E1252" s="15">
        <v>3.0</v>
      </c>
      <c r="F1252" s="16" t="str">
        <f t="array" ref="F1252">"https://www.google.com/maps/search/?api=1&amp;query=" &amp; A1252 &amp; "," &amp; B1252</f>
        <v>https://www.google.com/maps/search/?api=1&amp;query=-30.8981437920385,-55.5352160424994</v>
      </c>
      <c r="G1252" s="16" t="str">
        <f t="array" ref="G1252">"https://earth.google.com/web/search/" &amp; A1252 &amp; "," &amp; B1252</f>
        <v>https://earth.google.com/web/search/-30.8981437920385,-55.5352160424994</v>
      </c>
      <c r="H1252" s="12"/>
      <c r="I1252" s="12"/>
      <c r="J1252" s="12"/>
      <c r="K1252" s="12"/>
      <c r="L1252" s="12"/>
      <c r="M1252" s="12"/>
      <c r="N1252" s="12"/>
      <c r="O1252" s="12"/>
      <c r="P1252" s="12"/>
      <c r="Q1252" s="12"/>
      <c r="R1252" s="12"/>
      <c r="S1252" s="12"/>
      <c r="T1252" s="12"/>
      <c r="U1252" s="12"/>
      <c r="V1252" s="12"/>
      <c r="W1252" s="12"/>
      <c r="X1252" s="12"/>
      <c r="Y1252" s="12"/>
      <c r="Z1252" s="12"/>
      <c r="AA1252" s="12"/>
    </row>
    <row r="1253" ht="26.25" customHeight="1">
      <c r="A1253" s="17" t="s">
        <v>2510</v>
      </c>
      <c r="B1253" s="18" t="s">
        <v>2511</v>
      </c>
      <c r="C1253" s="14">
        <v>1.0</v>
      </c>
      <c r="D1253" s="15">
        <v>74.0</v>
      </c>
      <c r="E1253" s="15">
        <v>4.0</v>
      </c>
      <c r="F1253" s="16" t="str">
        <f t="array" ref="F1253">"https://www.google.com/maps/search/?api=1&amp;query=" &amp; A1253 &amp; "," &amp; B1253</f>
        <v>https://www.google.com/maps/search/?api=1&amp;query=-3.0897962579011,-55.5355506626906</v>
      </c>
      <c r="G1253" s="16" t="str">
        <f t="array" ref="G1253">"https://earth.google.com/web/search/" &amp; A1253 &amp; "," &amp; B1253</f>
        <v>https://earth.google.com/web/search/-3.0897962579011,-55.5355506626906</v>
      </c>
      <c r="H1253" s="12"/>
      <c r="I1253" s="12"/>
      <c r="J1253" s="12"/>
      <c r="K1253" s="12"/>
      <c r="L1253" s="12"/>
      <c r="M1253" s="12"/>
      <c r="N1253" s="12"/>
      <c r="O1253" s="12"/>
      <c r="P1253" s="12"/>
      <c r="Q1253" s="12"/>
      <c r="R1253" s="12"/>
      <c r="S1253" s="12"/>
      <c r="T1253" s="12"/>
      <c r="U1253" s="12"/>
      <c r="V1253" s="12"/>
      <c r="W1253" s="12"/>
      <c r="X1253" s="12"/>
      <c r="Y1253" s="12"/>
      <c r="Z1253" s="12"/>
      <c r="AA1253" s="12"/>
    </row>
    <row r="1254" ht="26.25" customHeight="1">
      <c r="A1254" s="17" t="s">
        <v>2512</v>
      </c>
      <c r="B1254" s="18" t="s">
        <v>2513</v>
      </c>
      <c r="C1254" s="14">
        <v>1.0</v>
      </c>
      <c r="D1254" s="15">
        <v>74.0</v>
      </c>
      <c r="E1254" s="15">
        <v>5.0</v>
      </c>
      <c r="F1254" s="16" t="str">
        <f t="array" ref="F1254">"https://www.google.com/maps/search/?api=1&amp;query=" &amp; A1254 &amp; "," &amp; B1254</f>
        <v>https://www.google.com/maps/search/?api=1&amp;query=-30.8984471531176,-5.5536238993896</v>
      </c>
      <c r="G1254" s="16" t="str">
        <f t="array" ref="G1254">"https://earth.google.com/web/search/" &amp; A1254 &amp; "," &amp; B1254</f>
        <v>https://earth.google.com/web/search/-30.8984471531176,-5.5536238993896</v>
      </c>
      <c r="H1254" s="12"/>
      <c r="I1254" s="12"/>
      <c r="J1254" s="12"/>
      <c r="K1254" s="12"/>
      <c r="L1254" s="12"/>
      <c r="M1254" s="12"/>
      <c r="N1254" s="12"/>
      <c r="O1254" s="12"/>
      <c r="P1254" s="12"/>
      <c r="Q1254" s="12"/>
      <c r="R1254" s="12"/>
      <c r="S1254" s="12"/>
      <c r="T1254" s="12"/>
      <c r="U1254" s="12"/>
      <c r="V1254" s="12"/>
      <c r="W1254" s="12"/>
      <c r="X1254" s="12"/>
      <c r="Y1254" s="12"/>
      <c r="Z1254" s="12"/>
      <c r="AA1254" s="12"/>
    </row>
    <row r="1255" ht="26.25" customHeight="1">
      <c r="A1255" s="17" t="s">
        <v>2514</v>
      </c>
      <c r="B1255" s="18" t="s">
        <v>2515</v>
      </c>
      <c r="C1255" s="14">
        <v>1.0</v>
      </c>
      <c r="D1255" s="15">
        <v>74.0</v>
      </c>
      <c r="E1255" s="15">
        <v>6.0</v>
      </c>
      <c r="F1255" s="16" t="str">
        <f t="array" ref="F1255">"https://www.google.com/maps/search/?api=1&amp;query=" &amp; A1255 &amp; "," &amp; B1255</f>
        <v>https://www.google.com/maps/search/?api=1&amp;query=-30.8985433860614,-55.5362969065373</v>
      </c>
      <c r="G1255" s="16" t="str">
        <f t="array" ref="G1255">"https://earth.google.com/web/search/" &amp; A1255 &amp; "," &amp; B1255</f>
        <v>https://earth.google.com/web/search/-30.8985433860614,-55.5362969065373</v>
      </c>
      <c r="H1255" s="12"/>
      <c r="I1255" s="12"/>
      <c r="J1255" s="12"/>
      <c r="K1255" s="12"/>
      <c r="L1255" s="12"/>
      <c r="M1255" s="12"/>
      <c r="N1255" s="12"/>
      <c r="O1255" s="12"/>
      <c r="P1255" s="12"/>
      <c r="Q1255" s="12"/>
      <c r="R1255" s="12"/>
      <c r="S1255" s="12"/>
      <c r="T1255" s="12"/>
      <c r="U1255" s="12"/>
      <c r="V1255" s="12"/>
      <c r="W1255" s="12"/>
      <c r="X1255" s="12"/>
      <c r="Y1255" s="12"/>
      <c r="Z1255" s="12"/>
      <c r="AA1255" s="12"/>
    </row>
    <row r="1256" ht="26.25" customHeight="1">
      <c r="A1256" s="17" t="s">
        <v>2516</v>
      </c>
      <c r="B1256" s="18" t="s">
        <v>2517</v>
      </c>
      <c r="C1256" s="14">
        <v>1.0</v>
      </c>
      <c r="D1256" s="15">
        <v>74.0</v>
      </c>
      <c r="E1256" s="15">
        <v>7.0</v>
      </c>
      <c r="F1256" s="16" t="str">
        <f t="array" ref="F1256">"https://www.google.com/maps/search/?api=1&amp;query=" &amp; A1256 &amp; "," &amp; B1256</f>
        <v>https://www.google.com/maps/search/?api=1&amp;query=-30.8986046267538,-55.5362017012846</v>
      </c>
      <c r="G1256" s="16" t="str">
        <f t="array" ref="G1256">"https://earth.google.com/web/search/" &amp; A1256 &amp; "," &amp; B1256</f>
        <v>https://earth.google.com/web/search/-30.8986046267538,-55.5362017012846</v>
      </c>
      <c r="H1256" s="12"/>
      <c r="I1256" s="12"/>
      <c r="J1256" s="12"/>
      <c r="K1256" s="12"/>
      <c r="L1256" s="12"/>
      <c r="M1256" s="12"/>
      <c r="N1256" s="12"/>
      <c r="O1256" s="12"/>
      <c r="P1256" s="12"/>
      <c r="Q1256" s="12"/>
      <c r="R1256" s="12"/>
      <c r="S1256" s="12"/>
      <c r="T1256" s="12"/>
      <c r="U1256" s="12"/>
      <c r="V1256" s="12"/>
      <c r="W1256" s="12"/>
      <c r="X1256" s="12"/>
      <c r="Y1256" s="12"/>
      <c r="Z1256" s="12"/>
      <c r="AA1256" s="12"/>
    </row>
    <row r="1257" ht="26.25" customHeight="1">
      <c r="A1257" s="17" t="s">
        <v>2518</v>
      </c>
      <c r="B1257" s="18" t="s">
        <v>2519</v>
      </c>
      <c r="C1257" s="14">
        <v>1.0</v>
      </c>
      <c r="D1257" s="15">
        <v>74.0</v>
      </c>
      <c r="E1257" s="15">
        <v>8.0</v>
      </c>
      <c r="F1257" s="16" t="str">
        <f t="array" ref="F1257">"https://www.google.com/maps/search/?api=1&amp;query=" &amp; A1257 &amp; "," &amp; B1257</f>
        <v>https://www.google.com/maps/search/?api=1&amp;query=-30.8986431542149,-55.5361057335285</v>
      </c>
      <c r="G1257" s="16" t="str">
        <f t="array" ref="G1257">"https://earth.google.com/web/search/" &amp; A1257 &amp; "," &amp; B1257</f>
        <v>https://earth.google.com/web/search/-30.8986431542149,-55.5361057335285</v>
      </c>
      <c r="H1257" s="12"/>
      <c r="I1257" s="12"/>
      <c r="J1257" s="12"/>
      <c r="K1257" s="12"/>
      <c r="L1257" s="12"/>
      <c r="M1257" s="12"/>
      <c r="N1257" s="12"/>
      <c r="O1257" s="12"/>
      <c r="P1257" s="12"/>
      <c r="Q1257" s="12"/>
      <c r="R1257" s="12"/>
      <c r="S1257" s="12"/>
      <c r="T1257" s="12"/>
      <c r="U1257" s="12"/>
      <c r="V1257" s="12"/>
      <c r="W1257" s="12"/>
      <c r="X1257" s="12"/>
      <c r="Y1257" s="12"/>
      <c r="Z1257" s="12"/>
      <c r="AA1257" s="12"/>
    </row>
    <row r="1258" ht="26.25" customHeight="1">
      <c r="A1258" s="17" t="s">
        <v>2520</v>
      </c>
      <c r="B1258" s="18" t="s">
        <v>2521</v>
      </c>
      <c r="C1258" s="14">
        <v>1.0</v>
      </c>
      <c r="D1258" s="15">
        <v>74.0</v>
      </c>
      <c r="E1258" s="15">
        <v>9.0</v>
      </c>
      <c r="F1258" s="16" t="str">
        <f t="array" ref="F1258">"https://www.google.com/maps/search/?api=1&amp;query=" &amp; A1258 &amp; "," &amp; B1258</f>
        <v>https://www.google.com/maps/search/?api=1&amp;query=-30.8986968357314,-5.5536006622107</v>
      </c>
      <c r="G1258" s="16" t="str">
        <f t="array" ref="G1258">"https://earth.google.com/web/search/" &amp; A1258 &amp; "," &amp; B1258</f>
        <v>https://earth.google.com/web/search/-30.8986968357314,-5.5536006622107</v>
      </c>
      <c r="H1258" s="12"/>
      <c r="I1258" s="12"/>
      <c r="J1258" s="12"/>
      <c r="K1258" s="12"/>
      <c r="L1258" s="12"/>
      <c r="M1258" s="12"/>
      <c r="N1258" s="12"/>
      <c r="O1258" s="12"/>
      <c r="P1258" s="12"/>
      <c r="Q1258" s="12"/>
      <c r="R1258" s="12"/>
      <c r="S1258" s="12"/>
      <c r="T1258" s="12"/>
      <c r="U1258" s="12"/>
      <c r="V1258" s="12"/>
      <c r="W1258" s="12"/>
      <c r="X1258" s="12"/>
      <c r="Y1258" s="12"/>
      <c r="Z1258" s="12"/>
      <c r="AA1258" s="12"/>
    </row>
    <row r="1259" ht="26.25" customHeight="1">
      <c r="A1259" s="17" t="s">
        <v>2522</v>
      </c>
      <c r="B1259" s="18" t="s">
        <v>2523</v>
      </c>
      <c r="C1259" s="14">
        <v>1.0</v>
      </c>
      <c r="D1259" s="15">
        <v>74.0</v>
      </c>
      <c r="E1259" s="15">
        <v>10.0</v>
      </c>
      <c r="F1259" s="16" t="str">
        <f t="array" ref="F1259">"https://www.google.com/maps/search/?api=1&amp;query=" &amp; A1259 &amp; "," &amp; B1259</f>
        <v>https://www.google.com/maps/search/?api=1&amp;query=-30.8988599883304,-55.5356806125588</v>
      </c>
      <c r="G1259" s="16" t="str">
        <f t="array" ref="G1259">"https://earth.google.com/web/search/" &amp; A1259 &amp; "," &amp; B1259</f>
        <v>https://earth.google.com/web/search/-30.8988599883304,-55.5356806125588</v>
      </c>
      <c r="H1259" s="12"/>
      <c r="I1259" s="12"/>
      <c r="J1259" s="12"/>
      <c r="K1259" s="12"/>
      <c r="L1259" s="12"/>
      <c r="M1259" s="12"/>
      <c r="N1259" s="12"/>
      <c r="O1259" s="12"/>
      <c r="P1259" s="12"/>
      <c r="Q1259" s="12"/>
      <c r="R1259" s="12"/>
      <c r="S1259" s="12"/>
      <c r="T1259" s="12"/>
      <c r="U1259" s="12"/>
      <c r="V1259" s="12"/>
      <c r="W1259" s="12"/>
      <c r="X1259" s="12"/>
      <c r="Y1259" s="12"/>
      <c r="Z1259" s="12"/>
      <c r="AA1259" s="12"/>
    </row>
    <row r="1260" ht="26.25" customHeight="1">
      <c r="A1260" s="17" t="s">
        <v>2524</v>
      </c>
      <c r="B1260" s="18" t="s">
        <v>2525</v>
      </c>
      <c r="C1260" s="14">
        <v>1.0</v>
      </c>
      <c r="D1260" s="15">
        <v>73.0</v>
      </c>
      <c r="E1260" s="15">
        <v>1.0</v>
      </c>
      <c r="F1260" s="16" t="str">
        <f t="array" ref="F1260">"https://www.google.com/maps/search/?api=1&amp;query=" &amp; A1260 &amp; "," &amp; B1260</f>
        <v>https://www.google.com/maps/search/?api=1&amp;query=-30.8988771793001,-55.5341865359679</v>
      </c>
      <c r="G1260" s="16" t="str">
        <f t="array" ref="G1260">"https://earth.google.com/web/search/" &amp; A1260 &amp; "," &amp; B1260</f>
        <v>https://earth.google.com/web/search/-30.8988771793001,-55.5341865359679</v>
      </c>
      <c r="H1260" s="12"/>
      <c r="I1260" s="12"/>
      <c r="J1260" s="12"/>
      <c r="K1260" s="12"/>
      <c r="L1260" s="12"/>
      <c r="M1260" s="12"/>
      <c r="N1260" s="12"/>
      <c r="O1260" s="12"/>
      <c r="P1260" s="12"/>
      <c r="Q1260" s="12"/>
      <c r="R1260" s="12"/>
      <c r="S1260" s="12"/>
      <c r="T1260" s="12"/>
      <c r="U1260" s="12"/>
      <c r="V1260" s="12"/>
      <c r="W1260" s="12"/>
      <c r="X1260" s="12"/>
      <c r="Y1260" s="12"/>
      <c r="Z1260" s="12"/>
      <c r="AA1260" s="12"/>
    </row>
    <row r="1261" ht="26.25" customHeight="1">
      <c r="A1261" s="17" t="s">
        <v>2526</v>
      </c>
      <c r="B1261" s="18" t="s">
        <v>2527</v>
      </c>
      <c r="C1261" s="14">
        <v>1.0</v>
      </c>
      <c r="D1261" s="15">
        <v>73.0</v>
      </c>
      <c r="E1261" s="15">
        <v>2.0</v>
      </c>
      <c r="F1261" s="16" t="str">
        <f t="array" ref="F1261">"https://www.google.com/maps/search/?api=1&amp;query=" &amp; A1261 &amp; "," &amp; B1261</f>
        <v>https://www.google.com/maps/search/?api=1&amp;query=-30.8989422008512,-55.5342301144277</v>
      </c>
      <c r="G1261" s="16" t="str">
        <f t="array" ref="G1261">"https://earth.google.com/web/search/" &amp; A1261 &amp; "," &amp; B1261</f>
        <v>https://earth.google.com/web/search/-30.8989422008512,-55.5342301144277</v>
      </c>
      <c r="H1261" s="12"/>
      <c r="I1261" s="12"/>
      <c r="J1261" s="12"/>
      <c r="K1261" s="12"/>
      <c r="L1261" s="12"/>
      <c r="M1261" s="12"/>
      <c r="N1261" s="12"/>
      <c r="O1261" s="12"/>
      <c r="P1261" s="12"/>
      <c r="Q1261" s="12"/>
      <c r="R1261" s="12"/>
      <c r="S1261" s="12"/>
      <c r="T1261" s="12"/>
      <c r="U1261" s="12"/>
      <c r="V1261" s="12"/>
      <c r="W1261" s="12"/>
      <c r="X1261" s="12"/>
      <c r="Y1261" s="12"/>
      <c r="Z1261" s="12"/>
      <c r="AA1261" s="12"/>
    </row>
    <row r="1262" ht="26.25" customHeight="1">
      <c r="A1262" s="17" t="s">
        <v>2528</v>
      </c>
      <c r="B1262" s="18" t="s">
        <v>2529</v>
      </c>
      <c r="C1262" s="14">
        <v>1.0</v>
      </c>
      <c r="D1262" s="15">
        <v>73.0</v>
      </c>
      <c r="E1262" s="15">
        <v>3.0</v>
      </c>
      <c r="F1262" s="16" t="str">
        <f t="array" ref="F1262">"https://www.google.com/maps/search/?api=1&amp;query=" &amp; A1262 &amp; "," &amp; B1262</f>
        <v>https://www.google.com/maps/search/?api=1&amp;query=-30.8990121797176,-55.5342816265292</v>
      </c>
      <c r="G1262" s="16" t="str">
        <f t="array" ref="G1262">"https://earth.google.com/web/search/" &amp; A1262 &amp; "," &amp; B1262</f>
        <v>https://earth.google.com/web/search/-30.8990121797176,-55.5342816265292</v>
      </c>
      <c r="H1262" s="12"/>
      <c r="I1262" s="12"/>
      <c r="J1262" s="12"/>
      <c r="K1262" s="12"/>
      <c r="L1262" s="12"/>
      <c r="M1262" s="12"/>
      <c r="N1262" s="12"/>
      <c r="O1262" s="12"/>
      <c r="P1262" s="12"/>
      <c r="Q1262" s="12"/>
      <c r="R1262" s="12"/>
      <c r="S1262" s="12"/>
      <c r="T1262" s="12"/>
      <c r="U1262" s="12"/>
      <c r="V1262" s="12"/>
      <c r="W1262" s="12"/>
      <c r="X1262" s="12"/>
      <c r="Y1262" s="12"/>
      <c r="Z1262" s="12"/>
      <c r="AA1262" s="12"/>
    </row>
    <row r="1263" ht="26.25" customHeight="1">
      <c r="A1263" s="17" t="s">
        <v>2530</v>
      </c>
      <c r="B1263" s="18" t="s">
        <v>2531</v>
      </c>
      <c r="C1263" s="14">
        <v>1.0</v>
      </c>
      <c r="D1263" s="15">
        <v>73.0</v>
      </c>
      <c r="E1263" s="15">
        <v>4.0</v>
      </c>
      <c r="F1263" s="16" t="str">
        <f t="array" ref="F1263">"https://www.google.com/maps/search/?api=1&amp;query=" &amp; A1263 &amp; "," &amp; B1263</f>
        <v>https://www.google.com/maps/search/?api=1&amp;query=-30.8991251556663,-55.5343500525238</v>
      </c>
      <c r="G1263" s="16" t="str">
        <f t="array" ref="G1263">"https://earth.google.com/web/search/" &amp; A1263 &amp; "," &amp; B1263</f>
        <v>https://earth.google.com/web/search/-30.8991251556663,-55.5343500525238</v>
      </c>
      <c r="H1263" s="12"/>
      <c r="I1263" s="12"/>
      <c r="J1263" s="12"/>
      <c r="K1263" s="12"/>
      <c r="L1263" s="12"/>
      <c r="M1263" s="12"/>
      <c r="N1263" s="12"/>
      <c r="O1263" s="12"/>
      <c r="P1263" s="12"/>
      <c r="Q1263" s="12"/>
      <c r="R1263" s="12"/>
      <c r="S1263" s="12"/>
      <c r="T1263" s="12"/>
      <c r="U1263" s="12"/>
      <c r="V1263" s="12"/>
      <c r="W1263" s="12"/>
      <c r="X1263" s="12"/>
      <c r="Y1263" s="12"/>
      <c r="Z1263" s="12"/>
      <c r="AA1263" s="12"/>
    </row>
    <row r="1264" ht="26.25" customHeight="1">
      <c r="A1264" s="17" t="s">
        <v>2532</v>
      </c>
      <c r="B1264" s="18" t="s">
        <v>2533</v>
      </c>
      <c r="C1264" s="14">
        <v>1.0</v>
      </c>
      <c r="D1264" s="15">
        <v>73.0</v>
      </c>
      <c r="E1264" s="15">
        <v>5.0</v>
      </c>
      <c r="F1264" s="16" t="str">
        <f t="array" ref="F1264">"https://www.google.com/maps/search/?api=1&amp;query=" &amp; A1264 &amp; "," &amp; B1264</f>
        <v>https://www.google.com/maps/search/?api=1&amp;query=-30.8992218666684,-55.5344356158961</v>
      </c>
      <c r="G1264" s="16" t="str">
        <f t="array" ref="G1264">"https://earth.google.com/web/search/" &amp; A1264 &amp; "," &amp; B1264</f>
        <v>https://earth.google.com/web/search/-30.8992218666684,-55.5344356158961</v>
      </c>
      <c r="H1264" s="12"/>
      <c r="I1264" s="12"/>
      <c r="J1264" s="12"/>
      <c r="K1264" s="12"/>
      <c r="L1264" s="12"/>
      <c r="M1264" s="12"/>
      <c r="N1264" s="12"/>
      <c r="O1264" s="12"/>
      <c r="P1264" s="12"/>
      <c r="Q1264" s="12"/>
      <c r="R1264" s="12"/>
      <c r="S1264" s="12"/>
      <c r="T1264" s="12"/>
      <c r="U1264" s="12"/>
      <c r="V1264" s="12"/>
      <c r="W1264" s="12"/>
      <c r="X1264" s="12"/>
      <c r="Y1264" s="12"/>
      <c r="Z1264" s="12"/>
      <c r="AA1264" s="12"/>
    </row>
    <row r="1265" ht="26.25" customHeight="1">
      <c r="A1265" s="17" t="s">
        <v>2534</v>
      </c>
      <c r="B1265" s="18" t="s">
        <v>2535</v>
      </c>
      <c r="C1265" s="14">
        <v>1.0</v>
      </c>
      <c r="D1265" s="15">
        <v>73.0</v>
      </c>
      <c r="E1265" s="15">
        <v>6.0</v>
      </c>
      <c r="F1265" s="16" t="str">
        <f t="array" ref="F1265">"https://www.google.com/maps/search/?api=1&amp;query=" &amp; A1265 &amp; "," &amp; B1265</f>
        <v>https://www.google.com/maps/search/?api=1&amp;query=-30.8992972706257,-55.5348582939105</v>
      </c>
      <c r="G1265" s="16" t="str">
        <f t="array" ref="G1265">"https://earth.google.com/web/search/" &amp; A1265 &amp; "," &amp; B1265</f>
        <v>https://earth.google.com/web/search/-30.8992972706257,-55.5348582939105</v>
      </c>
      <c r="H1265" s="12"/>
      <c r="I1265" s="12"/>
      <c r="J1265" s="12"/>
      <c r="K1265" s="12"/>
      <c r="L1265" s="12"/>
      <c r="M1265" s="12"/>
      <c r="N1265" s="12"/>
      <c r="O1265" s="12"/>
      <c r="P1265" s="12"/>
      <c r="Q1265" s="12"/>
      <c r="R1265" s="12"/>
      <c r="S1265" s="12"/>
      <c r="T1265" s="12"/>
      <c r="U1265" s="12"/>
      <c r="V1265" s="12"/>
      <c r="W1265" s="12"/>
      <c r="X1265" s="12"/>
      <c r="Y1265" s="12"/>
      <c r="Z1265" s="12"/>
      <c r="AA1265" s="12"/>
    </row>
    <row r="1266" ht="26.25" customHeight="1">
      <c r="A1266" s="17" t="s">
        <v>2536</v>
      </c>
      <c r="B1266" s="18" t="s">
        <v>2537</v>
      </c>
      <c r="C1266" s="14">
        <v>1.0</v>
      </c>
      <c r="D1266" s="15">
        <v>73.0</v>
      </c>
      <c r="E1266" s="15">
        <v>7.0</v>
      </c>
      <c r="F1266" s="16" t="str">
        <f t="array" ref="F1266">"https://www.google.com/maps/search/?api=1&amp;query=" &amp; A1266 &amp; "," &amp; B1266</f>
        <v>https://www.google.com/maps/search/?api=1&amp;query=-30.8992429207418,-55.5349703365172</v>
      </c>
      <c r="G1266" s="16" t="str">
        <f t="array" ref="G1266">"https://earth.google.com/web/search/" &amp; A1266 &amp; "," &amp; B1266</f>
        <v>https://earth.google.com/web/search/-30.8992429207418,-55.5349703365172</v>
      </c>
      <c r="H1266" s="12"/>
      <c r="I1266" s="12"/>
      <c r="J1266" s="12"/>
      <c r="K1266" s="12"/>
      <c r="L1266" s="12"/>
      <c r="M1266" s="12"/>
      <c r="N1266" s="12"/>
      <c r="O1266" s="12"/>
      <c r="P1266" s="12"/>
      <c r="Q1266" s="12"/>
      <c r="R1266" s="12"/>
      <c r="S1266" s="12"/>
      <c r="T1266" s="12"/>
      <c r="U1266" s="12"/>
      <c r="V1266" s="12"/>
      <c r="W1266" s="12"/>
      <c r="X1266" s="12"/>
      <c r="Y1266" s="12"/>
      <c r="Z1266" s="12"/>
      <c r="AA1266" s="12"/>
    </row>
    <row r="1267" ht="26.25" customHeight="1">
      <c r="A1267" s="17" t="s">
        <v>2538</v>
      </c>
      <c r="B1267" s="18" t="s">
        <v>2539</v>
      </c>
      <c r="C1267" s="14">
        <v>1.0</v>
      </c>
      <c r="D1267" s="15">
        <v>73.0</v>
      </c>
      <c r="E1267" s="15">
        <v>8.0</v>
      </c>
      <c r="F1267" s="16" t="str">
        <f t="array" ref="F1267">"https://www.google.com/maps/search/?api=1&amp;query=" &amp; A1267 &amp; "," &amp; B1267</f>
        <v>https://www.google.com/maps/search/?api=1&amp;query=-30.8991176606271,-55.5352094102902</v>
      </c>
      <c r="G1267" s="16" t="str">
        <f t="array" ref="G1267">"https://earth.google.com/web/search/" &amp; A1267 &amp; "," &amp; B1267</f>
        <v>https://earth.google.com/web/search/-30.8991176606271,-55.5352094102902</v>
      </c>
      <c r="H1267" s="12"/>
      <c r="I1267" s="12"/>
      <c r="J1267" s="12"/>
      <c r="K1267" s="12"/>
      <c r="L1267" s="12"/>
      <c r="M1267" s="12"/>
      <c r="N1267" s="12"/>
      <c r="O1267" s="12"/>
      <c r="P1267" s="12"/>
      <c r="Q1267" s="12"/>
      <c r="R1267" s="12"/>
      <c r="S1267" s="12"/>
      <c r="T1267" s="12"/>
      <c r="U1267" s="12"/>
      <c r="V1267" s="12"/>
      <c r="W1267" s="12"/>
      <c r="X1267" s="12"/>
      <c r="Y1267" s="12"/>
      <c r="Z1267" s="12"/>
      <c r="AA1267" s="12"/>
    </row>
    <row r="1268" ht="26.25" customHeight="1">
      <c r="A1268" s="17" t="s">
        <v>2540</v>
      </c>
      <c r="B1268" s="18" t="s">
        <v>2541</v>
      </c>
      <c r="C1268" s="14">
        <v>1.0</v>
      </c>
      <c r="D1268" s="15">
        <v>73.0</v>
      </c>
      <c r="E1268" s="15">
        <v>9.0</v>
      </c>
      <c r="F1268" s="16" t="str">
        <f t="array" ref="F1268">"https://www.google.com/maps/search/?api=1&amp;query=" &amp; A1268 &amp; "," &amp; B1268</f>
        <v>https://www.google.com/maps/search/?api=1&amp;query=-30.8990876677845,-55.5352810521249</v>
      </c>
      <c r="G1268" s="16" t="str">
        <f t="array" ref="G1268">"https://earth.google.com/web/search/" &amp; A1268 &amp; "," &amp; B1268</f>
        <v>https://earth.google.com/web/search/-30.8990876677845,-55.5352810521249</v>
      </c>
      <c r="H1268" s="12"/>
      <c r="I1268" s="12"/>
      <c r="J1268" s="12"/>
      <c r="K1268" s="12"/>
      <c r="L1268" s="12"/>
      <c r="M1268" s="12"/>
      <c r="N1268" s="12"/>
      <c r="O1268" s="12"/>
      <c r="P1268" s="12"/>
      <c r="Q1268" s="12"/>
      <c r="R1268" s="12"/>
      <c r="S1268" s="12"/>
      <c r="T1268" s="12"/>
      <c r="U1268" s="12"/>
      <c r="V1268" s="12"/>
      <c r="W1268" s="12"/>
      <c r="X1268" s="12"/>
      <c r="Y1268" s="12"/>
      <c r="Z1268" s="12"/>
      <c r="AA1268" s="12"/>
    </row>
    <row r="1269" ht="26.25" customHeight="1">
      <c r="A1269" s="17" t="s">
        <v>2542</v>
      </c>
      <c r="B1269" s="18" t="s">
        <v>2543</v>
      </c>
      <c r="C1269" s="14">
        <v>1.0</v>
      </c>
      <c r="D1269" s="15">
        <v>73.0</v>
      </c>
      <c r="E1269" s="15">
        <v>10.0</v>
      </c>
      <c r="F1269" s="16" t="str">
        <f t="array" ref="F1269">"https://www.google.com/maps/search/?api=1&amp;query=" &amp; A1269 &amp; "," &amp; B1269</f>
        <v>https://www.google.com/maps/search/?api=1&amp;query=-3.0898990655785,-55.5353753890523</v>
      </c>
      <c r="G1269" s="16" t="str">
        <f t="array" ref="G1269">"https://earth.google.com/web/search/" &amp; A1269 &amp; "," &amp; B1269</f>
        <v>https://earth.google.com/web/search/-3.0898990655785,-55.5353753890523</v>
      </c>
      <c r="H1269" s="12"/>
      <c r="I1269" s="12"/>
      <c r="J1269" s="12"/>
      <c r="K1269" s="12"/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/>
    </row>
    <row r="1270" ht="26.25" customHeight="1">
      <c r="A1270" s="17" t="s">
        <v>2544</v>
      </c>
      <c r="B1270" s="18" t="s">
        <v>2545</v>
      </c>
      <c r="C1270" s="14">
        <v>1.0</v>
      </c>
      <c r="D1270" s="15">
        <v>73.0</v>
      </c>
      <c r="E1270" s="15">
        <v>11.0</v>
      </c>
      <c r="F1270" s="16" t="str">
        <f t="array" ref="F1270">"https://www.google.com/maps/search/?api=1&amp;query=" &amp; A1270 &amp; "," &amp; B1270</f>
        <v>https://www.google.com/maps/search/?api=1&amp;query=-30.8989171176309,-55.5353269063079</v>
      </c>
      <c r="G1270" s="16" t="str">
        <f t="array" ref="G1270">"https://earth.google.com/web/search/" &amp; A1270 &amp; "," &amp; B1270</f>
        <v>https://earth.google.com/web/search/-30.8989171176309,-55.5353269063079</v>
      </c>
      <c r="H1270" s="12"/>
      <c r="I1270" s="12"/>
      <c r="J1270" s="12"/>
      <c r="K1270" s="12"/>
      <c r="L1270" s="12"/>
      <c r="M1270" s="12"/>
      <c r="N1270" s="12"/>
      <c r="O1270" s="12"/>
      <c r="P1270" s="12"/>
      <c r="Q1270" s="12"/>
      <c r="R1270" s="12"/>
      <c r="S1270" s="12"/>
      <c r="T1270" s="12"/>
      <c r="U1270" s="12"/>
      <c r="V1270" s="12"/>
      <c r="W1270" s="12"/>
      <c r="X1270" s="12"/>
      <c r="Y1270" s="12"/>
      <c r="Z1270" s="12"/>
      <c r="AA1270" s="12"/>
    </row>
    <row r="1271" ht="26.25" customHeight="1">
      <c r="A1271" s="17" t="s">
        <v>2546</v>
      </c>
      <c r="B1271" s="18" t="s">
        <v>2547</v>
      </c>
      <c r="C1271" s="14">
        <v>1.0</v>
      </c>
      <c r="D1271" s="15">
        <v>73.0</v>
      </c>
      <c r="E1271" s="15">
        <v>12.0</v>
      </c>
      <c r="F1271" s="16" t="str">
        <f t="array" ref="F1271">"https://www.google.com/maps/search/?api=1&amp;query=" &amp; A1271 &amp; "," &amp; B1271</f>
        <v>https://www.google.com/maps/search/?api=1&amp;query=-30.8987819190639,-55.5352320015739</v>
      </c>
      <c r="G1271" s="16" t="str">
        <f t="array" ref="G1271">"https://earth.google.com/web/search/" &amp; A1271 &amp; "," &amp; B1271</f>
        <v>https://earth.google.com/web/search/-30.8987819190639,-55.5352320015739</v>
      </c>
      <c r="H1271" s="12"/>
      <c r="I1271" s="12"/>
      <c r="J1271" s="12"/>
      <c r="K1271" s="12"/>
      <c r="L1271" s="12"/>
      <c r="M1271" s="12"/>
      <c r="N1271" s="12"/>
      <c r="O1271" s="12"/>
      <c r="P1271" s="12"/>
      <c r="Q1271" s="12"/>
      <c r="R1271" s="12"/>
      <c r="S1271" s="12"/>
      <c r="T1271" s="12"/>
      <c r="U1271" s="12"/>
      <c r="V1271" s="12"/>
      <c r="W1271" s="12"/>
      <c r="X1271" s="12"/>
      <c r="Y1271" s="12"/>
      <c r="Z1271" s="12"/>
      <c r="AA1271" s="12"/>
    </row>
    <row r="1272" ht="26.25" customHeight="1">
      <c r="A1272" s="17" t="s">
        <v>2548</v>
      </c>
      <c r="B1272" s="18" t="s">
        <v>2549</v>
      </c>
      <c r="C1272" s="14">
        <v>1.0</v>
      </c>
      <c r="D1272" s="15">
        <v>73.0</v>
      </c>
      <c r="E1272" s="15">
        <v>13.0</v>
      </c>
      <c r="F1272" s="16" t="str">
        <f t="array" ref="F1272">"https://www.google.com/maps/search/?api=1&amp;query=" &amp; A1272 &amp; "," &amp; B1272</f>
        <v>https://www.google.com/maps/search/?api=1&amp;query=-30.8987081633881,-0.5553517730235</v>
      </c>
      <c r="G1272" s="16" t="str">
        <f t="array" ref="G1272">"https://earth.google.com/web/search/" &amp; A1272 &amp; "," &amp; B1272</f>
        <v>https://earth.google.com/web/search/-30.8987081633881,-0.5553517730235</v>
      </c>
      <c r="H1272" s="12"/>
      <c r="I1272" s="12"/>
      <c r="J1272" s="12"/>
      <c r="K1272" s="12"/>
      <c r="L1272" s="12"/>
      <c r="M1272" s="12"/>
      <c r="N1272" s="12"/>
      <c r="O1272" s="12"/>
      <c r="P1272" s="12"/>
      <c r="Q1272" s="12"/>
      <c r="R1272" s="12"/>
      <c r="S1272" s="12"/>
      <c r="T1272" s="12"/>
      <c r="U1272" s="12"/>
      <c r="V1272" s="12"/>
      <c r="W1272" s="12"/>
      <c r="X1272" s="12"/>
      <c r="Y1272" s="12"/>
      <c r="Z1272" s="12"/>
      <c r="AA1272" s="12"/>
    </row>
    <row r="1273" ht="26.25" customHeight="1">
      <c r="A1273" s="17" t="s">
        <v>2550</v>
      </c>
      <c r="B1273" s="18" t="s">
        <v>2551</v>
      </c>
      <c r="C1273" s="14">
        <v>1.0</v>
      </c>
      <c r="D1273" s="15">
        <v>73.0</v>
      </c>
      <c r="E1273" s="15">
        <v>14.0</v>
      </c>
      <c r="F1273" s="16" t="str">
        <f t="array" ref="F1273">"https://www.google.com/maps/search/?api=1&amp;query=" &amp; A1273 &amp; "," &amp; B1273</f>
        <v>https://www.google.com/maps/search/?api=1&amp;query=-30.8984262186529,-55.5346837605438</v>
      </c>
      <c r="G1273" s="16" t="str">
        <f t="array" ref="G1273">"https://earth.google.com/web/search/" &amp; A1273 &amp; "," &amp; B1273</f>
        <v>https://earth.google.com/web/search/-30.8984262186529,-55.5346837605438</v>
      </c>
      <c r="H1273" s="12"/>
      <c r="I1273" s="12"/>
      <c r="J1273" s="12"/>
      <c r="K1273" s="12"/>
      <c r="L1273" s="12"/>
      <c r="M1273" s="12"/>
      <c r="N1273" s="12"/>
      <c r="O1273" s="12"/>
      <c r="P1273" s="12"/>
      <c r="Q1273" s="12"/>
      <c r="R1273" s="12"/>
      <c r="S1273" s="12"/>
      <c r="T1273" s="12"/>
      <c r="U1273" s="12"/>
      <c r="V1273" s="12"/>
      <c r="W1273" s="12"/>
      <c r="X1273" s="12"/>
      <c r="Y1273" s="12"/>
      <c r="Z1273" s="12"/>
      <c r="AA1273" s="12"/>
    </row>
    <row r="1274" ht="26.25" customHeight="1">
      <c r="A1274" s="17" t="s">
        <v>2552</v>
      </c>
      <c r="B1274" s="18" t="s">
        <v>2553</v>
      </c>
      <c r="C1274" s="14">
        <v>1.0</v>
      </c>
      <c r="D1274" s="15">
        <v>71.0</v>
      </c>
      <c r="E1274" s="15">
        <v>1.0</v>
      </c>
      <c r="F1274" s="16" t="str">
        <f t="array" ref="F1274">"https://www.google.com/maps/search/?api=1&amp;query=" &amp; A1274 &amp; "," &amp; B1274</f>
        <v>https://www.google.com/maps/search/?api=1&amp;query=-30.8980717932903,-55.5347201371306</v>
      </c>
      <c r="G1274" s="16" t="str">
        <f t="array" ref="G1274">"https://earth.google.com/web/search/" &amp; A1274 &amp; "," &amp; B1274</f>
        <v>https://earth.google.com/web/search/-30.8980717932903,-55.5347201371306</v>
      </c>
      <c r="H1274" s="12"/>
      <c r="I1274" s="12"/>
      <c r="J1274" s="12"/>
      <c r="K1274" s="12"/>
      <c r="L1274" s="12"/>
      <c r="M1274" s="12"/>
      <c r="N1274" s="12"/>
      <c r="O1274" s="12"/>
      <c r="P1274" s="12"/>
      <c r="Q1274" s="12"/>
      <c r="R1274" s="12"/>
      <c r="S1274" s="12"/>
      <c r="T1274" s="12"/>
      <c r="U1274" s="12"/>
      <c r="V1274" s="12"/>
      <c r="W1274" s="12"/>
      <c r="X1274" s="12"/>
      <c r="Y1274" s="12"/>
      <c r="Z1274" s="12"/>
      <c r="AA1274" s="12"/>
    </row>
    <row r="1275" ht="26.25" customHeight="1">
      <c r="A1275" s="17" t="s">
        <v>2554</v>
      </c>
      <c r="B1275" s="18" t="s">
        <v>2555</v>
      </c>
      <c r="C1275" s="14">
        <v>1.0</v>
      </c>
      <c r="D1275" s="15">
        <v>71.0</v>
      </c>
      <c r="E1275" s="15">
        <v>2.0</v>
      </c>
      <c r="F1275" s="16" t="str">
        <f t="array" ref="F1275">"https://www.google.com/maps/search/?api=1&amp;query=" &amp; A1275 &amp; "," &amp; B1275</f>
        <v>https://www.google.com/maps/search/?api=1&amp;query=-30.8979441775746,-55.5346226718623</v>
      </c>
      <c r="G1275" s="16" t="str">
        <f t="array" ref="G1275">"https://earth.google.com/web/search/" &amp; A1275 &amp; "," &amp; B1275</f>
        <v>https://earth.google.com/web/search/-30.8979441775746,-55.5346226718623</v>
      </c>
      <c r="H1275" s="12"/>
      <c r="I1275" s="12"/>
      <c r="J1275" s="12"/>
      <c r="K1275" s="12"/>
      <c r="L1275" s="12"/>
      <c r="M1275" s="12"/>
      <c r="N1275" s="12"/>
      <c r="O1275" s="12"/>
      <c r="P1275" s="12"/>
      <c r="Q1275" s="12"/>
      <c r="R1275" s="12"/>
      <c r="S1275" s="12"/>
      <c r="T1275" s="12"/>
      <c r="U1275" s="12"/>
      <c r="V1275" s="12"/>
      <c r="W1275" s="12"/>
      <c r="X1275" s="12"/>
      <c r="Y1275" s="12"/>
      <c r="Z1275" s="12"/>
      <c r="AA1275" s="12"/>
    </row>
    <row r="1276" ht="26.25" customHeight="1">
      <c r="A1276" s="17" t="s">
        <v>2556</v>
      </c>
      <c r="B1276" s="18" t="s">
        <v>2557</v>
      </c>
      <c r="C1276" s="14">
        <v>1.0</v>
      </c>
      <c r="D1276" s="15">
        <v>71.0</v>
      </c>
      <c r="E1276" s="15">
        <v>3.0</v>
      </c>
      <c r="F1276" s="16" t="str">
        <f t="array" ref="F1276">"https://www.google.com/maps/search/?api=1&amp;query=" &amp; A1276 &amp; "," &amp; B1276</f>
        <v>https://www.google.com/maps/search/?api=1&amp;query=-30.8978062827663,-55.5345443988156</v>
      </c>
      <c r="G1276" s="16" t="str">
        <f t="array" ref="G1276">"https://earth.google.com/web/search/" &amp; A1276 &amp; "," &amp; B1276</f>
        <v>https://earth.google.com/web/search/-30.8978062827663,-55.5345443988156</v>
      </c>
      <c r="H1276" s="12"/>
      <c r="I1276" s="12"/>
      <c r="J1276" s="12"/>
      <c r="K1276" s="12"/>
      <c r="L1276" s="12"/>
      <c r="M1276" s="12"/>
      <c r="N1276" s="12"/>
      <c r="O1276" s="12"/>
      <c r="P1276" s="12"/>
      <c r="Q1276" s="12"/>
      <c r="R1276" s="12"/>
      <c r="S1276" s="12"/>
      <c r="T1276" s="12"/>
      <c r="U1276" s="12"/>
      <c r="V1276" s="12"/>
      <c r="W1276" s="12"/>
      <c r="X1276" s="12"/>
      <c r="Y1276" s="12"/>
      <c r="Z1276" s="12"/>
      <c r="AA1276" s="12"/>
    </row>
    <row r="1277" ht="26.25" customHeight="1">
      <c r="A1277" s="17" t="s">
        <v>2558</v>
      </c>
      <c r="B1277" s="18" t="s">
        <v>2559</v>
      </c>
      <c r="C1277" s="14">
        <v>1.0</v>
      </c>
      <c r="D1277" s="15">
        <v>71.0</v>
      </c>
      <c r="E1277" s="15">
        <v>4.0</v>
      </c>
      <c r="F1277" s="16" t="str">
        <f t="array" ref="F1277">"https://www.google.com/maps/search/?api=1&amp;query=" &amp; A1277 &amp; "," &amp; B1277</f>
        <v>https://www.google.com/maps/search/?api=1&amp;query=-30.8976954454774,-55.5344515662382</v>
      </c>
      <c r="G1277" s="16" t="str">
        <f t="array" ref="G1277">"https://earth.google.com/web/search/" &amp; A1277 &amp; "," &amp; B1277</f>
        <v>https://earth.google.com/web/search/-30.8976954454774,-55.5344515662382</v>
      </c>
      <c r="H1277" s="12"/>
      <c r="I1277" s="12"/>
      <c r="J1277" s="12"/>
      <c r="K1277" s="12"/>
      <c r="L1277" s="12"/>
      <c r="M1277" s="12"/>
      <c r="N1277" s="12"/>
      <c r="O1277" s="12"/>
      <c r="P1277" s="12"/>
      <c r="Q1277" s="12"/>
      <c r="R1277" s="12"/>
      <c r="S1277" s="12"/>
      <c r="T1277" s="12"/>
      <c r="U1277" s="12"/>
      <c r="V1277" s="12"/>
      <c r="W1277" s="12"/>
      <c r="X1277" s="12"/>
      <c r="Y1277" s="12"/>
      <c r="Z1277" s="12"/>
      <c r="AA1277" s="12"/>
    </row>
    <row r="1278" ht="26.25" customHeight="1">
      <c r="A1278" s="17" t="s">
        <v>2560</v>
      </c>
      <c r="B1278" s="18" t="s">
        <v>2561</v>
      </c>
      <c r="C1278" s="14">
        <v>1.0</v>
      </c>
      <c r="D1278" s="15">
        <v>71.0</v>
      </c>
      <c r="E1278" s="15">
        <v>5.0</v>
      </c>
      <c r="F1278" s="16" t="str">
        <f t="array" ref="F1278">"https://www.google.com/maps/search/?api=1&amp;query=" &amp; A1278 &amp; "," &amp; B1278</f>
        <v>https://www.google.com/maps/search/?api=1&amp;query=-30.8975790002801,-5.5534371099059</v>
      </c>
      <c r="G1278" s="16" t="str">
        <f t="array" ref="G1278">"https://earth.google.com/web/search/" &amp; A1278 &amp; "," &amp; B1278</f>
        <v>https://earth.google.com/web/search/-30.8975790002801,-5.5534371099059</v>
      </c>
      <c r="H1278" s="12"/>
      <c r="I1278" s="12"/>
      <c r="J1278" s="12"/>
      <c r="K1278" s="12"/>
      <c r="L1278" s="12"/>
      <c r="M1278" s="12"/>
      <c r="N1278" s="12"/>
      <c r="O1278" s="12"/>
      <c r="P1278" s="12"/>
      <c r="Q1278" s="12"/>
      <c r="R1278" s="12"/>
      <c r="S1278" s="12"/>
      <c r="T1278" s="12"/>
      <c r="U1278" s="12"/>
      <c r="V1278" s="12"/>
      <c r="W1278" s="12"/>
      <c r="X1278" s="12"/>
      <c r="Y1278" s="12"/>
      <c r="Z1278" s="12"/>
      <c r="AA1278" s="12"/>
    </row>
    <row r="1279" ht="26.25" customHeight="1">
      <c r="A1279" s="17" t="s">
        <v>2562</v>
      </c>
      <c r="B1279" s="18" t="s">
        <v>2563</v>
      </c>
      <c r="C1279" s="14">
        <v>1.0</v>
      </c>
      <c r="D1279" s="15">
        <v>71.0</v>
      </c>
      <c r="E1279" s="15">
        <v>6.0</v>
      </c>
      <c r="F1279" s="16" t="str">
        <f t="array" ref="F1279">"https://www.google.com/maps/search/?api=1&amp;query=" &amp; A1279 &amp; "," &amp; B1279</f>
        <v>https://www.google.com/maps/search/?api=1&amp;query=-30.8975139191876,-55.5343075800125</v>
      </c>
      <c r="G1279" s="16" t="str">
        <f t="array" ref="G1279">"https://earth.google.com/web/search/" &amp; A1279 &amp; "," &amp; B1279</f>
        <v>https://earth.google.com/web/search/-30.8975139191876,-55.5343075800125</v>
      </c>
      <c r="H1279" s="12"/>
      <c r="I1279" s="12"/>
      <c r="J1279" s="12"/>
      <c r="K1279" s="12"/>
      <c r="L1279" s="12"/>
      <c r="M1279" s="12"/>
      <c r="N1279" s="12"/>
      <c r="O1279" s="12"/>
      <c r="P1279" s="12"/>
      <c r="Q1279" s="12"/>
      <c r="R1279" s="12"/>
      <c r="S1279" s="12"/>
      <c r="T1279" s="12"/>
      <c r="U1279" s="12"/>
      <c r="V1279" s="12"/>
      <c r="W1279" s="12"/>
      <c r="X1279" s="12"/>
      <c r="Y1279" s="12"/>
      <c r="Z1279" s="12"/>
      <c r="AA1279" s="12"/>
    </row>
    <row r="1280" ht="26.25" customHeight="1">
      <c r="A1280" s="17" t="s">
        <v>2564</v>
      </c>
      <c r="B1280" s="18" t="s">
        <v>2565</v>
      </c>
      <c r="C1280" s="14">
        <v>1.0</v>
      </c>
      <c r="D1280" s="15">
        <v>71.0</v>
      </c>
      <c r="E1280" s="15">
        <v>7.0</v>
      </c>
      <c r="F1280" s="16" t="str">
        <f t="array" ref="F1280">"https://www.google.com/maps/search/?api=1&amp;query=" &amp; A1280 &amp; "," &amp; B1280</f>
        <v>https://www.google.com/maps/search/?api=1&amp;query=-30.8975066967548,-55.5341988989073</v>
      </c>
      <c r="G1280" s="16" t="str">
        <f t="array" ref="G1280">"https://earth.google.com/web/search/" &amp; A1280 &amp; "," &amp; B1280</f>
        <v>https://earth.google.com/web/search/-30.8975066967548,-55.5341988989073</v>
      </c>
      <c r="H1280" s="12"/>
      <c r="I1280" s="12"/>
      <c r="J1280" s="12"/>
      <c r="K1280" s="12"/>
      <c r="L1280" s="12"/>
      <c r="M1280" s="12"/>
      <c r="N1280" s="12"/>
      <c r="O1280" s="12"/>
      <c r="P1280" s="12"/>
      <c r="Q1280" s="12"/>
      <c r="R1280" s="12"/>
      <c r="S1280" s="12"/>
      <c r="T1280" s="12"/>
      <c r="U1280" s="12"/>
      <c r="V1280" s="12"/>
      <c r="W1280" s="12"/>
      <c r="X1280" s="12"/>
      <c r="Y1280" s="12"/>
      <c r="Z1280" s="12"/>
      <c r="AA1280" s="12"/>
    </row>
    <row r="1281" ht="26.25" customHeight="1">
      <c r="A1281" s="17" t="s">
        <v>2566</v>
      </c>
      <c r="B1281" s="18" t="s">
        <v>2567</v>
      </c>
      <c r="C1281" s="14">
        <v>1.0</v>
      </c>
      <c r="D1281" s="15">
        <v>71.0</v>
      </c>
      <c r="E1281" s="15">
        <v>8.0</v>
      </c>
      <c r="F1281" s="16" t="str">
        <f t="array" ref="F1281">"https://www.google.com/maps/search/?api=1&amp;query=" &amp; A1281 &amp; "," &amp; B1281</f>
        <v>https://www.google.com/maps/search/?api=1&amp;query=-30.8975587718317,-55.5341534305832</v>
      </c>
      <c r="G1281" s="16" t="str">
        <f t="array" ref="G1281">"https://earth.google.com/web/search/" &amp; A1281 &amp; "," &amp; B1281</f>
        <v>https://earth.google.com/web/search/-30.8975587718317,-55.5341534305832</v>
      </c>
      <c r="H1281" s="12"/>
      <c r="I1281" s="12"/>
      <c r="J1281" s="12"/>
      <c r="K1281" s="12"/>
      <c r="L1281" s="12"/>
      <c r="M1281" s="12"/>
      <c r="N1281" s="12"/>
      <c r="O1281" s="12"/>
      <c r="P1281" s="12"/>
      <c r="Q1281" s="12"/>
      <c r="R1281" s="12"/>
      <c r="S1281" s="12"/>
      <c r="T1281" s="12"/>
      <c r="U1281" s="12"/>
      <c r="V1281" s="12"/>
      <c r="W1281" s="12"/>
      <c r="X1281" s="12"/>
      <c r="Y1281" s="12"/>
      <c r="Z1281" s="12"/>
      <c r="AA1281" s="12"/>
    </row>
    <row r="1282" ht="26.25" customHeight="1">
      <c r="A1282" s="17" t="s">
        <v>2568</v>
      </c>
      <c r="B1282" s="18" t="s">
        <v>2569</v>
      </c>
      <c r="C1282" s="14">
        <v>1.0</v>
      </c>
      <c r="D1282" s="15">
        <v>71.0</v>
      </c>
      <c r="E1282" s="15">
        <v>9.0</v>
      </c>
      <c r="F1282" s="16" t="str">
        <f t="array" ref="F1282">"https://www.google.com/maps/search/?api=1&amp;query=" &amp; A1282 &amp; "," &amp; B1282</f>
        <v>https://www.google.com/maps/search/?api=1&amp;query=-30.8977557840184,-55.5341439800061</v>
      </c>
      <c r="G1282" s="16" t="str">
        <f t="array" ref="G1282">"https://earth.google.com/web/search/" &amp; A1282 &amp; "," &amp; B1282</f>
        <v>https://earth.google.com/web/search/-30.8977557840184,-55.5341439800061</v>
      </c>
      <c r="H1282" s="12"/>
      <c r="I1282" s="12"/>
      <c r="J1282" s="12"/>
      <c r="K1282" s="12"/>
      <c r="L1282" s="12"/>
      <c r="M1282" s="12"/>
      <c r="N1282" s="12"/>
      <c r="O1282" s="12"/>
      <c r="P1282" s="12"/>
      <c r="Q1282" s="12"/>
      <c r="R1282" s="12"/>
      <c r="S1282" s="12"/>
      <c r="T1282" s="12"/>
      <c r="U1282" s="12"/>
      <c r="V1282" s="12"/>
      <c r="W1282" s="12"/>
      <c r="X1282" s="12"/>
      <c r="Y1282" s="12"/>
      <c r="Z1282" s="12"/>
      <c r="AA1282" s="12"/>
    </row>
    <row r="1283" ht="26.25" customHeight="1">
      <c r="A1283" s="17" t="s">
        <v>2570</v>
      </c>
      <c r="B1283" s="18" t="s">
        <v>2571</v>
      </c>
      <c r="C1283" s="14">
        <v>1.0</v>
      </c>
      <c r="D1283" s="15">
        <v>71.0</v>
      </c>
      <c r="E1283" s="15">
        <v>10.0</v>
      </c>
      <c r="F1283" s="16" t="str">
        <f t="array" ref="F1283">"https://www.google.com/maps/search/?api=1&amp;query=" &amp; A1283 &amp; "," &amp; B1283</f>
        <v>https://www.google.com/maps/search/?api=1&amp;query=-30.8978421999712,-55.5341345631295</v>
      </c>
      <c r="G1283" s="16" t="str">
        <f t="array" ref="G1283">"https://earth.google.com/web/search/" &amp; A1283 &amp; "," &amp; B1283</f>
        <v>https://earth.google.com/web/search/-30.8978421999712,-55.5341345631295</v>
      </c>
      <c r="H1283" s="12"/>
      <c r="I1283" s="12"/>
      <c r="J1283" s="12"/>
      <c r="K1283" s="12"/>
      <c r="L1283" s="12"/>
      <c r="M1283" s="12"/>
      <c r="N1283" s="12"/>
      <c r="O1283" s="12"/>
      <c r="P1283" s="12"/>
      <c r="Q1283" s="12"/>
      <c r="R1283" s="12"/>
      <c r="S1283" s="12"/>
      <c r="T1283" s="12"/>
      <c r="U1283" s="12"/>
      <c r="V1283" s="12"/>
      <c r="W1283" s="12"/>
      <c r="X1283" s="12"/>
      <c r="Y1283" s="12"/>
      <c r="Z1283" s="12"/>
      <c r="AA1283" s="12"/>
    </row>
    <row r="1284" ht="26.25" customHeight="1">
      <c r="A1284" s="17" t="s">
        <v>2572</v>
      </c>
      <c r="B1284" s="18" t="s">
        <v>2573</v>
      </c>
      <c r="C1284" s="14">
        <v>1.0</v>
      </c>
      <c r="D1284" s="15">
        <v>71.0</v>
      </c>
      <c r="E1284" s="15">
        <v>11.0</v>
      </c>
      <c r="F1284" s="16" t="str">
        <f t="array" ref="F1284">"https://www.google.com/maps/search/?api=1&amp;query=" &amp; A1284 &amp; "," &amp; B1284</f>
        <v>https://www.google.com/maps/search/?api=1&amp;query=-30.8983565060304,-5.5534112265423</v>
      </c>
      <c r="G1284" s="16" t="str">
        <f t="array" ref="G1284">"https://earth.google.com/web/search/" &amp; A1284 &amp; "," &amp; B1284</f>
        <v>https://earth.google.com/web/search/-30.8983565060304,-5.5534112265423</v>
      </c>
      <c r="H1284" s="12"/>
      <c r="I1284" s="12"/>
      <c r="J1284" s="12"/>
      <c r="K1284" s="12"/>
      <c r="L1284" s="12"/>
      <c r="M1284" s="12"/>
      <c r="N1284" s="12"/>
      <c r="O1284" s="12"/>
      <c r="P1284" s="12"/>
      <c r="Q1284" s="12"/>
      <c r="R1284" s="12"/>
      <c r="S1284" s="12"/>
      <c r="T1284" s="12"/>
      <c r="U1284" s="12"/>
      <c r="V1284" s="12"/>
      <c r="W1284" s="12"/>
      <c r="X1284" s="12"/>
      <c r="Y1284" s="12"/>
      <c r="Z1284" s="12"/>
      <c r="AA1284" s="12"/>
    </row>
    <row r="1285" ht="26.25" customHeight="1">
      <c r="A1285" s="17" t="s">
        <v>2574</v>
      </c>
      <c r="B1285" s="18" t="s">
        <v>2575</v>
      </c>
      <c r="C1285" s="14">
        <v>1.0</v>
      </c>
      <c r="D1285" s="15">
        <v>71.0</v>
      </c>
      <c r="E1285" s="15">
        <v>12.0</v>
      </c>
      <c r="F1285" s="16" t="str">
        <f t="array" ref="F1285">"https://www.google.com/maps/search/?api=1&amp;query=" &amp; A1285 &amp; "," &amp; B1285</f>
        <v>https://www.google.com/maps/search/?api=1&amp;query=-30.8984224753414,-55.5341178627253</v>
      </c>
      <c r="G1285" s="16" t="str">
        <f t="array" ref="G1285">"https://earth.google.com/web/search/" &amp; A1285 &amp; "," &amp; B1285</f>
        <v>https://earth.google.com/web/search/-30.8984224753414,-55.5341178627253</v>
      </c>
      <c r="H1285" s="12"/>
      <c r="I1285" s="12"/>
      <c r="J1285" s="12"/>
      <c r="K1285" s="12"/>
      <c r="L1285" s="12"/>
      <c r="M1285" s="12"/>
      <c r="N1285" s="12"/>
      <c r="O1285" s="12"/>
      <c r="P1285" s="12"/>
      <c r="Q1285" s="12"/>
      <c r="R1285" s="12"/>
      <c r="S1285" s="12"/>
      <c r="T1285" s="12"/>
      <c r="U1285" s="12"/>
      <c r="V1285" s="12"/>
      <c r="W1285" s="12"/>
      <c r="X1285" s="12"/>
      <c r="Y1285" s="12"/>
      <c r="Z1285" s="12"/>
      <c r="AA1285" s="12"/>
    </row>
    <row r="1286" ht="26.25" customHeight="1">
      <c r="A1286" s="17" t="s">
        <v>2576</v>
      </c>
      <c r="B1286" s="18" t="s">
        <v>2577</v>
      </c>
      <c r="C1286" s="14">
        <v>1.0</v>
      </c>
      <c r="D1286" s="15">
        <v>71.0</v>
      </c>
      <c r="E1286" s="15">
        <v>13.0</v>
      </c>
      <c r="F1286" s="16" t="str">
        <f t="array" ref="F1286">"https://www.google.com/maps/search/?api=1&amp;query=" &amp; A1286 &amp; "," &amp; B1286</f>
        <v>https://www.google.com/maps/search/?api=1&amp;query=-30.8983917986173,-5.5534543384848</v>
      </c>
      <c r="G1286" s="16" t="str">
        <f t="array" ref="G1286">"https://earth.google.com/web/search/" &amp; A1286 &amp; "," &amp; B1286</f>
        <v>https://earth.google.com/web/search/-30.8983917986173,-5.5534543384848</v>
      </c>
      <c r="H1286" s="12"/>
      <c r="I1286" s="12"/>
      <c r="J1286" s="12"/>
      <c r="K1286" s="12"/>
      <c r="L1286" s="12"/>
      <c r="M1286" s="12"/>
      <c r="N1286" s="12"/>
      <c r="O1286" s="12"/>
      <c r="P1286" s="12"/>
      <c r="Q1286" s="12"/>
      <c r="R1286" s="12"/>
      <c r="S1286" s="12"/>
      <c r="T1286" s="12"/>
      <c r="U1286" s="12"/>
      <c r="V1286" s="12"/>
      <c r="W1286" s="12"/>
      <c r="X1286" s="12"/>
      <c r="Y1286" s="12"/>
      <c r="Z1286" s="12"/>
      <c r="AA1286" s="12"/>
    </row>
    <row r="1287" ht="26.25" customHeight="1">
      <c r="A1287" s="17" t="s">
        <v>2578</v>
      </c>
      <c r="B1287" s="18" t="s">
        <v>2579</v>
      </c>
      <c r="C1287" s="14">
        <v>1.0</v>
      </c>
      <c r="D1287" s="15">
        <v>71.0</v>
      </c>
      <c r="E1287" s="15">
        <v>14.0</v>
      </c>
      <c r="F1287" s="16" t="str">
        <f t="array" ref="F1287">"https://www.google.com/maps/search/?api=1&amp;query=" &amp; A1287 &amp; "," &amp; B1287</f>
        <v>https://www.google.com/maps/search/?api=1&amp;query=-30.8983545765672,-55.5346163530518</v>
      </c>
      <c r="G1287" s="16" t="str">
        <f t="array" ref="G1287">"https://earth.google.com/web/search/" &amp; A1287 &amp; "," &amp; B1287</f>
        <v>https://earth.google.com/web/search/-30.8983545765672,-55.5346163530518</v>
      </c>
      <c r="H1287" s="12"/>
      <c r="I1287" s="12"/>
      <c r="J1287" s="12"/>
      <c r="K1287" s="12"/>
      <c r="L1287" s="12"/>
      <c r="M1287" s="12"/>
      <c r="N1287" s="12"/>
      <c r="O1287" s="12"/>
      <c r="P1287" s="12"/>
      <c r="Q1287" s="12"/>
      <c r="R1287" s="12"/>
      <c r="S1287" s="12"/>
      <c r="T1287" s="12"/>
      <c r="U1287" s="12"/>
      <c r="V1287" s="12"/>
      <c r="W1287" s="12"/>
      <c r="X1287" s="12"/>
      <c r="Y1287" s="12"/>
      <c r="Z1287" s="12"/>
      <c r="AA1287" s="12"/>
    </row>
    <row r="1288" ht="26.25" customHeight="1">
      <c r="A1288" s="17" t="s">
        <v>2580</v>
      </c>
      <c r="B1288" s="18" t="s">
        <v>2581</v>
      </c>
      <c r="C1288" s="14">
        <v>1.0</v>
      </c>
      <c r="D1288" s="15">
        <v>70.0</v>
      </c>
      <c r="E1288" s="15">
        <v>1.0</v>
      </c>
      <c r="F1288" s="16" t="str">
        <f t="array" ref="F1288">"https://www.google.com/maps/search/?api=1&amp;query=" &amp; A1288 &amp; "," &amp; B1288</f>
        <v>https://www.google.com/maps/search/?api=1&amp;query=-30.8976032502176,-55.5356559330046</v>
      </c>
      <c r="G1288" s="16" t="str">
        <f t="array" ref="G1288">"https://earth.google.com/web/search/" &amp; A1288 &amp; "," &amp; B1288</f>
        <v>https://earth.google.com/web/search/-30.8976032502176,-55.5356559330046</v>
      </c>
      <c r="H1288" s="12"/>
      <c r="I1288" s="12"/>
      <c r="J1288" s="12"/>
      <c r="K1288" s="12"/>
      <c r="L1288" s="12"/>
      <c r="M1288" s="12"/>
      <c r="N1288" s="12"/>
      <c r="O1288" s="12"/>
      <c r="P1288" s="12"/>
      <c r="Q1288" s="12"/>
      <c r="R1288" s="12"/>
      <c r="S1288" s="12"/>
      <c r="T1288" s="12"/>
      <c r="U1288" s="12"/>
      <c r="V1288" s="12"/>
      <c r="W1288" s="12"/>
      <c r="X1288" s="12"/>
      <c r="Y1288" s="12"/>
      <c r="Z1288" s="12"/>
      <c r="AA1288" s="12"/>
    </row>
    <row r="1289" ht="26.25" customHeight="1">
      <c r="A1289" s="17" t="s">
        <v>2582</v>
      </c>
      <c r="B1289" s="18" t="s">
        <v>2583</v>
      </c>
      <c r="C1289" s="14">
        <v>1.0</v>
      </c>
      <c r="D1289" s="15">
        <v>70.0</v>
      </c>
      <c r="E1289" s="15">
        <v>2.0</v>
      </c>
      <c r="F1289" s="16" t="str">
        <f t="array" ref="F1289">"https://www.google.com/maps/search/?api=1&amp;query=" &amp; A1289 &amp; "," &amp; B1289</f>
        <v>https://www.google.com/maps/search/?api=1&amp;query=-30.8973640633851,-55.5354837131276</v>
      </c>
      <c r="G1289" s="16" t="str">
        <f t="array" ref="G1289">"https://earth.google.com/web/search/" &amp; A1289 &amp; "," &amp; B1289</f>
        <v>https://earth.google.com/web/search/-30.8973640633851,-55.5354837131276</v>
      </c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/>
      <c r="S1289" s="12"/>
      <c r="T1289" s="12"/>
      <c r="U1289" s="12"/>
      <c r="V1289" s="12"/>
      <c r="W1289" s="12"/>
      <c r="X1289" s="12"/>
      <c r="Y1289" s="12"/>
      <c r="Z1289" s="12"/>
      <c r="AA1289" s="12"/>
    </row>
    <row r="1290" ht="26.25" customHeight="1">
      <c r="A1290" s="17" t="s">
        <v>2584</v>
      </c>
      <c r="B1290" s="18" t="s">
        <v>2585</v>
      </c>
      <c r="C1290" s="14">
        <v>1.0</v>
      </c>
      <c r="D1290" s="15">
        <v>70.0</v>
      </c>
      <c r="E1290" s="15">
        <v>3.0</v>
      </c>
      <c r="F1290" s="16" t="str">
        <f t="array" ref="F1290">"https://www.google.com/maps/search/?api=1&amp;query=" &amp; A1290 &amp; "," &amp; B1290</f>
        <v>https://www.google.com/maps/search/?api=1&amp;query=-30.8972664050307,-55.5347036060514</v>
      </c>
      <c r="G1290" s="16" t="str">
        <f t="array" ref="G1290">"https://earth.google.com/web/search/" &amp; A1290 &amp; "," &amp; B1290</f>
        <v>https://earth.google.com/web/search/-30.8972664050307,-55.5347036060514</v>
      </c>
      <c r="H1290" s="12"/>
      <c r="I1290" s="12"/>
      <c r="J1290" s="12"/>
      <c r="K1290" s="12"/>
      <c r="L1290" s="12"/>
      <c r="M1290" s="12"/>
      <c r="N1290" s="12"/>
      <c r="O1290" s="12"/>
      <c r="P1290" s="12"/>
      <c r="Q1290" s="12"/>
      <c r="R1290" s="12"/>
      <c r="S1290" s="12"/>
      <c r="T1290" s="12"/>
      <c r="U1290" s="12"/>
      <c r="V1290" s="12"/>
      <c r="W1290" s="12"/>
      <c r="X1290" s="12"/>
      <c r="Y1290" s="12"/>
      <c r="Z1290" s="12"/>
      <c r="AA1290" s="12"/>
    </row>
    <row r="1291" ht="26.25" customHeight="1">
      <c r="A1291" s="17" t="s">
        <v>2586</v>
      </c>
      <c r="B1291" s="18" t="s">
        <v>2587</v>
      </c>
      <c r="C1291" s="14">
        <v>1.0</v>
      </c>
      <c r="D1291" s="15">
        <v>70.0</v>
      </c>
      <c r="E1291" s="15">
        <v>4.0</v>
      </c>
      <c r="F1291" s="16" t="str">
        <f t="array" ref="F1291">"https://www.google.com/maps/search/?api=1&amp;query=" &amp; A1291 &amp; "," &amp; B1291</f>
        <v>https://www.google.com/maps/search/?api=1&amp;query=-30.8974564500204,-55.5343867290987</v>
      </c>
      <c r="G1291" s="16" t="str">
        <f t="array" ref="G1291">"https://earth.google.com/web/search/" &amp; A1291 &amp; "," &amp; B1291</f>
        <v>https://earth.google.com/web/search/-30.8974564500204,-55.5343867290987</v>
      </c>
      <c r="H1291" s="12"/>
      <c r="I1291" s="12"/>
      <c r="J1291" s="12"/>
      <c r="K1291" s="12"/>
      <c r="L1291" s="12"/>
      <c r="M1291" s="12"/>
      <c r="N1291" s="12"/>
      <c r="O1291" s="12"/>
      <c r="P1291" s="12"/>
      <c r="Q1291" s="12"/>
      <c r="R1291" s="12"/>
      <c r="S1291" s="12"/>
      <c r="T1291" s="12"/>
      <c r="U1291" s="12"/>
      <c r="V1291" s="12"/>
      <c r="W1291" s="12"/>
      <c r="X1291" s="12"/>
      <c r="Y1291" s="12"/>
      <c r="Z1291" s="12"/>
      <c r="AA1291" s="12"/>
    </row>
    <row r="1292" ht="26.25" customHeight="1">
      <c r="A1292" s="17" t="s">
        <v>2588</v>
      </c>
      <c r="B1292" s="18" t="s">
        <v>2589</v>
      </c>
      <c r="C1292" s="14">
        <v>1.0</v>
      </c>
      <c r="D1292" s="15">
        <v>70.0</v>
      </c>
      <c r="E1292" s="15">
        <v>5.0</v>
      </c>
      <c r="F1292" s="16" t="str">
        <f t="array" ref="F1292">"https://www.google.com/maps/search/?api=1&amp;query=" &amp; A1292 &amp; "," &amp; B1292</f>
        <v>https://www.google.com/maps/search/?api=1&amp;query=-30.8975321940784,-55.5344207788466</v>
      </c>
      <c r="G1292" s="16" t="str">
        <f t="array" ref="G1292">"https://earth.google.com/web/search/" &amp; A1292 &amp; "," &amp; B1292</f>
        <v>https://earth.google.com/web/search/-30.8975321940784,-55.5344207788466</v>
      </c>
      <c r="H1292" s="12"/>
      <c r="I1292" s="12"/>
      <c r="J1292" s="12"/>
      <c r="K1292" s="12"/>
      <c r="L1292" s="12"/>
      <c r="M1292" s="12"/>
      <c r="N1292" s="12"/>
      <c r="O1292" s="12"/>
      <c r="P1292" s="12"/>
      <c r="Q1292" s="12"/>
      <c r="R1292" s="12"/>
      <c r="S1292" s="12"/>
      <c r="T1292" s="12"/>
      <c r="U1292" s="12"/>
      <c r="V1292" s="12"/>
      <c r="W1292" s="12"/>
      <c r="X1292" s="12"/>
      <c r="Y1292" s="12"/>
      <c r="Z1292" s="12"/>
      <c r="AA1292" s="12"/>
    </row>
    <row r="1293" ht="26.25" customHeight="1">
      <c r="A1293" s="17" t="s">
        <v>2590</v>
      </c>
      <c r="B1293" s="18" t="s">
        <v>2591</v>
      </c>
      <c r="C1293" s="14">
        <v>1.0</v>
      </c>
      <c r="D1293" s="15">
        <v>70.0</v>
      </c>
      <c r="E1293" s="15">
        <v>6.0</v>
      </c>
      <c r="F1293" s="16" t="str">
        <f t="array" ref="F1293">"https://www.google.com/maps/search/?api=1&amp;query=" &amp; A1293 &amp; "," &amp; B1293</f>
        <v>https://www.google.com/maps/search/?api=1&amp;query=-30.8975826561179,-55.5344560309318</v>
      </c>
      <c r="G1293" s="16" t="str">
        <f t="array" ref="G1293">"https://earth.google.com/web/search/" &amp; A1293 &amp; "," &amp; B1293</f>
        <v>https://earth.google.com/web/search/-30.8975826561179,-55.5344560309318</v>
      </c>
      <c r="H1293" s="12"/>
      <c r="I1293" s="12"/>
      <c r="J1293" s="12"/>
      <c r="K1293" s="12"/>
      <c r="L1293" s="12"/>
      <c r="M1293" s="12"/>
      <c r="N1293" s="12"/>
      <c r="O1293" s="12"/>
      <c r="P1293" s="12"/>
      <c r="Q1293" s="12"/>
      <c r="R1293" s="12"/>
      <c r="S1293" s="12"/>
      <c r="T1293" s="12"/>
      <c r="U1293" s="12"/>
      <c r="V1293" s="12"/>
      <c r="W1293" s="12"/>
      <c r="X1293" s="12"/>
      <c r="Y1293" s="12"/>
      <c r="Z1293" s="12"/>
      <c r="AA1293" s="12"/>
    </row>
    <row r="1294" ht="26.25" customHeight="1">
      <c r="A1294" s="17" t="s">
        <v>2592</v>
      </c>
      <c r="B1294" s="18" t="s">
        <v>2593</v>
      </c>
      <c r="C1294" s="14">
        <v>1.0</v>
      </c>
      <c r="D1294" s="15">
        <v>70.0</v>
      </c>
      <c r="E1294" s="15">
        <v>7.0</v>
      </c>
      <c r="F1294" s="16" t="str">
        <f t="array" ref="F1294">"https://www.google.com/maps/search/?api=1&amp;query=" &amp; A1294 &amp; "," &amp; B1294</f>
        <v>https://www.google.com/maps/search/?api=1&amp;query=-30.8977586815096,-55.5346220390392</v>
      </c>
      <c r="G1294" s="16" t="str">
        <f t="array" ref="G1294">"https://earth.google.com/web/search/" &amp; A1294 &amp; "," &amp; B1294</f>
        <v>https://earth.google.com/web/search/-30.8977586815096,-55.5346220390392</v>
      </c>
      <c r="H1294" s="12"/>
      <c r="I1294" s="12"/>
      <c r="J1294" s="12"/>
      <c r="K1294" s="12"/>
      <c r="L1294" s="12"/>
      <c r="M1294" s="12"/>
      <c r="N1294" s="12"/>
      <c r="O1294" s="12"/>
      <c r="P1294" s="12"/>
      <c r="Q1294" s="12"/>
      <c r="R1294" s="12"/>
      <c r="S1294" s="12"/>
      <c r="T1294" s="12"/>
      <c r="U1294" s="12"/>
      <c r="V1294" s="12"/>
      <c r="W1294" s="12"/>
      <c r="X1294" s="12"/>
      <c r="Y1294" s="12"/>
      <c r="Z1294" s="12"/>
      <c r="AA1294" s="12"/>
    </row>
    <row r="1295" ht="26.25" customHeight="1">
      <c r="A1295" s="17" t="s">
        <v>2594</v>
      </c>
      <c r="B1295" s="18" t="s">
        <v>2595</v>
      </c>
      <c r="C1295" s="14">
        <v>1.0</v>
      </c>
      <c r="D1295" s="15">
        <v>70.0</v>
      </c>
      <c r="E1295" s="15">
        <v>8.0</v>
      </c>
      <c r="F1295" s="16" t="str">
        <f t="array" ref="F1295">"https://www.google.com/maps/search/?api=1&amp;query=" &amp; A1295 &amp; "," &amp; B1295</f>
        <v>https://www.google.com/maps/search/?api=1&amp;query=-3.0897835842508,-55.5346789952664</v>
      </c>
      <c r="G1295" s="16" t="str">
        <f t="array" ref="G1295">"https://earth.google.com/web/search/" &amp; A1295 &amp; "," &amp; B1295</f>
        <v>https://earth.google.com/web/search/-3.0897835842508,-55.5346789952664</v>
      </c>
      <c r="H1295" s="12"/>
      <c r="I1295" s="12"/>
      <c r="J1295" s="12"/>
      <c r="K1295" s="12"/>
      <c r="L1295" s="12"/>
      <c r="M1295" s="12"/>
      <c r="N1295" s="12"/>
      <c r="O1295" s="12"/>
      <c r="P1295" s="12"/>
      <c r="Q1295" s="12"/>
      <c r="R1295" s="12"/>
      <c r="S1295" s="12"/>
      <c r="T1295" s="12"/>
      <c r="U1295" s="12"/>
      <c r="V1295" s="12"/>
      <c r="W1295" s="12"/>
      <c r="X1295" s="12"/>
      <c r="Y1295" s="12"/>
      <c r="Z1295" s="12"/>
      <c r="AA1295" s="12"/>
    </row>
    <row r="1296" ht="26.25" customHeight="1">
      <c r="A1296" s="17" t="s">
        <v>2596</v>
      </c>
      <c r="B1296" s="18" t="s">
        <v>2597</v>
      </c>
      <c r="C1296" s="14">
        <v>1.0</v>
      </c>
      <c r="D1296" s="15">
        <v>70.0</v>
      </c>
      <c r="E1296" s="15">
        <v>9.0</v>
      </c>
      <c r="F1296" s="16" t="str">
        <f t="array" ref="F1296">"https://www.google.com/maps/search/?api=1&amp;query=" &amp; A1296 &amp; "," &amp; B1296</f>
        <v>https://www.google.com/maps/search/?api=1&amp;query=-30.8978970432966,-55.5347320625235</v>
      </c>
      <c r="G1296" s="16" t="str">
        <f t="array" ref="G1296">"https://earth.google.com/web/search/" &amp; A1296 &amp; "," &amp; B1296</f>
        <v>https://earth.google.com/web/search/-30.8978970432966,-55.5347320625235</v>
      </c>
      <c r="H1296" s="12"/>
      <c r="I1296" s="12"/>
      <c r="J1296" s="12"/>
      <c r="K1296" s="12"/>
      <c r="L1296" s="12"/>
      <c r="M1296" s="12"/>
      <c r="N1296" s="12"/>
      <c r="O1296" s="12"/>
      <c r="P1296" s="12"/>
      <c r="Q1296" s="12"/>
      <c r="R1296" s="12"/>
      <c r="S1296" s="12"/>
      <c r="T1296" s="12"/>
      <c r="U1296" s="12"/>
      <c r="V1296" s="12"/>
      <c r="W1296" s="12"/>
      <c r="X1296" s="12"/>
      <c r="Y1296" s="12"/>
      <c r="Z1296" s="12"/>
      <c r="AA1296" s="12"/>
    </row>
    <row r="1297" ht="26.25" customHeight="1">
      <c r="A1297" s="17" t="s">
        <v>2598</v>
      </c>
      <c r="B1297" s="18" t="s">
        <v>2599</v>
      </c>
      <c r="C1297" s="14">
        <v>1.0</v>
      </c>
      <c r="D1297" s="15">
        <v>70.0</v>
      </c>
      <c r="E1297" s="15">
        <v>10.0</v>
      </c>
      <c r="F1297" s="16" t="str">
        <f t="array" ref="F1297">"https://www.google.com/maps/search/?api=1&amp;query=" &amp; A1297 &amp; "," &amp; B1297</f>
        <v>https://www.google.com/maps/search/?api=1&amp;query=-30.8979380202661,-55.5347729263218</v>
      </c>
      <c r="G1297" s="16" t="str">
        <f t="array" ref="G1297">"https://earth.google.com/web/search/" &amp; A1297 &amp; "," &amp; B1297</f>
        <v>https://earth.google.com/web/search/-30.8979380202661,-55.5347729263218</v>
      </c>
      <c r="H1297" s="12"/>
      <c r="I1297" s="12"/>
      <c r="J1297" s="12"/>
      <c r="K1297" s="12"/>
      <c r="L1297" s="12"/>
      <c r="M1297" s="12"/>
      <c r="N1297" s="12"/>
      <c r="O1297" s="12"/>
      <c r="P1297" s="12"/>
      <c r="Q1297" s="12"/>
      <c r="R1297" s="12"/>
      <c r="S1297" s="12"/>
      <c r="T1297" s="12"/>
      <c r="U1297" s="12"/>
      <c r="V1297" s="12"/>
      <c r="W1297" s="12"/>
      <c r="X1297" s="12"/>
      <c r="Y1297" s="12"/>
      <c r="Z1297" s="12"/>
      <c r="AA1297" s="12"/>
    </row>
    <row r="1298" ht="26.25" customHeight="1">
      <c r="A1298" s="17" t="s">
        <v>2600</v>
      </c>
      <c r="B1298" s="18" t="s">
        <v>2601</v>
      </c>
      <c r="C1298" s="14">
        <v>1.0</v>
      </c>
      <c r="D1298" s="15">
        <v>70.0</v>
      </c>
      <c r="E1298" s="15">
        <v>11.0</v>
      </c>
      <c r="F1298" s="16" t="str">
        <f t="array" ref="F1298">"https://www.google.com/maps/search/?api=1&amp;query=" &amp; A1298 &amp; "," &amp; B1298</f>
        <v>https://www.google.com/maps/search/?api=1&amp;query=-3.0898030554729,-55.5348256229602</v>
      </c>
      <c r="G1298" s="16" t="str">
        <f t="array" ref="G1298">"https://earth.google.com/web/search/" &amp; A1298 &amp; "," &amp; B1298</f>
        <v>https://earth.google.com/web/search/-3.0898030554729,-55.5348256229602</v>
      </c>
      <c r="H1298" s="12"/>
      <c r="I1298" s="12"/>
      <c r="J1298" s="12"/>
      <c r="K1298" s="12"/>
      <c r="L1298" s="12"/>
      <c r="M1298" s="12"/>
      <c r="N1298" s="12"/>
      <c r="O1298" s="12"/>
      <c r="P1298" s="12"/>
      <c r="Q1298" s="12"/>
      <c r="R1298" s="12"/>
      <c r="S1298" s="12"/>
      <c r="T1298" s="12"/>
      <c r="U1298" s="12"/>
      <c r="V1298" s="12"/>
      <c r="W1298" s="12"/>
      <c r="X1298" s="12"/>
      <c r="Y1298" s="12"/>
      <c r="Z1298" s="12"/>
      <c r="AA1298" s="12"/>
    </row>
    <row r="1299" ht="26.25" customHeight="1">
      <c r="A1299" s="17" t="s">
        <v>2602</v>
      </c>
      <c r="B1299" s="18" t="s">
        <v>2603</v>
      </c>
      <c r="C1299" s="14">
        <v>1.0</v>
      </c>
      <c r="D1299" s="15">
        <v>70.0</v>
      </c>
      <c r="E1299" s="15">
        <v>12.0</v>
      </c>
      <c r="F1299" s="16" t="str">
        <f t="array" ref="F1299">"https://www.google.com/maps/search/?api=1&amp;query=" &amp; A1299 &amp; "," &amp; B1299</f>
        <v>https://www.google.com/maps/search/?api=1&amp;query=-30.8981201938317,-55.5348999097782</v>
      </c>
      <c r="G1299" s="16" t="str">
        <f t="array" ref="G1299">"https://earth.google.com/web/search/" &amp; A1299 &amp; "," &amp; B1299</f>
        <v>https://earth.google.com/web/search/-30.8981201938317,-55.5348999097782</v>
      </c>
      <c r="H1299" s="12"/>
      <c r="I1299" s="12"/>
      <c r="J1299" s="12"/>
      <c r="K1299" s="12"/>
      <c r="L1299" s="12"/>
      <c r="M1299" s="12"/>
      <c r="N1299" s="12"/>
      <c r="O1299" s="12"/>
      <c r="P1299" s="12"/>
      <c r="Q1299" s="12"/>
      <c r="R1299" s="12"/>
      <c r="S1299" s="12"/>
      <c r="T1299" s="12"/>
      <c r="U1299" s="12"/>
      <c r="V1299" s="12"/>
      <c r="W1299" s="12"/>
      <c r="X1299" s="12"/>
      <c r="Y1299" s="12"/>
      <c r="Z1299" s="12"/>
      <c r="AA1299" s="12"/>
    </row>
    <row r="1300" ht="26.25" customHeight="1">
      <c r="A1300" s="17" t="s">
        <v>2604</v>
      </c>
      <c r="B1300" s="18" t="s">
        <v>2605</v>
      </c>
      <c r="C1300" s="14">
        <v>1.0</v>
      </c>
      <c r="D1300" s="15">
        <v>70.0</v>
      </c>
      <c r="E1300" s="15">
        <v>13.0</v>
      </c>
      <c r="F1300" s="16" t="str">
        <f t="array" ref="F1300">"https://www.google.com/maps/search/?api=1&amp;query=" &amp; A1300 &amp; "," &amp; B1300</f>
        <v>https://www.google.com/maps/search/?api=1&amp;query=-30.8981461341677,-55.5350055604747</v>
      </c>
      <c r="G1300" s="16" t="str">
        <f t="array" ref="G1300">"https://earth.google.com/web/search/" &amp; A1300 &amp; "," &amp; B1300</f>
        <v>https://earth.google.com/web/search/-30.8981461341677,-55.5350055604747</v>
      </c>
      <c r="H1300" s="12"/>
      <c r="I1300" s="12"/>
      <c r="J1300" s="12"/>
      <c r="K1300" s="12"/>
      <c r="L1300" s="12"/>
      <c r="M1300" s="12"/>
      <c r="N1300" s="12"/>
      <c r="O1300" s="12"/>
      <c r="P1300" s="12"/>
      <c r="Q1300" s="12"/>
      <c r="R1300" s="12"/>
      <c r="S1300" s="12"/>
      <c r="T1300" s="12"/>
      <c r="U1300" s="12"/>
      <c r="V1300" s="12"/>
      <c r="W1300" s="12"/>
      <c r="X1300" s="12"/>
      <c r="Y1300" s="12"/>
      <c r="Z1300" s="12"/>
      <c r="AA1300" s="12"/>
    </row>
    <row r="1301" ht="26.25" customHeight="1">
      <c r="A1301" s="17" t="s">
        <v>2606</v>
      </c>
      <c r="B1301" s="18" t="s">
        <v>2607</v>
      </c>
      <c r="C1301" s="14">
        <v>1.0</v>
      </c>
      <c r="D1301" s="15">
        <v>70.0</v>
      </c>
      <c r="E1301" s="15">
        <v>14.0</v>
      </c>
      <c r="F1301" s="16" t="str">
        <f t="array" ref="F1301">"https://www.google.com/maps/search/?api=1&amp;query=" &amp; A1301 &amp; "," &amp; B1301</f>
        <v>https://www.google.com/maps/search/?api=1&amp;query=-30.8980657889298,-5.5535117173157</v>
      </c>
      <c r="G1301" s="16" t="str">
        <f t="array" ref="G1301">"https://earth.google.com/web/search/" &amp; A1301 &amp; "," &amp; B1301</f>
        <v>https://earth.google.com/web/search/-30.8980657889298,-5.5535117173157</v>
      </c>
      <c r="H1301" s="12"/>
      <c r="I1301" s="12"/>
      <c r="J1301" s="12"/>
      <c r="K1301" s="12"/>
      <c r="L1301" s="12"/>
      <c r="M1301" s="12"/>
      <c r="N1301" s="12"/>
      <c r="O1301" s="12"/>
      <c r="P1301" s="12"/>
      <c r="Q1301" s="12"/>
      <c r="R1301" s="12"/>
      <c r="S1301" s="12"/>
      <c r="T1301" s="12"/>
      <c r="U1301" s="12"/>
      <c r="V1301" s="12"/>
      <c r="W1301" s="12"/>
      <c r="X1301" s="12"/>
      <c r="Y1301" s="12"/>
      <c r="Z1301" s="12"/>
      <c r="AA1301" s="12"/>
    </row>
    <row r="1302" ht="26.25" customHeight="1">
      <c r="A1302" s="17" t="s">
        <v>2608</v>
      </c>
      <c r="B1302" s="18" t="s">
        <v>2609</v>
      </c>
      <c r="C1302" s="14">
        <v>1.0</v>
      </c>
      <c r="D1302" s="15">
        <v>70.0</v>
      </c>
      <c r="E1302" s="15">
        <v>15.0</v>
      </c>
      <c r="F1302" s="16" t="str">
        <f t="array" ref="F1302">"https://www.google.com/maps/search/?api=1&amp;query=" &amp; A1302 &amp; "," &amp; B1302</f>
        <v>https://www.google.com/maps/search/?api=1&amp;query=-30.8980336359404,-55.5351996348498</v>
      </c>
      <c r="G1302" s="16" t="str">
        <f t="array" ref="G1302">"https://earth.google.com/web/search/" &amp; A1302 &amp; "," &amp; B1302</f>
        <v>https://earth.google.com/web/search/-30.8980336359404,-55.5351996348498</v>
      </c>
      <c r="H1302" s="12"/>
      <c r="I1302" s="12"/>
      <c r="J1302" s="12"/>
      <c r="K1302" s="12"/>
      <c r="L1302" s="12"/>
      <c r="M1302" s="12"/>
      <c r="N1302" s="12"/>
      <c r="O1302" s="12"/>
      <c r="P1302" s="12"/>
      <c r="Q1302" s="12"/>
      <c r="R1302" s="12"/>
      <c r="S1302" s="12"/>
      <c r="T1302" s="12"/>
      <c r="U1302" s="12"/>
      <c r="V1302" s="12"/>
      <c r="W1302" s="12"/>
      <c r="X1302" s="12"/>
      <c r="Y1302" s="12"/>
      <c r="Z1302" s="12"/>
      <c r="AA1302" s="12"/>
    </row>
    <row r="1303" ht="26.25" customHeight="1">
      <c r="A1303" s="17" t="s">
        <v>2610</v>
      </c>
      <c r="B1303" s="18" t="s">
        <v>2611</v>
      </c>
      <c r="C1303" s="14">
        <v>1.0</v>
      </c>
      <c r="D1303" s="15">
        <v>70.0</v>
      </c>
      <c r="E1303" s="15">
        <v>16.0</v>
      </c>
      <c r="F1303" s="16" t="str">
        <f t="array" ref="F1303">"https://www.google.com/maps/search/?api=1&amp;query=" &amp; A1303 &amp; "," &amp; B1303</f>
        <v>https://www.google.com/maps/search/?api=1&amp;query=-30.8979776531613,-55.5352931614346</v>
      </c>
      <c r="G1303" s="16" t="str">
        <f t="array" ref="G1303">"https://earth.google.com/web/search/" &amp; A1303 &amp; "," &amp; B1303</f>
        <v>https://earth.google.com/web/search/-30.8979776531613,-55.5352931614346</v>
      </c>
      <c r="H1303" s="12"/>
      <c r="I1303" s="12"/>
      <c r="J1303" s="12"/>
      <c r="K1303" s="12"/>
      <c r="L1303" s="12"/>
      <c r="M1303" s="12"/>
      <c r="N1303" s="12"/>
      <c r="O1303" s="12"/>
      <c r="P1303" s="12"/>
      <c r="Q1303" s="12"/>
      <c r="R1303" s="12"/>
      <c r="S1303" s="12"/>
      <c r="T1303" s="12"/>
      <c r="U1303" s="12"/>
      <c r="V1303" s="12"/>
      <c r="W1303" s="12"/>
      <c r="X1303" s="12"/>
      <c r="Y1303" s="12"/>
      <c r="Z1303" s="12"/>
      <c r="AA1303" s="12"/>
    </row>
    <row r="1304" ht="26.25" customHeight="1">
      <c r="A1304" s="17" t="s">
        <v>2612</v>
      </c>
      <c r="B1304" s="18" t="s">
        <v>2613</v>
      </c>
      <c r="C1304" s="14">
        <v>1.0</v>
      </c>
      <c r="D1304" s="15">
        <v>70.0</v>
      </c>
      <c r="E1304" s="15">
        <v>17.0</v>
      </c>
      <c r="F1304" s="16" t="str">
        <f t="array" ref="F1304">"https://www.google.com/maps/search/?api=1&amp;query=" &amp; A1304 &amp; "," &amp; B1304</f>
        <v>https://www.google.com/maps/search/?api=1&amp;query=-30.8978695933645,-55.5355124608961</v>
      </c>
      <c r="G1304" s="16" t="str">
        <f t="array" ref="G1304">"https://earth.google.com/web/search/" &amp; A1304 &amp; "," &amp; B1304</f>
        <v>https://earth.google.com/web/search/-30.8978695933645,-55.5355124608961</v>
      </c>
      <c r="H1304" s="12"/>
      <c r="I1304" s="12"/>
      <c r="J1304" s="12"/>
      <c r="K1304" s="12"/>
      <c r="L1304" s="12"/>
      <c r="M1304" s="12"/>
      <c r="N1304" s="12"/>
      <c r="O1304" s="12"/>
      <c r="P1304" s="12"/>
      <c r="Q1304" s="12"/>
      <c r="R1304" s="12"/>
      <c r="S1304" s="12"/>
      <c r="T1304" s="12"/>
      <c r="U1304" s="12"/>
      <c r="V1304" s="12"/>
      <c r="W1304" s="12"/>
      <c r="X1304" s="12"/>
      <c r="Y1304" s="12"/>
      <c r="Z1304" s="12"/>
      <c r="AA1304" s="12"/>
    </row>
    <row r="1305" ht="26.25" customHeight="1">
      <c r="A1305" s="17" t="s">
        <v>2614</v>
      </c>
      <c r="B1305" s="18" t="s">
        <v>2615</v>
      </c>
      <c r="C1305" s="14">
        <v>1.0</v>
      </c>
      <c r="D1305" s="15">
        <v>69.0</v>
      </c>
      <c r="E1305" s="15">
        <v>1.0</v>
      </c>
      <c r="F1305" s="16" t="str">
        <f t="array" ref="F1305">"https://www.google.com/maps/search/?api=1&amp;query=" &amp; A1305 &amp; "," &amp; B1305</f>
        <v>https://www.google.com/maps/search/?api=1&amp;query=-3.0896562067953,-55.5360403340452</v>
      </c>
      <c r="G1305" s="16" t="str">
        <f t="array" ref="G1305">"https://earth.google.com/web/search/" &amp; A1305 &amp; "," &amp; B1305</f>
        <v>https://earth.google.com/web/search/-3.0896562067953,-55.5360403340452</v>
      </c>
      <c r="H1305" s="12"/>
      <c r="I1305" s="12"/>
      <c r="J1305" s="12"/>
      <c r="K1305" s="12"/>
      <c r="L1305" s="12"/>
      <c r="M1305" s="12"/>
      <c r="N1305" s="12"/>
      <c r="O1305" s="12"/>
      <c r="P1305" s="12"/>
      <c r="Q1305" s="12"/>
      <c r="R1305" s="12"/>
      <c r="S1305" s="12"/>
      <c r="T1305" s="12"/>
      <c r="U1305" s="12"/>
      <c r="V1305" s="12"/>
      <c r="W1305" s="12"/>
      <c r="X1305" s="12"/>
      <c r="Y1305" s="12"/>
      <c r="Z1305" s="12"/>
      <c r="AA1305" s="12"/>
    </row>
    <row r="1306" ht="26.25" customHeight="1">
      <c r="A1306" s="17" t="s">
        <v>2616</v>
      </c>
      <c r="B1306" s="18" t="s">
        <v>2617</v>
      </c>
      <c r="C1306" s="14">
        <v>1.0</v>
      </c>
      <c r="D1306" s="15">
        <v>69.0</v>
      </c>
      <c r="E1306" s="15">
        <v>2.0</v>
      </c>
      <c r="F1306" s="16" t="str">
        <f t="array" ref="F1306">"https://www.google.com/maps/search/?api=1&amp;query=" &amp; A1306 &amp; "," &amp; B1306</f>
        <v>https://www.google.com/maps/search/?api=1&amp;query=-30.8966599947885,-0.0555358337787</v>
      </c>
      <c r="G1306" s="16" t="str">
        <f t="array" ref="G1306">"https://earth.google.com/web/search/" &amp; A1306 &amp; "," &amp; B1306</f>
        <v>https://earth.google.com/web/search/-30.8966599947885,-0.0555358337787</v>
      </c>
      <c r="H1306" s="12"/>
      <c r="I1306" s="12"/>
      <c r="J1306" s="12"/>
      <c r="K1306" s="12"/>
      <c r="L1306" s="12"/>
      <c r="M1306" s="12"/>
      <c r="N1306" s="12"/>
      <c r="O1306" s="12"/>
      <c r="P1306" s="12"/>
      <c r="Q1306" s="12"/>
      <c r="R1306" s="12"/>
      <c r="S1306" s="12"/>
      <c r="T1306" s="12"/>
      <c r="U1306" s="12"/>
      <c r="V1306" s="12"/>
      <c r="W1306" s="12"/>
      <c r="X1306" s="12"/>
      <c r="Y1306" s="12"/>
      <c r="Z1306" s="12"/>
      <c r="AA1306" s="12"/>
    </row>
    <row r="1307" ht="26.25" customHeight="1">
      <c r="A1307" s="17" t="s">
        <v>2618</v>
      </c>
      <c r="B1307" s="18" t="s">
        <v>2619</v>
      </c>
      <c r="C1307" s="14">
        <v>1.0</v>
      </c>
      <c r="D1307" s="15">
        <v>69.0</v>
      </c>
      <c r="E1307" s="15">
        <v>3.0</v>
      </c>
      <c r="F1307" s="16" t="str">
        <f t="array" ref="F1307">"https://www.google.com/maps/search/?api=1&amp;query=" &amp; A1307 &amp; "," &amp; B1307</f>
        <v>https://www.google.com/maps/search/?api=1&amp;query=-30.8968852646629,-55.5353831819498</v>
      </c>
      <c r="G1307" s="16" t="str">
        <f t="array" ref="G1307">"https://earth.google.com/web/search/" &amp; A1307 &amp; "," &amp; B1307</f>
        <v>https://earth.google.com/web/search/-30.8968852646629,-55.5353831819498</v>
      </c>
      <c r="H1307" s="12"/>
      <c r="I1307" s="12"/>
      <c r="J1307" s="12"/>
      <c r="K1307" s="12"/>
      <c r="L1307" s="12"/>
      <c r="M1307" s="12"/>
      <c r="N1307" s="12"/>
      <c r="O1307" s="12"/>
      <c r="P1307" s="12"/>
      <c r="Q1307" s="12"/>
      <c r="R1307" s="12"/>
      <c r="S1307" s="12"/>
      <c r="T1307" s="12"/>
      <c r="U1307" s="12"/>
      <c r="V1307" s="12"/>
      <c r="W1307" s="12"/>
      <c r="X1307" s="12"/>
      <c r="Y1307" s="12"/>
      <c r="Z1307" s="12"/>
      <c r="AA1307" s="12"/>
    </row>
    <row r="1308" ht="26.25" customHeight="1">
      <c r="A1308" s="17" t="s">
        <v>2620</v>
      </c>
      <c r="B1308" s="18" t="s">
        <v>2621</v>
      </c>
      <c r="C1308" s="14">
        <v>1.0</v>
      </c>
      <c r="D1308" s="15">
        <v>69.0</v>
      </c>
      <c r="E1308" s="15">
        <v>4.0</v>
      </c>
      <c r="F1308" s="16" t="str">
        <f t="array" ref="F1308">"https://www.google.com/maps/search/?api=1&amp;query=" &amp; A1308 &amp; "," &amp; B1308</f>
        <v>https://www.google.com/maps/search/?api=1&amp;query=-30.8969421159855,-55.5352997666516</v>
      </c>
      <c r="G1308" s="16" t="str">
        <f t="array" ref="G1308">"https://earth.google.com/web/search/" &amp; A1308 &amp; "," &amp; B1308</f>
        <v>https://earth.google.com/web/search/-30.8969421159855,-55.5352997666516</v>
      </c>
      <c r="H1308" s="12"/>
      <c r="I1308" s="12"/>
      <c r="J1308" s="12"/>
      <c r="K1308" s="12"/>
      <c r="L1308" s="12"/>
      <c r="M1308" s="12"/>
      <c r="N1308" s="12"/>
      <c r="O1308" s="12"/>
      <c r="P1308" s="12"/>
      <c r="Q1308" s="12"/>
      <c r="R1308" s="12"/>
      <c r="S1308" s="12"/>
      <c r="T1308" s="12"/>
      <c r="U1308" s="12"/>
      <c r="V1308" s="12"/>
      <c r="W1308" s="12"/>
      <c r="X1308" s="12"/>
      <c r="Y1308" s="12"/>
      <c r="Z1308" s="12"/>
      <c r="AA1308" s="12"/>
    </row>
    <row r="1309" ht="26.25" customHeight="1">
      <c r="A1309" s="17" t="s">
        <v>2622</v>
      </c>
      <c r="B1309" s="18" t="s">
        <v>2623</v>
      </c>
      <c r="C1309" s="14">
        <v>1.0</v>
      </c>
      <c r="D1309" s="15">
        <v>69.0</v>
      </c>
      <c r="E1309" s="15">
        <v>5.0</v>
      </c>
      <c r="F1309" s="16" t="str">
        <f t="array" ref="F1309">"https://www.google.com/maps/search/?api=1&amp;query=" &amp; A1309 &amp; "," &amp; B1309</f>
        <v>https://www.google.com/maps/search/?api=1&amp;query=-30.8975161517748,-55.5361583178206</v>
      </c>
      <c r="G1309" s="16" t="str">
        <f t="array" ref="G1309">"https://earth.google.com/web/search/" &amp; A1309 &amp; "," &amp; B1309</f>
        <v>https://earth.google.com/web/search/-30.8975161517748,-55.5361583178206</v>
      </c>
      <c r="H1309" s="12"/>
      <c r="I1309" s="12"/>
      <c r="J1309" s="12"/>
      <c r="K1309" s="12"/>
      <c r="L1309" s="12"/>
      <c r="M1309" s="12"/>
      <c r="N1309" s="12"/>
      <c r="O1309" s="12"/>
      <c r="P1309" s="12"/>
      <c r="Q1309" s="12"/>
      <c r="R1309" s="12"/>
      <c r="S1309" s="12"/>
      <c r="T1309" s="12"/>
      <c r="U1309" s="12"/>
      <c r="V1309" s="12"/>
      <c r="W1309" s="12"/>
      <c r="X1309" s="12"/>
      <c r="Y1309" s="12"/>
      <c r="Z1309" s="12"/>
      <c r="AA1309" s="12"/>
    </row>
    <row r="1310" ht="26.25" customHeight="1">
      <c r="A1310" s="17" t="s">
        <v>2624</v>
      </c>
      <c r="B1310" s="18" t="s">
        <v>2625</v>
      </c>
      <c r="C1310" s="14">
        <v>1.0</v>
      </c>
      <c r="D1310" s="15">
        <v>69.0</v>
      </c>
      <c r="E1310" s="15">
        <v>6.0</v>
      </c>
      <c r="F1310" s="16" t="str">
        <f t="array" ref="F1310">"https://www.google.com/maps/search/?api=1&amp;query=" &amp; A1310 &amp; "," &amp; B1310</f>
        <v>https://www.google.com/maps/search/?api=1&amp;query=-30.8972547674617,-55.5366253882645</v>
      </c>
      <c r="G1310" s="16" t="str">
        <f t="array" ref="G1310">"https://earth.google.com/web/search/" &amp; A1310 &amp; "," &amp; B1310</f>
        <v>https://earth.google.com/web/search/-30.8972547674617,-55.5366253882645</v>
      </c>
      <c r="H1310" s="12"/>
      <c r="I1310" s="12"/>
      <c r="J1310" s="12"/>
      <c r="K1310" s="12"/>
      <c r="L1310" s="12"/>
      <c r="M1310" s="12"/>
      <c r="N1310" s="12"/>
      <c r="O1310" s="12"/>
      <c r="P1310" s="12"/>
      <c r="Q1310" s="12"/>
      <c r="R1310" s="12"/>
      <c r="S1310" s="12"/>
      <c r="T1310" s="12"/>
      <c r="U1310" s="12"/>
      <c r="V1310" s="12"/>
      <c r="W1310" s="12"/>
      <c r="X1310" s="12"/>
      <c r="Y1310" s="12"/>
      <c r="Z1310" s="12"/>
      <c r="AA1310" s="12"/>
    </row>
    <row r="1311" ht="26.25" customHeight="1">
      <c r="A1311" s="17" t="s">
        <v>2626</v>
      </c>
      <c r="B1311" s="18" t="s">
        <v>2627</v>
      </c>
      <c r="C1311" s="14">
        <v>1.0</v>
      </c>
      <c r="D1311" s="15">
        <v>68.0</v>
      </c>
      <c r="E1311" s="15">
        <v>1.0</v>
      </c>
      <c r="F1311" s="16" t="str">
        <f t="array" ref="F1311">"https://www.google.com/maps/search/?api=1&amp;query=" &amp; A1311 &amp; "," &amp; B1311</f>
        <v>https://www.google.com/maps/search/?api=1&amp;query=-30.8964012435919,-55.5373354601504</v>
      </c>
      <c r="G1311" s="16" t="str">
        <f t="array" ref="G1311">"https://earth.google.com/web/search/" &amp; A1311 &amp; "," &amp; B1311</f>
        <v>https://earth.google.com/web/search/-30.8964012435919,-55.5373354601504</v>
      </c>
      <c r="H1311" s="12"/>
      <c r="I1311" s="12"/>
      <c r="J1311" s="12"/>
      <c r="K1311" s="12"/>
      <c r="L1311" s="12"/>
      <c r="M1311" s="12"/>
      <c r="N1311" s="12"/>
      <c r="O1311" s="12"/>
      <c r="P1311" s="12"/>
      <c r="Q1311" s="12"/>
      <c r="R1311" s="12"/>
      <c r="S1311" s="12"/>
      <c r="T1311" s="12"/>
      <c r="U1311" s="12"/>
      <c r="V1311" s="12"/>
      <c r="W1311" s="12"/>
      <c r="X1311" s="12"/>
      <c r="Y1311" s="12"/>
      <c r="Z1311" s="12"/>
      <c r="AA1311" s="12"/>
    </row>
    <row r="1312" ht="26.25" customHeight="1">
      <c r="A1312" s="17" t="s">
        <v>2628</v>
      </c>
      <c r="B1312" s="18" t="s">
        <v>2629</v>
      </c>
      <c r="C1312" s="14">
        <v>1.0</v>
      </c>
      <c r="D1312" s="15">
        <v>67.0</v>
      </c>
      <c r="E1312" s="15">
        <v>1.0</v>
      </c>
      <c r="F1312" s="16" t="str">
        <f t="array" ref="F1312">"https://www.google.com/maps/search/?api=1&amp;query=" &amp; A1312 &amp; "," &amp; B1312</f>
        <v>https://www.google.com/maps/search/?api=1&amp;query=-30.8956804939312,-55.5379907853632</v>
      </c>
      <c r="G1312" s="16" t="str">
        <f t="array" ref="G1312">"https://earth.google.com/web/search/" &amp; A1312 &amp; "," &amp; B1312</f>
        <v>https://earth.google.com/web/search/-30.8956804939312,-55.5379907853632</v>
      </c>
      <c r="H1312" s="12"/>
      <c r="I1312" s="12"/>
      <c r="J1312" s="12"/>
      <c r="K1312" s="12"/>
      <c r="L1312" s="12"/>
      <c r="M1312" s="12"/>
      <c r="N1312" s="12"/>
      <c r="O1312" s="12"/>
      <c r="P1312" s="12"/>
      <c r="Q1312" s="12"/>
      <c r="R1312" s="12"/>
      <c r="S1312" s="12"/>
      <c r="T1312" s="12"/>
      <c r="U1312" s="12"/>
      <c r="V1312" s="12"/>
      <c r="W1312" s="12"/>
      <c r="X1312" s="12"/>
      <c r="Y1312" s="12"/>
      <c r="Z1312" s="12"/>
      <c r="AA1312" s="12"/>
    </row>
    <row r="1313" ht="26.25" customHeight="1">
      <c r="A1313" s="17" t="s">
        <v>2630</v>
      </c>
      <c r="B1313" s="18" t="s">
        <v>2631</v>
      </c>
      <c r="C1313" s="14">
        <v>1.0</v>
      </c>
      <c r="D1313" s="15">
        <v>67.0</v>
      </c>
      <c r="E1313" s="15">
        <v>2.0</v>
      </c>
      <c r="F1313" s="16" t="str">
        <f t="array" ref="F1313">"https://www.google.com/maps/search/?api=1&amp;query=" &amp; A1313 &amp; "," &amp; B1313</f>
        <v>https://www.google.com/maps/search/?api=1&amp;query=-30.8959507650838,-55.5374417268602</v>
      </c>
      <c r="G1313" s="16" t="str">
        <f t="array" ref="G1313">"https://earth.google.com/web/search/" &amp; A1313 &amp; "," &amp; B1313</f>
        <v>https://earth.google.com/web/search/-30.8959507650838,-55.5374417268602</v>
      </c>
      <c r="H1313" s="12"/>
      <c r="I1313" s="12"/>
      <c r="J1313" s="12"/>
      <c r="K1313" s="12"/>
      <c r="L1313" s="12"/>
      <c r="M1313" s="12"/>
      <c r="N1313" s="12"/>
      <c r="O1313" s="12"/>
      <c r="P1313" s="12"/>
      <c r="Q1313" s="12"/>
      <c r="R1313" s="12"/>
      <c r="S1313" s="12"/>
      <c r="T1313" s="12"/>
      <c r="U1313" s="12"/>
      <c r="V1313" s="12"/>
      <c r="W1313" s="12"/>
      <c r="X1313" s="12"/>
      <c r="Y1313" s="12"/>
      <c r="Z1313" s="12"/>
      <c r="AA1313" s="12"/>
    </row>
    <row r="1314" ht="26.25" customHeight="1">
      <c r="A1314" s="17" t="s">
        <v>2632</v>
      </c>
      <c r="B1314" s="18" t="s">
        <v>2633</v>
      </c>
      <c r="C1314" s="14">
        <v>1.0</v>
      </c>
      <c r="D1314" s="15">
        <v>67.0</v>
      </c>
      <c r="E1314" s="15">
        <v>3.0</v>
      </c>
      <c r="F1314" s="16" t="str">
        <f t="array" ref="F1314">"https://www.google.com/maps/search/?api=1&amp;query=" &amp; A1314 &amp; "," &amp; B1314</f>
        <v>https://www.google.com/maps/search/?api=1&amp;query=-30.8960086732351,-55.5373606951136</v>
      </c>
      <c r="G1314" s="16" t="str">
        <f t="array" ref="G1314">"https://earth.google.com/web/search/" &amp; A1314 &amp; "," &amp; B1314</f>
        <v>https://earth.google.com/web/search/-30.8960086732351,-55.5373606951136</v>
      </c>
      <c r="H1314" s="12"/>
      <c r="I1314" s="12"/>
      <c r="J1314" s="12"/>
      <c r="K1314" s="12"/>
      <c r="L1314" s="12"/>
      <c r="M1314" s="12"/>
      <c r="N1314" s="12"/>
      <c r="O1314" s="12"/>
      <c r="P1314" s="12"/>
      <c r="Q1314" s="12"/>
      <c r="R1314" s="12"/>
      <c r="S1314" s="12"/>
      <c r="T1314" s="12"/>
      <c r="U1314" s="12"/>
      <c r="V1314" s="12"/>
      <c r="W1314" s="12"/>
      <c r="X1314" s="12"/>
      <c r="Y1314" s="12"/>
      <c r="Z1314" s="12"/>
      <c r="AA1314" s="12"/>
    </row>
    <row r="1315" ht="26.25" customHeight="1">
      <c r="A1315" s="17" t="s">
        <v>2634</v>
      </c>
      <c r="B1315" s="18" t="s">
        <v>2635</v>
      </c>
      <c r="C1315" s="14">
        <v>1.0</v>
      </c>
      <c r="D1315" s="15">
        <v>67.0</v>
      </c>
      <c r="E1315" s="15">
        <v>4.0</v>
      </c>
      <c r="F1315" s="16" t="str">
        <f t="array" ref="F1315">"https://www.google.com/maps/search/?api=1&amp;query=" &amp; A1315 &amp; "," &amp; B1315</f>
        <v>https://www.google.com/maps/search/?api=1&amp;query=-30.8965378051648,-5.5537537847828</v>
      </c>
      <c r="G1315" s="16" t="str">
        <f t="array" ref="G1315">"https://earth.google.com/web/search/" &amp; A1315 &amp; "," &amp; B1315</f>
        <v>https://earth.google.com/web/search/-30.8965378051648,-5.5537537847828</v>
      </c>
      <c r="H1315" s="12"/>
      <c r="I1315" s="12"/>
      <c r="J1315" s="12"/>
      <c r="K1315" s="12"/>
      <c r="L1315" s="12"/>
      <c r="M1315" s="12"/>
      <c r="N1315" s="12"/>
      <c r="O1315" s="12"/>
      <c r="P1315" s="12"/>
      <c r="Q1315" s="12"/>
      <c r="R1315" s="12"/>
      <c r="S1315" s="12"/>
      <c r="T1315" s="12"/>
      <c r="U1315" s="12"/>
      <c r="V1315" s="12"/>
      <c r="W1315" s="12"/>
      <c r="X1315" s="12"/>
      <c r="Y1315" s="12"/>
      <c r="Z1315" s="12"/>
      <c r="AA1315" s="12"/>
    </row>
    <row r="1316" ht="26.25" customHeight="1">
      <c r="A1316" s="17" t="s">
        <v>2636</v>
      </c>
      <c r="B1316" s="18" t="s">
        <v>2637</v>
      </c>
      <c r="C1316" s="14">
        <v>1.0</v>
      </c>
      <c r="D1316" s="15">
        <v>67.0</v>
      </c>
      <c r="E1316" s="15">
        <v>5.0</v>
      </c>
      <c r="F1316" s="16" t="str">
        <f t="array" ref="F1316">"https://www.google.com/maps/search/?api=1&amp;query=" &amp; A1316 &amp; "," &amp; B1316</f>
        <v>https://www.google.com/maps/search/?api=1&amp;query=-3.0896321875264,-55.5384382019302</v>
      </c>
      <c r="G1316" s="16" t="str">
        <f t="array" ref="G1316">"https://earth.google.com/web/search/" &amp; A1316 &amp; "," &amp; B1316</f>
        <v>https://earth.google.com/web/search/-3.0896321875264,-55.5384382019302</v>
      </c>
      <c r="H1316" s="12"/>
      <c r="I1316" s="12"/>
      <c r="J1316" s="12"/>
      <c r="K1316" s="12"/>
      <c r="L1316" s="12"/>
      <c r="M1316" s="12"/>
      <c r="N1316" s="12"/>
      <c r="O1316" s="12"/>
      <c r="P1316" s="12"/>
      <c r="Q1316" s="12"/>
      <c r="R1316" s="12"/>
      <c r="S1316" s="12"/>
      <c r="T1316" s="12"/>
      <c r="U1316" s="12"/>
      <c r="V1316" s="12"/>
      <c r="W1316" s="12"/>
      <c r="X1316" s="12"/>
      <c r="Y1316" s="12"/>
      <c r="Z1316" s="12"/>
      <c r="AA1316" s="12"/>
    </row>
    <row r="1317" ht="26.25" customHeight="1">
      <c r="A1317" s="17" t="s">
        <v>2638</v>
      </c>
      <c r="B1317" s="18" t="s">
        <v>2639</v>
      </c>
      <c r="C1317" s="14">
        <v>1.0</v>
      </c>
      <c r="D1317" s="15">
        <v>67.0</v>
      </c>
      <c r="E1317" s="15">
        <v>6.0</v>
      </c>
      <c r="F1317" s="16" t="str">
        <f t="array" ref="F1317">"https://www.google.com/maps/search/?api=1&amp;query=" &amp; A1317 &amp; "," &amp; B1317</f>
        <v>https://www.google.com/maps/search/?api=1&amp;query=-30.8962550623162,-5.5538496312835</v>
      </c>
      <c r="G1317" s="16" t="str">
        <f t="array" ref="G1317">"https://earth.google.com/web/search/" &amp; A1317 &amp; "," &amp; B1317</f>
        <v>https://earth.google.com/web/search/-30.8962550623162,-5.5538496312835</v>
      </c>
      <c r="H1317" s="12"/>
      <c r="I1317" s="12"/>
      <c r="J1317" s="12"/>
      <c r="K1317" s="12"/>
      <c r="L1317" s="12"/>
      <c r="M1317" s="12"/>
      <c r="N1317" s="12"/>
      <c r="O1317" s="12"/>
      <c r="P1317" s="12"/>
      <c r="Q1317" s="12"/>
      <c r="R1317" s="12"/>
      <c r="S1317" s="12"/>
      <c r="T1317" s="12"/>
      <c r="U1317" s="12"/>
      <c r="V1317" s="12"/>
      <c r="W1317" s="12"/>
      <c r="X1317" s="12"/>
      <c r="Y1317" s="12"/>
      <c r="Z1317" s="12"/>
      <c r="AA1317" s="12"/>
    </row>
    <row r="1318" ht="26.25" customHeight="1">
      <c r="A1318" s="17" t="s">
        <v>2640</v>
      </c>
      <c r="B1318" s="18" t="s">
        <v>2641</v>
      </c>
      <c r="C1318" s="14">
        <v>1.0</v>
      </c>
      <c r="D1318" s="15">
        <v>67.0</v>
      </c>
      <c r="E1318" s="15">
        <v>7.0</v>
      </c>
      <c r="F1318" s="16" t="str">
        <f t="array" ref="F1318">"https://www.google.com/maps/search/?api=1&amp;query=" &amp; A1318 &amp; "," &amp; B1318</f>
        <v>https://www.google.com/maps/search/?api=1&amp;query=-30.8961556190949,-55.5384575615177</v>
      </c>
      <c r="G1318" s="16" t="str">
        <f t="array" ref="G1318">"https://earth.google.com/web/search/" &amp; A1318 &amp; "," &amp; B1318</f>
        <v>https://earth.google.com/web/search/-30.8961556190949,-55.5384575615177</v>
      </c>
      <c r="H1318" s="12"/>
      <c r="I1318" s="12"/>
      <c r="J1318" s="12"/>
      <c r="K1318" s="12"/>
      <c r="L1318" s="12"/>
      <c r="M1318" s="12"/>
      <c r="N1318" s="12"/>
      <c r="O1318" s="12"/>
      <c r="P1318" s="12"/>
      <c r="Q1318" s="12"/>
      <c r="R1318" s="12"/>
      <c r="S1318" s="12"/>
      <c r="T1318" s="12"/>
      <c r="U1318" s="12"/>
      <c r="V1318" s="12"/>
      <c r="W1318" s="12"/>
      <c r="X1318" s="12"/>
      <c r="Y1318" s="12"/>
      <c r="Z1318" s="12"/>
      <c r="AA1318" s="12"/>
    </row>
    <row r="1319" ht="26.25" customHeight="1">
      <c r="A1319" s="17" t="s">
        <v>2642</v>
      </c>
      <c r="B1319" s="18" t="s">
        <v>2643</v>
      </c>
      <c r="C1319" s="14">
        <v>1.0</v>
      </c>
      <c r="D1319" s="15">
        <v>67.0</v>
      </c>
      <c r="E1319" s="15">
        <v>8.0</v>
      </c>
      <c r="F1319" s="16" t="str">
        <f t="array" ref="F1319">"https://www.google.com/maps/search/?api=1&amp;query=" &amp; A1319 &amp; "," &amp; B1319</f>
        <v>https://www.google.com/maps/search/?api=1&amp;query=-30.8960963912901,-55.5383657903694</v>
      </c>
      <c r="G1319" s="16" t="str">
        <f t="array" ref="G1319">"https://earth.google.com/web/search/" &amp; A1319 &amp; "," &amp; B1319</f>
        <v>https://earth.google.com/web/search/-30.8960963912901,-55.5383657903694</v>
      </c>
      <c r="H1319" s="12"/>
      <c r="I1319" s="12"/>
      <c r="J1319" s="12"/>
      <c r="K1319" s="12"/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/>
    </row>
    <row r="1320" ht="26.25" customHeight="1">
      <c r="A1320" s="17" t="s">
        <v>2644</v>
      </c>
      <c r="B1320" s="18" t="s">
        <v>2645</v>
      </c>
      <c r="C1320" s="14">
        <v>1.0</v>
      </c>
      <c r="D1320" s="15">
        <v>67.0</v>
      </c>
      <c r="E1320" s="15">
        <v>9.0</v>
      </c>
      <c r="F1320" s="16" t="str">
        <f t="array" ref="F1320">"https://www.google.com/maps/search/?api=1&amp;query=" &amp; A1320 &amp; "," &amp; B1320</f>
        <v>https://www.google.com/maps/search/?api=1&amp;query=-30.8958863760344,-55.5381987182518</v>
      </c>
      <c r="G1320" s="16" t="str">
        <f t="array" ref="G1320">"https://earth.google.com/web/search/" &amp; A1320 &amp; "," &amp; B1320</f>
        <v>https://earth.google.com/web/search/-30.8958863760344,-55.5381987182518</v>
      </c>
      <c r="H1320" s="12"/>
      <c r="I1320" s="12"/>
      <c r="J1320" s="12"/>
      <c r="K1320" s="12"/>
      <c r="L1320" s="12"/>
      <c r="M1320" s="12"/>
      <c r="N1320" s="12"/>
      <c r="O1320" s="12"/>
      <c r="P1320" s="12"/>
      <c r="Q1320" s="12"/>
      <c r="R1320" s="12"/>
      <c r="S1320" s="12"/>
      <c r="T1320" s="12"/>
      <c r="U1320" s="12"/>
      <c r="V1320" s="12"/>
      <c r="W1320" s="12"/>
      <c r="X1320" s="12"/>
      <c r="Y1320" s="12"/>
      <c r="Z1320" s="12"/>
      <c r="AA1320" s="12"/>
    </row>
    <row r="1321" ht="26.25" customHeight="1">
      <c r="A1321" s="17" t="s">
        <v>2646</v>
      </c>
      <c r="B1321" s="18" t="s">
        <v>2647</v>
      </c>
      <c r="C1321" s="14">
        <v>1.0</v>
      </c>
      <c r="D1321" s="15">
        <v>67.0</v>
      </c>
      <c r="E1321" s="15">
        <v>10.0</v>
      </c>
      <c r="F1321" s="16" t="str">
        <f t="array" ref="F1321">"https://www.google.com/maps/search/?api=1&amp;query=" &amp; A1321 &amp; "," &amp; B1321</f>
        <v>https://www.google.com/maps/search/?api=1&amp;query=-30.8958233640451,-5.5538130516691</v>
      </c>
      <c r="G1321" s="16" t="str">
        <f t="array" ref="G1321">"https://earth.google.com/web/search/" &amp; A1321 &amp; "," &amp; B1321</f>
        <v>https://earth.google.com/web/search/-30.8958233640451,-5.5538130516691</v>
      </c>
      <c r="H1321" s="12"/>
      <c r="I1321" s="12"/>
      <c r="J1321" s="12"/>
      <c r="K1321" s="12"/>
      <c r="L1321" s="12"/>
      <c r="M1321" s="12"/>
      <c r="N1321" s="12"/>
      <c r="O1321" s="12"/>
      <c r="P1321" s="12"/>
      <c r="Q1321" s="12"/>
      <c r="R1321" s="12"/>
      <c r="S1321" s="12"/>
      <c r="T1321" s="12"/>
      <c r="U1321" s="12"/>
      <c r="V1321" s="12"/>
      <c r="W1321" s="12"/>
      <c r="X1321" s="12"/>
      <c r="Y1321" s="12"/>
      <c r="Z1321" s="12"/>
      <c r="AA1321" s="12"/>
    </row>
    <row r="1322" ht="26.25" customHeight="1">
      <c r="A1322" s="17" t="s">
        <v>2648</v>
      </c>
      <c r="B1322" s="18" t="s">
        <v>2649</v>
      </c>
      <c r="C1322" s="14">
        <v>1.0</v>
      </c>
      <c r="D1322" s="15">
        <v>67.0</v>
      </c>
      <c r="E1322" s="15">
        <v>11.0</v>
      </c>
      <c r="F1322" s="16" t="str">
        <f t="array" ref="F1322">"https://www.google.com/maps/search/?api=1&amp;query=" &amp; A1322 &amp; "," &amp; B1322</f>
        <v>https://www.google.com/maps/search/?api=1&amp;query=-30.8957226747434,-55.5380920500257</v>
      </c>
      <c r="G1322" s="16" t="str">
        <f t="array" ref="G1322">"https://earth.google.com/web/search/" &amp; A1322 &amp; "," &amp; B1322</f>
        <v>https://earth.google.com/web/search/-30.8957226747434,-55.5380920500257</v>
      </c>
      <c r="H1322" s="12"/>
      <c r="I1322" s="12"/>
      <c r="J1322" s="12"/>
      <c r="K1322" s="12"/>
      <c r="L1322" s="12"/>
      <c r="M1322" s="12"/>
      <c r="N1322" s="12"/>
      <c r="O1322" s="12"/>
      <c r="P1322" s="12"/>
      <c r="Q1322" s="12"/>
      <c r="R1322" s="12"/>
      <c r="S1322" s="12"/>
      <c r="T1322" s="12"/>
      <c r="U1322" s="12"/>
      <c r="V1322" s="12"/>
      <c r="W1322" s="12"/>
      <c r="X1322" s="12"/>
      <c r="Y1322" s="12"/>
      <c r="Z1322" s="12"/>
      <c r="AA1322" s="12"/>
    </row>
    <row r="1323" ht="26.25" customHeight="1">
      <c r="A1323" s="17" t="s">
        <v>2650</v>
      </c>
      <c r="B1323" s="18" t="s">
        <v>2651</v>
      </c>
      <c r="C1323" s="14">
        <v>1.0</v>
      </c>
      <c r="D1323" s="15">
        <v>66.0</v>
      </c>
      <c r="E1323" s="15">
        <v>1.0</v>
      </c>
      <c r="F1323" s="16" t="str">
        <f t="array" ref="F1323">"https://www.google.com/maps/search/?api=1&amp;query=" &amp; A1323 &amp; "," &amp; B1323</f>
        <v>https://www.google.com/maps/search/?api=1&amp;query=-30.8956942428537,-55.5393413671516</v>
      </c>
      <c r="G1323" s="16" t="str">
        <f t="array" ref="G1323">"https://earth.google.com/web/search/" &amp; A1323 &amp; "," &amp; B1323</f>
        <v>https://earth.google.com/web/search/-30.8956942428537,-55.5393413671516</v>
      </c>
      <c r="H1323" s="12"/>
      <c r="I1323" s="12"/>
      <c r="J1323" s="12"/>
      <c r="K1323" s="12"/>
      <c r="L1323" s="12"/>
      <c r="M1323" s="12"/>
      <c r="N1323" s="12"/>
      <c r="O1323" s="12"/>
      <c r="P1323" s="12"/>
      <c r="Q1323" s="12"/>
      <c r="R1323" s="12"/>
      <c r="S1323" s="12"/>
      <c r="T1323" s="12"/>
      <c r="U1323" s="12"/>
      <c r="V1323" s="12"/>
      <c r="W1323" s="12"/>
      <c r="X1323" s="12"/>
      <c r="Y1323" s="12"/>
      <c r="Z1323" s="12"/>
      <c r="AA1323" s="12"/>
    </row>
    <row r="1324" ht="26.25" customHeight="1">
      <c r="A1324" s="17" t="s">
        <v>2652</v>
      </c>
      <c r="B1324" s="18" t="s">
        <v>2653</v>
      </c>
      <c r="C1324" s="14">
        <v>1.0</v>
      </c>
      <c r="D1324" s="15">
        <v>66.0</v>
      </c>
      <c r="E1324" s="15">
        <v>2.0</v>
      </c>
      <c r="F1324" s="16" t="str">
        <f t="array" ref="F1324">"https://www.google.com/maps/search/?api=1&amp;query=" &amp; A1324 &amp; "," &amp; B1324</f>
        <v>https://www.google.com/maps/search/?api=1&amp;query=-30.8955832610492,-55.5392664233278</v>
      </c>
      <c r="G1324" s="16" t="str">
        <f t="array" ref="G1324">"https://earth.google.com/web/search/" &amp; A1324 &amp; "," &amp; B1324</f>
        <v>https://earth.google.com/web/search/-30.8955832610492,-55.5392664233278</v>
      </c>
      <c r="H1324" s="12"/>
      <c r="I1324" s="12"/>
      <c r="J1324" s="12"/>
      <c r="K1324" s="12"/>
      <c r="L1324" s="12"/>
      <c r="M1324" s="12"/>
      <c r="N1324" s="12"/>
      <c r="O1324" s="12"/>
      <c r="P1324" s="12"/>
      <c r="Q1324" s="12"/>
      <c r="R1324" s="12"/>
      <c r="S1324" s="12"/>
      <c r="T1324" s="12"/>
      <c r="U1324" s="12"/>
      <c r="V1324" s="12"/>
      <c r="W1324" s="12"/>
      <c r="X1324" s="12"/>
      <c r="Y1324" s="12"/>
      <c r="Z1324" s="12"/>
      <c r="AA1324" s="12"/>
    </row>
    <row r="1325" ht="26.25" customHeight="1">
      <c r="A1325" s="17" t="s">
        <v>2654</v>
      </c>
      <c r="B1325" s="18" t="s">
        <v>2655</v>
      </c>
      <c r="C1325" s="14">
        <v>1.0</v>
      </c>
      <c r="D1325" s="15">
        <v>66.0</v>
      </c>
      <c r="E1325" s="15">
        <v>3.0</v>
      </c>
      <c r="F1325" s="16" t="str">
        <f t="array" ref="F1325">"https://www.google.com/maps/search/?api=1&amp;query=" &amp; A1325 &amp; "," &amp; B1325</f>
        <v>https://www.google.com/maps/search/?api=1&amp;query=-3.0895326613357,-55.5386500520819</v>
      </c>
      <c r="G1325" s="16" t="str">
        <f t="array" ref="G1325">"https://earth.google.com/web/search/" &amp; A1325 &amp; "," &amp; B1325</f>
        <v>https://earth.google.com/web/search/-3.0895326613357,-55.5386500520819</v>
      </c>
      <c r="H1325" s="12"/>
      <c r="I1325" s="12"/>
      <c r="J1325" s="12"/>
      <c r="K1325" s="12"/>
      <c r="L1325" s="12"/>
      <c r="M1325" s="12"/>
      <c r="N1325" s="12"/>
      <c r="O1325" s="12"/>
      <c r="P1325" s="12"/>
      <c r="Q1325" s="12"/>
      <c r="R1325" s="12"/>
      <c r="S1325" s="12"/>
      <c r="T1325" s="12"/>
      <c r="U1325" s="12"/>
      <c r="V1325" s="12"/>
      <c r="W1325" s="12"/>
      <c r="X1325" s="12"/>
      <c r="Y1325" s="12"/>
      <c r="Z1325" s="12"/>
      <c r="AA1325" s="12"/>
    </row>
    <row r="1326" ht="26.25" customHeight="1">
      <c r="A1326" s="17" t="s">
        <v>2656</v>
      </c>
      <c r="B1326" s="18" t="s">
        <v>2657</v>
      </c>
      <c r="C1326" s="14">
        <v>1.0</v>
      </c>
      <c r="D1326" s="15">
        <v>66.0</v>
      </c>
      <c r="E1326" s="15">
        <v>4.0</v>
      </c>
      <c r="F1326" s="16" t="str">
        <f t="array" ref="F1326">"https://www.google.com/maps/search/?api=1&amp;query=" &amp; A1326 &amp; "," &amp; B1326</f>
        <v>https://www.google.com/maps/search/?api=1&amp;query=-30.8953798174934,-55.5385361083628</v>
      </c>
      <c r="G1326" s="16" t="str">
        <f t="array" ref="G1326">"https://earth.google.com/web/search/" &amp; A1326 &amp; "," &amp; B1326</f>
        <v>https://earth.google.com/web/search/-30.8953798174934,-55.5385361083628</v>
      </c>
      <c r="H1326" s="12"/>
      <c r="I1326" s="12"/>
      <c r="J1326" s="12"/>
      <c r="K1326" s="12"/>
      <c r="L1326" s="12"/>
      <c r="M1326" s="12"/>
      <c r="N1326" s="12"/>
      <c r="O1326" s="12"/>
      <c r="P1326" s="12"/>
      <c r="Q1326" s="12"/>
      <c r="R1326" s="12"/>
      <c r="S1326" s="12"/>
      <c r="T1326" s="12"/>
      <c r="U1326" s="12"/>
      <c r="V1326" s="12"/>
      <c r="W1326" s="12"/>
      <c r="X1326" s="12"/>
      <c r="Y1326" s="12"/>
      <c r="Z1326" s="12"/>
      <c r="AA1326" s="12"/>
    </row>
    <row r="1327" ht="26.25" customHeight="1">
      <c r="A1327" s="17" t="s">
        <v>2658</v>
      </c>
      <c r="B1327" s="18" t="s">
        <v>2659</v>
      </c>
      <c r="C1327" s="14">
        <v>1.0</v>
      </c>
      <c r="D1327" s="15">
        <v>66.0</v>
      </c>
      <c r="E1327" s="15">
        <v>5.0</v>
      </c>
      <c r="F1327" s="16" t="str">
        <f t="array" ref="F1327">"https://www.google.com/maps/search/?api=1&amp;query=" &amp; A1327 &amp; "," &amp; B1327</f>
        <v>https://www.google.com/maps/search/?api=1&amp;query=-30.8954424228303,-55.5384015442807</v>
      </c>
      <c r="G1327" s="16" t="str">
        <f t="array" ref="G1327">"https://earth.google.com/web/search/" &amp; A1327 &amp; "," &amp; B1327</f>
        <v>https://earth.google.com/web/search/-30.8954424228303,-55.5384015442807</v>
      </c>
      <c r="H1327" s="12"/>
      <c r="I1327" s="12"/>
      <c r="J1327" s="12"/>
      <c r="K1327" s="12"/>
      <c r="L1327" s="12"/>
      <c r="M1327" s="12"/>
      <c r="N1327" s="12"/>
      <c r="O1327" s="12"/>
      <c r="P1327" s="12"/>
      <c r="Q1327" s="12"/>
      <c r="R1327" s="12"/>
      <c r="S1327" s="12"/>
      <c r="T1327" s="12"/>
      <c r="U1327" s="12"/>
      <c r="V1327" s="12"/>
      <c r="W1327" s="12"/>
      <c r="X1327" s="12"/>
      <c r="Y1327" s="12"/>
      <c r="Z1327" s="12"/>
      <c r="AA1327" s="12"/>
    </row>
    <row r="1328" ht="26.25" customHeight="1">
      <c r="A1328" s="17" t="s">
        <v>2660</v>
      </c>
      <c r="B1328" s="18" t="s">
        <v>2661</v>
      </c>
      <c r="C1328" s="14">
        <v>1.0</v>
      </c>
      <c r="D1328" s="15">
        <v>66.0</v>
      </c>
      <c r="E1328" s="15">
        <v>7.0</v>
      </c>
      <c r="F1328" s="16" t="str">
        <f t="array" ref="F1328">"https://www.google.com/maps/search/?api=1&amp;query=" &amp; A1328 &amp; "," &amp; B1328</f>
        <v>https://www.google.com/maps/search/?api=1&amp;query=-30.8956991177174,-55.5382139025218</v>
      </c>
      <c r="G1328" s="16" t="str">
        <f t="array" ref="G1328">"https://earth.google.com/web/search/" &amp; A1328 &amp; "," &amp; B1328</f>
        <v>https://earth.google.com/web/search/-30.8956991177174,-55.5382139025218</v>
      </c>
      <c r="H1328" s="12"/>
      <c r="I1328" s="12"/>
      <c r="J1328" s="12"/>
      <c r="K1328" s="12"/>
      <c r="L1328" s="12"/>
      <c r="M1328" s="12"/>
      <c r="N1328" s="12"/>
      <c r="O1328" s="12"/>
      <c r="P1328" s="12"/>
      <c r="Q1328" s="12"/>
      <c r="R1328" s="12"/>
      <c r="S1328" s="12"/>
      <c r="T1328" s="12"/>
      <c r="U1328" s="12"/>
      <c r="V1328" s="12"/>
      <c r="W1328" s="12"/>
      <c r="X1328" s="12"/>
      <c r="Y1328" s="12"/>
      <c r="Z1328" s="12"/>
      <c r="AA1328" s="12"/>
    </row>
    <row r="1329" ht="26.25" customHeight="1">
      <c r="A1329" s="17" t="s">
        <v>2662</v>
      </c>
      <c r="B1329" s="18" t="s">
        <v>2663</v>
      </c>
      <c r="C1329" s="14">
        <v>1.0</v>
      </c>
      <c r="D1329" s="15">
        <v>66.0</v>
      </c>
      <c r="E1329" s="15">
        <v>8.0</v>
      </c>
      <c r="F1329" s="16" t="str">
        <f t="array" ref="F1329">"https://www.google.com/maps/search/?api=1&amp;query=" &amp; A1329 &amp; "," &amp; B1329</f>
        <v>https://www.google.com/maps/search/?api=1&amp;query=-3.0895768704798,-55.5382661581234</v>
      </c>
      <c r="G1329" s="16" t="str">
        <f t="array" ref="G1329">"https://earth.google.com/web/search/" &amp; A1329 &amp; "," &amp; B1329</f>
        <v>https://earth.google.com/web/search/-3.0895768704798,-55.5382661581234</v>
      </c>
      <c r="H1329" s="12"/>
      <c r="I1329" s="12"/>
      <c r="J1329" s="12"/>
      <c r="K1329" s="12"/>
      <c r="L1329" s="12"/>
      <c r="M1329" s="12"/>
      <c r="N1329" s="12"/>
      <c r="O1329" s="12"/>
      <c r="P1329" s="12"/>
      <c r="Q1329" s="12"/>
      <c r="R1329" s="12"/>
      <c r="S1329" s="12"/>
      <c r="T1329" s="12"/>
      <c r="U1329" s="12"/>
      <c r="V1329" s="12"/>
      <c r="W1329" s="12"/>
      <c r="X1329" s="12"/>
      <c r="Y1329" s="12"/>
      <c r="Z1329" s="12"/>
      <c r="AA1329" s="12"/>
    </row>
    <row r="1330" ht="26.25" customHeight="1">
      <c r="A1330" s="17" t="s">
        <v>2664</v>
      </c>
      <c r="B1330" s="18" t="s">
        <v>2665</v>
      </c>
      <c r="C1330" s="14">
        <v>1.0</v>
      </c>
      <c r="D1330" s="15">
        <v>66.0</v>
      </c>
      <c r="E1330" s="15">
        <v>9.0</v>
      </c>
      <c r="F1330" s="16" t="str">
        <f t="array" ref="F1330">"https://www.google.com/maps/search/?api=1&amp;query=" &amp; A1330 &amp; "," &amp; B1330</f>
        <v>https://www.google.com/maps/search/?api=1&amp;query=-30.8959889861714,-55.5384257046004</v>
      </c>
      <c r="G1330" s="16" t="str">
        <f t="array" ref="G1330">"https://earth.google.com/web/search/" &amp; A1330 &amp; "," &amp; B1330</f>
        <v>https://earth.google.com/web/search/-30.8959889861714,-55.5384257046004</v>
      </c>
      <c r="H1330" s="12"/>
      <c r="I1330" s="12"/>
      <c r="J1330" s="12"/>
      <c r="K1330" s="12"/>
      <c r="L1330" s="12"/>
      <c r="M1330" s="12"/>
      <c r="N1330" s="12"/>
      <c r="O1330" s="12"/>
      <c r="P1330" s="12"/>
      <c r="Q1330" s="12"/>
      <c r="R1330" s="12"/>
      <c r="S1330" s="12"/>
      <c r="T1330" s="12"/>
      <c r="U1330" s="12"/>
      <c r="V1330" s="12"/>
      <c r="W1330" s="12"/>
      <c r="X1330" s="12"/>
      <c r="Y1330" s="12"/>
      <c r="Z1330" s="12"/>
      <c r="AA1330" s="12"/>
    </row>
    <row r="1331" ht="26.25" customHeight="1">
      <c r="A1331" s="17" t="s">
        <v>2666</v>
      </c>
      <c r="B1331" s="18" t="s">
        <v>2667</v>
      </c>
      <c r="C1331" s="14">
        <v>1.0</v>
      </c>
      <c r="D1331" s="15">
        <v>66.0</v>
      </c>
      <c r="E1331" s="15">
        <v>10.0</v>
      </c>
      <c r="F1331" s="16" t="str">
        <f t="array" ref="F1331">"https://www.google.com/maps/search/?api=1&amp;query=" &amp; A1331 &amp; "," &amp; B1331</f>
        <v>https://www.google.com/maps/search/?api=1&amp;query=-30.8960641189631,-55.5389165377045</v>
      </c>
      <c r="G1331" s="16" t="str">
        <f t="array" ref="G1331">"https://earth.google.com/web/search/" &amp; A1331 &amp; "," &amp; B1331</f>
        <v>https://earth.google.com/web/search/-30.8960641189631,-55.5389165377045</v>
      </c>
      <c r="H1331" s="12"/>
      <c r="I1331" s="12"/>
      <c r="J1331" s="12"/>
      <c r="K1331" s="12"/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/>
    </row>
    <row r="1332" ht="26.25" customHeight="1">
      <c r="A1332" s="17" t="s">
        <v>2668</v>
      </c>
      <c r="B1332" s="18" t="s">
        <v>2669</v>
      </c>
      <c r="C1332" s="14">
        <v>1.0</v>
      </c>
      <c r="D1332" s="15">
        <v>66.0</v>
      </c>
      <c r="E1332" s="15">
        <v>11.0</v>
      </c>
      <c r="F1332" s="16" t="str">
        <f t="array" ref="F1332">"https://www.google.com/maps/search/?api=1&amp;query=" &amp; A1332 &amp; "," &amp; B1332</f>
        <v>https://www.google.com/maps/search/?api=1&amp;query=-3.0895965771624,-55.5391095901734</v>
      </c>
      <c r="G1332" s="16" t="str">
        <f t="array" ref="G1332">"https://earth.google.com/web/search/" &amp; A1332 &amp; "," &amp; B1332</f>
        <v>https://earth.google.com/web/search/-3.0895965771624,-55.5391095901734</v>
      </c>
      <c r="H1332" s="12"/>
      <c r="I1332" s="12"/>
      <c r="J1332" s="12"/>
      <c r="K1332" s="12"/>
      <c r="L1332" s="12"/>
      <c r="M1332" s="12"/>
      <c r="N1332" s="12"/>
      <c r="O1332" s="12"/>
      <c r="P1332" s="12"/>
      <c r="Q1332" s="12"/>
      <c r="R1332" s="12"/>
      <c r="S1332" s="12"/>
      <c r="T1332" s="12"/>
      <c r="U1332" s="12"/>
      <c r="V1332" s="12"/>
      <c r="W1332" s="12"/>
      <c r="X1332" s="12"/>
      <c r="Y1332" s="12"/>
      <c r="Z1332" s="12"/>
      <c r="AA1332" s="12"/>
    </row>
    <row r="1333" ht="26.25" customHeight="1">
      <c r="A1333" s="17" t="s">
        <v>2670</v>
      </c>
      <c r="B1333" s="18" t="s">
        <v>2671</v>
      </c>
      <c r="C1333" s="14">
        <v>1.0</v>
      </c>
      <c r="D1333" s="15">
        <v>66.0</v>
      </c>
      <c r="E1333" s="15">
        <v>12.0</v>
      </c>
      <c r="F1333" s="16" t="str">
        <f t="array" ref="F1333">"https://www.google.com/maps/search/?api=1&amp;query=" &amp; A1333 &amp; "," &amp; B1333</f>
        <v>https://www.google.com/maps/search/?api=1&amp;query=-30.8959016441648,-55.5392270293214</v>
      </c>
      <c r="G1333" s="16" t="str">
        <f t="array" ref="G1333">"https://earth.google.com/web/search/" &amp; A1333 &amp; "," &amp; B1333</f>
        <v>https://earth.google.com/web/search/-30.8959016441648,-55.5392270293214</v>
      </c>
      <c r="H1333" s="12"/>
      <c r="I1333" s="12"/>
      <c r="J1333" s="12"/>
      <c r="K1333" s="12"/>
      <c r="L1333" s="12"/>
      <c r="M1333" s="12"/>
      <c r="N1333" s="12"/>
      <c r="O1333" s="12"/>
      <c r="P1333" s="12"/>
      <c r="Q1333" s="12"/>
      <c r="R1333" s="12"/>
      <c r="S1333" s="12"/>
      <c r="T1333" s="12"/>
      <c r="U1333" s="12"/>
      <c r="V1333" s="12"/>
      <c r="W1333" s="12"/>
      <c r="X1333" s="12"/>
      <c r="Y1333" s="12"/>
      <c r="Z1333" s="12"/>
      <c r="AA1333" s="12"/>
    </row>
    <row r="1334" ht="26.25" customHeight="1">
      <c r="A1334" s="17" t="s">
        <v>2672</v>
      </c>
      <c r="B1334" s="18" t="s">
        <v>2673</v>
      </c>
      <c r="C1334" s="14">
        <v>1.0</v>
      </c>
      <c r="D1334" s="15">
        <v>65.0</v>
      </c>
      <c r="E1334" s="15">
        <v>1.0</v>
      </c>
      <c r="F1334" s="16" t="str">
        <f t="array" ref="F1334">"https://www.google.com/maps/search/?api=1&amp;query=" &amp; A1334 &amp; "," &amp; B1334</f>
        <v>https://www.google.com/maps/search/?api=1&amp;query=-30.8959016441649,-55.5397009817358</v>
      </c>
      <c r="G1334" s="16" t="str">
        <f t="array" ref="G1334">"https://earth.google.com/web/search/" &amp; A1334 &amp; "," &amp; B1334</f>
        <v>https://earth.google.com/web/search/-30.8959016441649,-55.5397009817358</v>
      </c>
      <c r="H1334" s="12"/>
      <c r="I1334" s="12"/>
      <c r="J1334" s="12"/>
      <c r="K1334" s="12"/>
      <c r="L1334" s="12"/>
      <c r="M1334" s="12"/>
      <c r="N1334" s="12"/>
      <c r="O1334" s="12"/>
      <c r="P1334" s="12"/>
      <c r="Q1334" s="12"/>
      <c r="R1334" s="12"/>
      <c r="S1334" s="12"/>
      <c r="T1334" s="12"/>
      <c r="U1334" s="12"/>
      <c r="V1334" s="12"/>
      <c r="W1334" s="12"/>
      <c r="X1334" s="12"/>
      <c r="Y1334" s="12"/>
      <c r="Z1334" s="12"/>
      <c r="AA1334" s="12"/>
    </row>
    <row r="1335" ht="26.25" customHeight="1">
      <c r="A1335" s="17" t="s">
        <v>2674</v>
      </c>
      <c r="B1335" s="18" t="s">
        <v>2675</v>
      </c>
      <c r="C1335" s="14">
        <v>1.0</v>
      </c>
      <c r="D1335" s="15">
        <v>65.0</v>
      </c>
      <c r="E1335" s="15">
        <v>2.0</v>
      </c>
      <c r="F1335" s="16" t="str">
        <f t="array" ref="F1335">"https://www.google.com/maps/search/?api=1&amp;query=" &amp; A1335 &amp; "," &amp; B1335</f>
        <v>https://www.google.com/maps/search/?api=1&amp;query=-30.8959016441650,-55.5400927948178</v>
      </c>
      <c r="G1335" s="16" t="str">
        <f t="array" ref="G1335">"https://earth.google.com/web/search/" &amp; A1335 &amp; "," &amp; B1335</f>
        <v>https://earth.google.com/web/search/-30.8959016441650,-55.5400927948178</v>
      </c>
      <c r="H1335" s="12"/>
      <c r="I1335" s="12"/>
      <c r="J1335" s="12"/>
      <c r="K1335" s="12"/>
      <c r="L1335" s="12"/>
      <c r="M1335" s="12"/>
      <c r="N1335" s="12"/>
      <c r="O1335" s="12"/>
      <c r="P1335" s="12"/>
      <c r="Q1335" s="12"/>
      <c r="R1335" s="12"/>
      <c r="S1335" s="12"/>
      <c r="T1335" s="12"/>
      <c r="U1335" s="12"/>
      <c r="V1335" s="12"/>
      <c r="W1335" s="12"/>
      <c r="X1335" s="12"/>
      <c r="Y1335" s="12"/>
      <c r="Z1335" s="12"/>
      <c r="AA1335" s="12"/>
    </row>
    <row r="1336" ht="26.25" customHeight="1">
      <c r="A1336" s="17" t="s">
        <v>2676</v>
      </c>
      <c r="B1336" s="18" t="s">
        <v>2677</v>
      </c>
      <c r="C1336" s="14">
        <v>1.0</v>
      </c>
      <c r="D1336" s="15">
        <v>65.0</v>
      </c>
      <c r="E1336" s="15">
        <v>3.0</v>
      </c>
      <c r="F1336" s="16" t="str">
        <f t="array" ref="F1336">"https://www.google.com/maps/search/?api=1&amp;query=" &amp; A1336 &amp; "," &amp; B1336</f>
        <v>https://www.google.com/maps/search/?api=1&amp;query=-30.8959016441651,-55.5402313660069</v>
      </c>
      <c r="G1336" s="16" t="str">
        <f t="array" ref="G1336">"https://earth.google.com/web/search/" &amp; A1336 &amp; "," &amp; B1336</f>
        <v>https://earth.google.com/web/search/-30.8959016441651,-55.5402313660069</v>
      </c>
      <c r="H1336" s="12"/>
      <c r="I1336" s="12"/>
      <c r="J1336" s="12"/>
      <c r="K1336" s="12"/>
      <c r="L1336" s="12"/>
      <c r="M1336" s="12"/>
      <c r="N1336" s="12"/>
      <c r="O1336" s="12"/>
      <c r="P1336" s="12"/>
      <c r="Q1336" s="12"/>
      <c r="R1336" s="12"/>
      <c r="S1336" s="12"/>
      <c r="T1336" s="12"/>
      <c r="U1336" s="12"/>
      <c r="V1336" s="12"/>
      <c r="W1336" s="12"/>
      <c r="X1336" s="12"/>
      <c r="Y1336" s="12"/>
      <c r="Z1336" s="12"/>
      <c r="AA1336" s="12"/>
    </row>
    <row r="1337" ht="26.25" customHeight="1">
      <c r="A1337" s="17" t="s">
        <v>2678</v>
      </c>
      <c r="B1337" s="18" t="s">
        <v>2679</v>
      </c>
      <c r="C1337" s="14">
        <v>1.0</v>
      </c>
      <c r="D1337" s="15">
        <v>65.0</v>
      </c>
      <c r="E1337" s="15">
        <v>4.0</v>
      </c>
      <c r="F1337" s="16" t="str">
        <f t="array" ref="F1337">"https://www.google.com/maps/search/?api=1&amp;query=" &amp; A1337 &amp; "," &amp; B1337</f>
        <v>https://www.google.com/maps/search/?api=1&amp;query=-30.8959016441652,-55.5402724846683</v>
      </c>
      <c r="G1337" s="16" t="str">
        <f t="array" ref="G1337">"https://earth.google.com/web/search/" &amp; A1337 &amp; "," &amp; B1337</f>
        <v>https://earth.google.com/web/search/-30.8959016441652,-55.5402724846683</v>
      </c>
      <c r="H1337" s="12"/>
      <c r="I1337" s="12"/>
      <c r="J1337" s="12"/>
      <c r="K1337" s="12"/>
      <c r="L1337" s="12"/>
      <c r="M1337" s="12"/>
      <c r="N1337" s="12"/>
      <c r="O1337" s="12"/>
      <c r="P1337" s="12"/>
      <c r="Q1337" s="12"/>
      <c r="R1337" s="12"/>
      <c r="S1337" s="12"/>
      <c r="T1337" s="12"/>
      <c r="U1337" s="12"/>
      <c r="V1337" s="12"/>
      <c r="W1337" s="12"/>
      <c r="X1337" s="12"/>
      <c r="Y1337" s="12"/>
      <c r="Z1337" s="12"/>
      <c r="AA1337" s="12"/>
    </row>
    <row r="1338" ht="26.25" customHeight="1">
      <c r="A1338" s="17" t="s">
        <v>2680</v>
      </c>
      <c r="B1338" s="18" t="s">
        <v>2681</v>
      </c>
      <c r="C1338" s="14">
        <v>1.0</v>
      </c>
      <c r="D1338" s="15">
        <v>65.0</v>
      </c>
      <c r="E1338" s="15">
        <v>5.0</v>
      </c>
      <c r="F1338" s="16" t="str">
        <f t="array" ref="F1338">"https://www.google.com/maps/search/?api=1&amp;query=" &amp; A1338 &amp; "," &amp; B1338</f>
        <v>https://www.google.com/maps/search/?api=1&amp;query=-30.8959016441653,-55.5403068374629</v>
      </c>
      <c r="G1338" s="16" t="str">
        <f t="array" ref="G1338">"https://earth.google.com/web/search/" &amp; A1338 &amp; "," &amp; B1338</f>
        <v>https://earth.google.com/web/search/-30.8959016441653,-55.5403068374629</v>
      </c>
      <c r="H1338" s="12"/>
      <c r="I1338" s="12"/>
      <c r="J1338" s="12"/>
      <c r="K1338" s="12"/>
      <c r="L1338" s="12"/>
      <c r="M1338" s="12"/>
      <c r="N1338" s="12"/>
      <c r="O1338" s="12"/>
      <c r="P1338" s="12"/>
      <c r="Q1338" s="12"/>
      <c r="R1338" s="12"/>
      <c r="S1338" s="12"/>
      <c r="T1338" s="12"/>
      <c r="U1338" s="12"/>
      <c r="V1338" s="12"/>
      <c r="W1338" s="12"/>
      <c r="X1338" s="12"/>
      <c r="Y1338" s="12"/>
      <c r="Z1338" s="12"/>
      <c r="AA1338" s="12"/>
    </row>
    <row r="1339" ht="26.25" customHeight="1">
      <c r="A1339" s="17" t="s">
        <v>2682</v>
      </c>
      <c r="B1339" s="18" t="s">
        <v>2683</v>
      </c>
      <c r="C1339" s="14">
        <v>1.0</v>
      </c>
      <c r="D1339" s="15">
        <v>65.0</v>
      </c>
      <c r="E1339" s="15">
        <v>6.0</v>
      </c>
      <c r="F1339" s="16" t="str">
        <f t="array" ref="F1339">"https://www.google.com/maps/search/?api=1&amp;query=" &amp; A1339 &amp; "," &amp; B1339</f>
        <v>https://www.google.com/maps/search/?api=1&amp;query=-30.8959016441654,-55.5402678705696</v>
      </c>
      <c r="G1339" s="16" t="str">
        <f t="array" ref="G1339">"https://earth.google.com/web/search/" &amp; A1339 &amp; "," &amp; B1339</f>
        <v>https://earth.google.com/web/search/-30.8959016441654,-55.5402678705696</v>
      </c>
      <c r="H1339" s="12"/>
      <c r="I1339" s="12"/>
      <c r="J1339" s="12"/>
      <c r="K1339" s="12"/>
      <c r="L1339" s="12"/>
      <c r="M1339" s="12"/>
      <c r="N1339" s="12"/>
      <c r="O1339" s="12"/>
      <c r="P1339" s="12"/>
      <c r="Q1339" s="12"/>
      <c r="R1339" s="12"/>
      <c r="S1339" s="12"/>
      <c r="T1339" s="12"/>
      <c r="U1339" s="12"/>
      <c r="V1339" s="12"/>
      <c r="W1339" s="12"/>
      <c r="X1339" s="12"/>
      <c r="Y1339" s="12"/>
      <c r="Z1339" s="12"/>
      <c r="AA1339" s="12"/>
    </row>
    <row r="1340" ht="26.25" customHeight="1">
      <c r="A1340" s="17" t="s">
        <v>2684</v>
      </c>
      <c r="B1340" s="18" t="s">
        <v>2685</v>
      </c>
      <c r="C1340" s="14">
        <v>1.0</v>
      </c>
      <c r="D1340" s="15">
        <v>65.0</v>
      </c>
      <c r="E1340" s="15">
        <v>7.0</v>
      </c>
      <c r="F1340" s="16" t="str">
        <f t="array" ref="F1340">"https://www.google.com/maps/search/?api=1&amp;query=" &amp; A1340 &amp; "," &amp; B1340</f>
        <v>https://www.google.com/maps/search/?api=1&amp;query=-30.8959016441655,-55.5402201920356</v>
      </c>
      <c r="G1340" s="16" t="str">
        <f t="array" ref="G1340">"https://earth.google.com/web/search/" &amp; A1340 &amp; "," &amp; B1340</f>
        <v>https://earth.google.com/web/search/-30.8959016441655,-55.5402201920356</v>
      </c>
      <c r="H1340" s="12"/>
      <c r="I1340" s="12"/>
      <c r="J1340" s="12"/>
      <c r="K1340" s="12"/>
      <c r="L1340" s="12"/>
      <c r="M1340" s="12"/>
      <c r="N1340" s="12"/>
      <c r="O1340" s="12"/>
      <c r="P1340" s="12"/>
      <c r="Q1340" s="12"/>
      <c r="R1340" s="12"/>
      <c r="S1340" s="12"/>
      <c r="T1340" s="12"/>
      <c r="U1340" s="12"/>
      <c r="V1340" s="12"/>
      <c r="W1340" s="12"/>
      <c r="X1340" s="12"/>
      <c r="Y1340" s="12"/>
      <c r="Z1340" s="12"/>
      <c r="AA1340" s="12"/>
    </row>
    <row r="1341" ht="26.25" customHeight="1">
      <c r="A1341" s="17" t="s">
        <v>2686</v>
      </c>
      <c r="B1341" s="18" t="s">
        <v>2687</v>
      </c>
      <c r="C1341" s="14">
        <v>1.0</v>
      </c>
      <c r="D1341" s="15">
        <v>65.0</v>
      </c>
      <c r="E1341" s="15">
        <v>8.0</v>
      </c>
      <c r="F1341" s="16" t="str">
        <f t="array" ref="F1341">"https://www.google.com/maps/search/?api=1&amp;query=" &amp; A1341 &amp; "," &amp; B1341</f>
        <v>https://www.google.com/maps/search/?api=1&amp;query=-30.8959016441656,-55.5401630058676</v>
      </c>
      <c r="G1341" s="16" t="str">
        <f t="array" ref="G1341">"https://earth.google.com/web/search/" &amp; A1341 &amp; "," &amp; B1341</f>
        <v>https://earth.google.com/web/search/-30.8959016441656,-55.5401630058676</v>
      </c>
      <c r="H1341" s="12"/>
      <c r="I1341" s="12"/>
      <c r="J1341" s="12"/>
      <c r="K1341" s="12"/>
      <c r="L1341" s="12"/>
      <c r="M1341" s="12"/>
      <c r="N1341" s="12"/>
      <c r="O1341" s="12"/>
      <c r="P1341" s="12"/>
      <c r="Q1341" s="12"/>
      <c r="R1341" s="12"/>
      <c r="S1341" s="12"/>
      <c r="T1341" s="12"/>
      <c r="U1341" s="12"/>
      <c r="V1341" s="12"/>
      <c r="W1341" s="12"/>
      <c r="X1341" s="12"/>
      <c r="Y1341" s="12"/>
      <c r="Z1341" s="12"/>
      <c r="AA1341" s="12"/>
    </row>
    <row r="1342" ht="26.25" customHeight="1">
      <c r="A1342" s="17" t="s">
        <v>2688</v>
      </c>
      <c r="B1342" s="18" t="s">
        <v>2689</v>
      </c>
      <c r="C1342" s="14">
        <v>1.0</v>
      </c>
      <c r="D1342" s="15">
        <v>65.0</v>
      </c>
      <c r="E1342" s="15">
        <v>9.0</v>
      </c>
      <c r="F1342" s="16" t="str">
        <f t="array" ref="F1342">"https://www.google.com/maps/search/?api=1&amp;query=" &amp; A1342 &amp; "," &amp; B1342</f>
        <v>https://www.google.com/maps/search/?api=1&amp;query=-30.8959016441657,-55.5401112176754</v>
      </c>
      <c r="G1342" s="16" t="str">
        <f t="array" ref="G1342">"https://earth.google.com/web/search/" &amp; A1342 &amp; "," &amp; B1342</f>
        <v>https://earth.google.com/web/search/-30.8959016441657,-55.5401112176754</v>
      </c>
      <c r="H1342" s="12"/>
      <c r="I1342" s="12"/>
      <c r="J1342" s="12"/>
      <c r="K1342" s="12"/>
      <c r="L1342" s="12"/>
      <c r="M1342" s="12"/>
      <c r="N1342" s="12"/>
      <c r="O1342" s="12"/>
      <c r="P1342" s="12"/>
      <c r="Q1342" s="12"/>
      <c r="R1342" s="12"/>
      <c r="S1342" s="12"/>
      <c r="T1342" s="12"/>
      <c r="U1342" s="12"/>
      <c r="V1342" s="12"/>
      <c r="W1342" s="12"/>
      <c r="X1342" s="12"/>
      <c r="Y1342" s="12"/>
      <c r="Z1342" s="12"/>
      <c r="AA1342" s="12"/>
    </row>
    <row r="1343" ht="26.25" customHeight="1">
      <c r="A1343" s="17" t="s">
        <v>2690</v>
      </c>
      <c r="B1343" s="18" t="s">
        <v>2691</v>
      </c>
      <c r="C1343" s="14">
        <v>1.0</v>
      </c>
      <c r="D1343" s="21" t="s">
        <v>2692</v>
      </c>
      <c r="E1343" s="22"/>
      <c r="F1343" s="16" t="str">
        <f t="array" ref="F1343">"https://www.google.com/maps/search/?api=1&amp;query=" &amp; A1343 &amp; "," &amp; B1343</f>
        <v>https://www.google.com/maps/search/?api=1&amp;query=-30.8959016441658,-55.5477018452598</v>
      </c>
      <c r="G1343" s="16" t="str">
        <f t="array" ref="G1343">"https://earth.google.com/web/search/" &amp; A1343 &amp; "," &amp; B1343</f>
        <v>https://earth.google.com/web/search/-30.8959016441658,-55.5477018452598</v>
      </c>
      <c r="H1343" s="12"/>
      <c r="I1343" s="12"/>
      <c r="J1343" s="12"/>
      <c r="K1343" s="12"/>
      <c r="L1343" s="12"/>
      <c r="M1343" s="12"/>
      <c r="N1343" s="12"/>
      <c r="O1343" s="12"/>
      <c r="P1343" s="12"/>
      <c r="Q1343" s="12"/>
      <c r="R1343" s="12"/>
      <c r="S1343" s="12"/>
      <c r="T1343" s="12"/>
      <c r="U1343" s="12"/>
      <c r="V1343" s="12"/>
      <c r="W1343" s="12"/>
      <c r="X1343" s="12"/>
      <c r="Y1343" s="12"/>
      <c r="Z1343" s="12"/>
      <c r="AA1343" s="12"/>
    </row>
    <row r="1344" ht="26.25" customHeight="1">
      <c r="A1344" s="17" t="s">
        <v>2693</v>
      </c>
      <c r="B1344" s="18" t="s">
        <v>2694</v>
      </c>
      <c r="C1344" s="14">
        <v>1.0</v>
      </c>
      <c r="D1344" s="21" t="s">
        <v>2692</v>
      </c>
      <c r="E1344" s="22"/>
      <c r="F1344" s="16" t="str">
        <f t="array" ref="F1344">"https://www.google.com/maps/search/?api=1&amp;query=" &amp; A1344 &amp; "," &amp; B1344</f>
        <v>https://www.google.com/maps/search/?api=1&amp;query=-30.8959016441659,-0.5554131620649</v>
      </c>
      <c r="G1344" s="16" t="str">
        <f t="array" ref="G1344">"https://earth.google.com/web/search/" &amp; A1344 &amp; "," &amp; B1344</f>
        <v>https://earth.google.com/web/search/-30.8959016441659,-0.5554131620649</v>
      </c>
      <c r="H1344" s="12"/>
      <c r="I1344" s="12"/>
      <c r="J1344" s="12"/>
      <c r="K1344" s="12"/>
      <c r="L1344" s="12"/>
      <c r="M1344" s="12"/>
      <c r="N1344" s="12"/>
      <c r="O1344" s="12"/>
      <c r="P1344" s="12"/>
      <c r="Q1344" s="12"/>
      <c r="R1344" s="12"/>
      <c r="S1344" s="12"/>
      <c r="T1344" s="12"/>
      <c r="U1344" s="12"/>
      <c r="V1344" s="12"/>
      <c r="W1344" s="12"/>
      <c r="X1344" s="12"/>
      <c r="Y1344" s="12"/>
      <c r="Z1344" s="12"/>
      <c r="AA1344" s="12"/>
    </row>
    <row r="1345" ht="26.25" customHeight="1">
      <c r="A1345" s="17" t="s">
        <v>2695</v>
      </c>
      <c r="B1345" s="18" t="s">
        <v>2696</v>
      </c>
      <c r="C1345" s="14">
        <v>1.0</v>
      </c>
      <c r="D1345" s="21" t="s">
        <v>2692</v>
      </c>
      <c r="E1345" s="22"/>
      <c r="F1345" s="16" t="str">
        <f t="array" ref="F1345">"https://www.google.com/maps/search/?api=1&amp;query=" &amp; A1345 &amp; "," &amp; B1345</f>
        <v>https://www.google.com/maps/search/?api=1&amp;query=-30.8959016441660,-55.5340165279831</v>
      </c>
      <c r="G1345" s="16" t="str">
        <f t="array" ref="G1345">"https://earth.google.com/web/search/" &amp; A1345 &amp; "," &amp; B1345</f>
        <v>https://earth.google.com/web/search/-30.8959016441660,-55.5340165279831</v>
      </c>
      <c r="H1345" s="12"/>
      <c r="I1345" s="12"/>
      <c r="J1345" s="12"/>
      <c r="K1345" s="12"/>
      <c r="L1345" s="12"/>
      <c r="M1345" s="12"/>
      <c r="N1345" s="12"/>
      <c r="O1345" s="12"/>
      <c r="P1345" s="12"/>
      <c r="Q1345" s="12"/>
      <c r="R1345" s="12"/>
      <c r="S1345" s="12"/>
      <c r="T1345" s="12"/>
      <c r="U1345" s="12"/>
      <c r="V1345" s="12"/>
      <c r="W1345" s="12"/>
      <c r="X1345" s="12"/>
      <c r="Y1345" s="12"/>
      <c r="Z1345" s="12"/>
      <c r="AA1345" s="12"/>
    </row>
    <row r="1346" ht="26.25" customHeight="1">
      <c r="A1346" s="17" t="s">
        <v>2697</v>
      </c>
      <c r="B1346" s="18" t="s">
        <v>2698</v>
      </c>
      <c r="C1346" s="14">
        <v>1.0</v>
      </c>
      <c r="D1346" s="21" t="s">
        <v>2692</v>
      </c>
      <c r="E1346" s="22"/>
      <c r="F1346" s="16" t="str">
        <f t="array" ref="F1346">"https://www.google.com/maps/search/?api=1&amp;query=" &amp; A1346 &amp; "," &amp; B1346</f>
        <v>https://www.google.com/maps/search/?api=1&amp;query=-30.8959016441661,-55.5340763571212</v>
      </c>
      <c r="G1346" s="16" t="str">
        <f t="array" ref="G1346">"https://earth.google.com/web/search/" &amp; A1346 &amp; "," &amp; B1346</f>
        <v>https://earth.google.com/web/search/-30.8959016441661,-55.5340763571212</v>
      </c>
      <c r="H1346" s="12"/>
      <c r="I1346" s="12"/>
      <c r="J1346" s="12"/>
      <c r="K1346" s="12"/>
      <c r="L1346" s="12"/>
      <c r="M1346" s="12"/>
      <c r="N1346" s="12"/>
      <c r="O1346" s="12"/>
      <c r="P1346" s="12"/>
      <c r="Q1346" s="12"/>
      <c r="R1346" s="12"/>
      <c r="S1346" s="12"/>
      <c r="T1346" s="12"/>
      <c r="U1346" s="12"/>
      <c r="V1346" s="12"/>
      <c r="W1346" s="12"/>
      <c r="X1346" s="12"/>
      <c r="Y1346" s="12"/>
      <c r="Z1346" s="12"/>
      <c r="AA1346" s="12"/>
    </row>
    <row r="1347" ht="26.25" customHeight="1">
      <c r="A1347" s="17" t="s">
        <v>2699</v>
      </c>
      <c r="B1347" s="18" t="s">
        <v>2700</v>
      </c>
      <c r="C1347" s="14">
        <v>1.0</v>
      </c>
      <c r="D1347" s="21" t="s">
        <v>2692</v>
      </c>
      <c r="E1347" s="22"/>
      <c r="F1347" s="16" t="str">
        <f t="array" ref="F1347">"https://www.google.com/maps/search/?api=1&amp;query=" &amp; A1347 &amp; "," &amp; B1347</f>
        <v>https://www.google.com/maps/search/?api=1&amp;query=-30.8959016441662,-55.5369647109911</v>
      </c>
      <c r="G1347" s="16" t="str">
        <f t="array" ref="G1347">"https://earth.google.com/web/search/" &amp; A1347 &amp; "," &amp; B1347</f>
        <v>https://earth.google.com/web/search/-30.8959016441662,-55.5369647109911</v>
      </c>
      <c r="H1347" s="12"/>
      <c r="I1347" s="12"/>
      <c r="J1347" s="12"/>
      <c r="K1347" s="12"/>
      <c r="L1347" s="12"/>
      <c r="M1347" s="12"/>
      <c r="N1347" s="12"/>
      <c r="O1347" s="12"/>
      <c r="P1347" s="12"/>
      <c r="Q1347" s="12"/>
      <c r="R1347" s="12"/>
      <c r="S1347" s="12"/>
      <c r="T1347" s="12"/>
      <c r="U1347" s="12"/>
      <c r="V1347" s="12"/>
      <c r="W1347" s="12"/>
      <c r="X1347" s="12"/>
      <c r="Y1347" s="12"/>
      <c r="Z1347" s="12"/>
      <c r="AA1347" s="12"/>
    </row>
    <row r="1348" ht="26.25" customHeight="1">
      <c r="A1348" s="17" t="s">
        <v>2701</v>
      </c>
      <c r="B1348" s="18" t="s">
        <v>2702</v>
      </c>
      <c r="C1348" s="14">
        <v>1.0</v>
      </c>
      <c r="D1348" s="21" t="s">
        <v>2692</v>
      </c>
      <c r="E1348" s="22"/>
      <c r="F1348" s="16" t="str">
        <f t="array" ref="F1348">"https://www.google.com/maps/search/?api=1&amp;query=" &amp; A1348 &amp; "," &amp; B1348</f>
        <v>https://www.google.com/maps/search/?api=1&amp;query=-30.8959016441663,-55.5372280297546</v>
      </c>
      <c r="G1348" s="16" t="str">
        <f t="array" ref="G1348">"https://earth.google.com/web/search/" &amp; A1348 &amp; "," &amp; B1348</f>
        <v>https://earth.google.com/web/search/-30.8959016441663,-55.5372280297546</v>
      </c>
      <c r="H1348" s="12"/>
      <c r="I1348" s="12"/>
      <c r="J1348" s="12"/>
      <c r="K1348" s="12"/>
      <c r="L1348" s="12"/>
      <c r="M1348" s="12"/>
      <c r="N1348" s="12"/>
      <c r="O1348" s="12"/>
      <c r="P1348" s="12"/>
      <c r="Q1348" s="12"/>
      <c r="R1348" s="12"/>
      <c r="S1348" s="12"/>
      <c r="T1348" s="12"/>
      <c r="U1348" s="12"/>
      <c r="V1348" s="12"/>
      <c r="W1348" s="12"/>
      <c r="X1348" s="12"/>
      <c r="Y1348" s="12"/>
      <c r="Z1348" s="12"/>
      <c r="AA1348" s="12"/>
    </row>
    <row r="1349" ht="26.25" customHeight="1">
      <c r="A1349" s="17" t="s">
        <v>2703</v>
      </c>
      <c r="B1349" s="18" t="s">
        <v>2704</v>
      </c>
      <c r="C1349" s="14">
        <v>1.0</v>
      </c>
      <c r="D1349" s="21" t="s">
        <v>2692</v>
      </c>
      <c r="E1349" s="22"/>
      <c r="F1349" s="16" t="str">
        <f t="array" ref="F1349">"https://www.google.com/maps/search/?api=1&amp;query=" &amp; A1349 &amp; "," &amp; B1349</f>
        <v>https://www.google.com/maps/search/?api=1&amp;query=-30.8959016441664,-5.5538072420344</v>
      </c>
      <c r="G1349" s="16" t="str">
        <f t="array" ref="G1349">"https://earth.google.com/web/search/" &amp; A1349 &amp; "," &amp; B1349</f>
        <v>https://earth.google.com/web/search/-30.8959016441664,-5.5538072420344</v>
      </c>
      <c r="H1349" s="12"/>
      <c r="I1349" s="12"/>
      <c r="J1349" s="12"/>
      <c r="K1349" s="12"/>
      <c r="L1349" s="12"/>
      <c r="M1349" s="12"/>
      <c r="N1349" s="12"/>
      <c r="O1349" s="12"/>
      <c r="P1349" s="12"/>
      <c r="Q1349" s="12"/>
      <c r="R1349" s="12"/>
      <c r="S1349" s="12"/>
      <c r="T1349" s="12"/>
      <c r="U1349" s="12"/>
      <c r="V1349" s="12"/>
      <c r="W1349" s="12"/>
      <c r="X1349" s="12"/>
      <c r="Y1349" s="12"/>
      <c r="Z1349" s="12"/>
      <c r="AA1349" s="12"/>
    </row>
    <row r="1350" ht="26.25" customHeight="1">
      <c r="A1350" s="17" t="s">
        <v>2705</v>
      </c>
      <c r="B1350" s="18" t="s">
        <v>2706</v>
      </c>
      <c r="C1350" s="14">
        <v>1.0</v>
      </c>
      <c r="D1350" s="21" t="s">
        <v>2692</v>
      </c>
      <c r="E1350" s="22"/>
      <c r="F1350" s="16" t="str">
        <f t="array" ref="F1350">"https://www.google.com/maps/search/?api=1&amp;query=" &amp; A1350 &amp; "," &amp; B1350</f>
        <v>https://www.google.com/maps/search/?api=1&amp;query=-30.8959016441665,-55.5398445266338</v>
      </c>
      <c r="G1350" s="16" t="str">
        <f t="array" ref="G1350">"https://earth.google.com/web/search/" &amp; A1350 &amp; "," &amp; B1350</f>
        <v>https://earth.google.com/web/search/-30.8959016441665,-55.5398445266338</v>
      </c>
      <c r="H1350" s="12"/>
      <c r="I1350" s="12"/>
      <c r="J1350" s="12"/>
      <c r="K1350" s="12"/>
      <c r="L1350" s="12"/>
      <c r="M1350" s="12"/>
      <c r="N1350" s="12"/>
      <c r="O1350" s="12"/>
      <c r="P1350" s="12"/>
      <c r="Q1350" s="12"/>
      <c r="R1350" s="12"/>
      <c r="S1350" s="12"/>
      <c r="T1350" s="12"/>
      <c r="U1350" s="12"/>
      <c r="V1350" s="12"/>
      <c r="W1350" s="12"/>
      <c r="X1350" s="12"/>
      <c r="Y1350" s="12"/>
      <c r="Z1350" s="12"/>
      <c r="AA1350" s="12"/>
    </row>
    <row r="1351" ht="26.25" customHeight="1">
      <c r="A1351" s="17" t="s">
        <v>2707</v>
      </c>
      <c r="B1351" s="18" t="s">
        <v>2691</v>
      </c>
      <c r="C1351" s="14">
        <v>1.0</v>
      </c>
      <c r="D1351" s="21" t="s">
        <v>2692</v>
      </c>
      <c r="E1351" s="22"/>
      <c r="F1351" s="16" t="str">
        <f t="array" ref="F1351">"https://www.google.com/maps/search/?api=1&amp;query=" &amp; A1351 &amp; "," &amp; B1351</f>
        <v>https://www.google.com/maps/search/?api=1&amp;query=-30.8959016441666,-55.5477018452598</v>
      </c>
      <c r="G1351" s="16" t="str">
        <f t="array" ref="G1351">"https://earth.google.com/web/search/" &amp; A1351 &amp; "," &amp; B1351</f>
        <v>https://earth.google.com/web/search/-30.8959016441666,-55.5477018452598</v>
      </c>
      <c r="H1351" s="12"/>
      <c r="I1351" s="12"/>
      <c r="J1351" s="12"/>
      <c r="K1351" s="12"/>
      <c r="L1351" s="12"/>
      <c r="M1351" s="12"/>
      <c r="N1351" s="12"/>
      <c r="O1351" s="12"/>
      <c r="P1351" s="12"/>
      <c r="Q1351" s="12"/>
      <c r="R1351" s="12"/>
      <c r="S1351" s="12"/>
      <c r="T1351" s="12"/>
      <c r="U1351" s="12"/>
      <c r="V1351" s="12"/>
      <c r="W1351" s="12"/>
      <c r="X1351" s="12"/>
      <c r="Y1351" s="12"/>
      <c r="Z1351" s="12"/>
      <c r="AA1351" s="12"/>
    </row>
    <row r="1352" ht="26.25" customHeight="1">
      <c r="A1352" s="17" t="s">
        <v>2708</v>
      </c>
      <c r="B1352" s="18" t="s">
        <v>2709</v>
      </c>
      <c r="C1352" s="14">
        <v>1.0</v>
      </c>
      <c r="D1352" s="21">
        <v>1.0</v>
      </c>
      <c r="E1352" s="22"/>
      <c r="F1352" s="16" t="str">
        <f t="array" ref="F1352">"https://www.google.com/maps/search/?api=1&amp;query=" &amp; A1352 &amp; "," &amp; B1352</f>
        <v>https://www.google.com/maps/search/?api=1&amp;query=-30.8959016441667,-55.5399252769206</v>
      </c>
      <c r="G1352" s="16" t="str">
        <f t="array" ref="G1352">"https://earth.google.com/web/search/" &amp; A1352 &amp; "," &amp; B1352</f>
        <v>https://earth.google.com/web/search/-30.8959016441667,-55.5399252769206</v>
      </c>
      <c r="H1352" s="12"/>
      <c r="I1352" s="12"/>
      <c r="J1352" s="12"/>
      <c r="K1352" s="12"/>
      <c r="L1352" s="12"/>
      <c r="M1352" s="12"/>
      <c r="N1352" s="12"/>
      <c r="O1352" s="12"/>
      <c r="P1352" s="12"/>
      <c r="Q1352" s="12"/>
      <c r="R1352" s="12"/>
      <c r="S1352" s="12"/>
      <c r="T1352" s="12"/>
      <c r="U1352" s="12"/>
      <c r="V1352" s="12"/>
      <c r="W1352" s="12"/>
      <c r="X1352" s="12"/>
      <c r="Y1352" s="12"/>
      <c r="Z1352" s="12"/>
      <c r="AA1352" s="12"/>
    </row>
    <row r="1353" ht="26.25" customHeight="1">
      <c r="A1353" s="17" t="s">
        <v>2710</v>
      </c>
      <c r="B1353" s="18" t="s">
        <v>2711</v>
      </c>
      <c r="C1353" s="14">
        <v>1.0</v>
      </c>
      <c r="D1353" s="21">
        <v>1420.0</v>
      </c>
      <c r="E1353" s="22"/>
      <c r="F1353" s="16" t="str">
        <f t="array" ref="F1353">"https://www.google.com/maps/search/?api=1&amp;query=" &amp; A1353 &amp; "," &amp; B1353</f>
        <v>https://www.google.com/maps/search/?api=1&amp;query=-30.8959016441668,-55.5416650969446</v>
      </c>
      <c r="G1353" s="16" t="str">
        <f t="array" ref="G1353">"https://earth.google.com/web/search/" &amp; A1353 &amp; "," &amp; B1353</f>
        <v>https://earth.google.com/web/search/-30.8959016441668,-55.5416650969446</v>
      </c>
      <c r="H1353" s="12"/>
      <c r="I1353" s="12"/>
      <c r="J1353" s="12"/>
      <c r="K1353" s="12"/>
      <c r="L1353" s="12"/>
      <c r="M1353" s="12"/>
      <c r="N1353" s="12"/>
      <c r="O1353" s="12"/>
      <c r="P1353" s="12"/>
      <c r="Q1353" s="12"/>
      <c r="R1353" s="12"/>
      <c r="S1353" s="12"/>
      <c r="T1353" s="12"/>
      <c r="U1353" s="12"/>
      <c r="V1353" s="12"/>
      <c r="W1353" s="12"/>
      <c r="X1353" s="12"/>
      <c r="Y1353" s="12"/>
      <c r="Z1353" s="12"/>
      <c r="AA1353" s="12"/>
    </row>
    <row r="1354" ht="26.25" customHeight="1">
      <c r="A1354" s="17" t="s">
        <v>2712</v>
      </c>
      <c r="B1354" s="17" t="s">
        <v>2713</v>
      </c>
      <c r="C1354" s="14">
        <v>2.0</v>
      </c>
      <c r="D1354" s="23">
        <v>2.0</v>
      </c>
      <c r="E1354" s="21"/>
      <c r="F1354" s="24" t="str">
        <f t="array" ref="F1354">"https://www.google.com/maps/search/?api=1&amp;query=" &amp; A1354 &amp; "," &amp; B1354</f>
        <v>https://www.google.com/maps/search/?api=1&amp;query=-30.90468629709240,-55.53571491044030</v>
      </c>
      <c r="G1354" s="25" t="str">
        <f t="array" ref="G1354">"https://earth.google.com/web/search/" &amp; A1354 &amp; "," &amp; B1354</f>
        <v>https://earth.google.com/web/search/-30.90468629709240,-55.53571491044030</v>
      </c>
      <c r="H1354" s="12"/>
      <c r="I1354" s="12"/>
      <c r="J1354" s="12"/>
      <c r="K1354" s="12"/>
      <c r="L1354" s="12"/>
      <c r="M1354" s="12"/>
      <c r="N1354" s="12"/>
      <c r="O1354" s="12"/>
      <c r="P1354" s="12"/>
      <c r="Q1354" s="12"/>
      <c r="R1354" s="12"/>
      <c r="S1354" s="12"/>
      <c r="T1354" s="12"/>
      <c r="U1354" s="12"/>
      <c r="V1354" s="12"/>
      <c r="W1354" s="12"/>
      <c r="X1354" s="12"/>
      <c r="Y1354" s="12"/>
      <c r="Z1354" s="12"/>
      <c r="AA1354" s="12"/>
    </row>
    <row r="1355" ht="26.25" customHeight="1">
      <c r="A1355" s="26" t="s">
        <v>2714</v>
      </c>
      <c r="B1355" s="26" t="s">
        <v>2715</v>
      </c>
      <c r="C1355" s="14">
        <v>2.0</v>
      </c>
      <c r="D1355" s="23">
        <v>770.0</v>
      </c>
      <c r="E1355" s="21"/>
      <c r="F1355" s="27" t="str">
        <f t="array" ref="F1355">"https://www.google.com/maps/search/?api=1&amp;query=" &amp; A1355 &amp; "," &amp; B1355</f>
        <v>https://www.google.com/maps/search/?api=1&amp;query=-30.9064815770558,-55.53646837592570</v>
      </c>
      <c r="G1355" s="27" t="str">
        <f t="array" ref="G1355">"https://earth.google.com/web/search/" &amp; A1355 &amp; "," &amp; B1355</f>
        <v>https://earth.google.com/web/search/-30.9064815770558,-55.53646837592570</v>
      </c>
      <c r="H1355" s="12"/>
      <c r="I1355" s="12"/>
      <c r="J1355" s="12"/>
      <c r="K1355" s="12"/>
      <c r="L1355" s="12"/>
      <c r="M1355" s="12"/>
      <c r="N1355" s="12"/>
      <c r="O1355" s="12"/>
      <c r="P1355" s="12"/>
      <c r="Q1355" s="12"/>
      <c r="R1355" s="12"/>
      <c r="S1355" s="12"/>
      <c r="T1355" s="12"/>
      <c r="U1355" s="12"/>
      <c r="V1355" s="12"/>
      <c r="W1355" s="12"/>
      <c r="X1355" s="12"/>
      <c r="Y1355" s="12"/>
      <c r="Z1355" s="12"/>
      <c r="AA1355" s="12"/>
    </row>
    <row r="1356" ht="26.25" customHeight="1">
      <c r="A1356" s="26" t="s">
        <v>2716</v>
      </c>
      <c r="B1356" s="26" t="s">
        <v>2717</v>
      </c>
      <c r="C1356" s="14">
        <v>2.0</v>
      </c>
      <c r="D1356" s="23">
        <v>72.0</v>
      </c>
      <c r="E1356" s="23">
        <v>1.0</v>
      </c>
      <c r="F1356" s="27" t="str">
        <f t="array" ref="F1356">"https://www.google.com/maps/search/?api=1&amp;query=" &amp; A1356 &amp; "," &amp; B1356</f>
        <v>https://www.google.com/maps/search/?api=1&amp;query=-30.8989372455973,-55.53398530115300</v>
      </c>
      <c r="G1356" s="27" t="str">
        <f t="array" ref="G1356">"https://earth.google.com/web/search/" &amp; A1356 &amp; "," &amp; B1356</f>
        <v>https://earth.google.com/web/search/-30.8989372455973,-55.53398530115300</v>
      </c>
      <c r="H1356" s="12"/>
      <c r="I1356" s="12"/>
      <c r="J1356" s="12"/>
      <c r="K1356" s="12"/>
      <c r="L1356" s="12"/>
      <c r="M1356" s="12"/>
      <c r="N1356" s="12"/>
      <c r="O1356" s="12"/>
      <c r="P1356" s="12"/>
      <c r="Q1356" s="12"/>
      <c r="R1356" s="12"/>
      <c r="S1356" s="12"/>
      <c r="T1356" s="12"/>
      <c r="U1356" s="12"/>
      <c r="V1356" s="12"/>
      <c r="W1356" s="12"/>
      <c r="X1356" s="12"/>
      <c r="Y1356" s="12"/>
      <c r="Z1356" s="12"/>
      <c r="AA1356" s="12"/>
    </row>
    <row r="1357" ht="26.25" customHeight="1">
      <c r="A1357" s="26" t="s">
        <v>2718</v>
      </c>
      <c r="B1357" s="26" t="s">
        <v>2719</v>
      </c>
      <c r="C1357" s="14">
        <v>2.0</v>
      </c>
      <c r="D1357" s="23">
        <v>72.0</v>
      </c>
      <c r="E1357" s="23">
        <v>2.0</v>
      </c>
      <c r="F1357" s="27" t="str">
        <f t="array" ref="F1357">"https://www.google.com/maps/search/?api=1&amp;query=" &amp; A1357 &amp; "," &amp; B1357</f>
        <v>https://www.google.com/maps/search/?api=1&amp;query=-30.8990334327316,-5.55339488303046</v>
      </c>
      <c r="G1357" s="27" t="str">
        <f t="array" ref="G1357">"https://earth.google.com/web/search/" &amp; A1357 &amp; "," &amp; B1357</f>
        <v>https://earth.google.com/web/search/-30.8990334327316,-5.55339488303046</v>
      </c>
      <c r="H1357" s="12"/>
      <c r="I1357" s="12"/>
      <c r="J1357" s="12"/>
      <c r="K1357" s="12"/>
      <c r="L1357" s="12"/>
      <c r="M1357" s="12"/>
      <c r="N1357" s="12"/>
      <c r="O1357" s="12"/>
      <c r="P1357" s="12"/>
      <c r="Q1357" s="12"/>
      <c r="R1357" s="12"/>
      <c r="S1357" s="12"/>
      <c r="T1357" s="12"/>
      <c r="U1357" s="12"/>
      <c r="V1357" s="12"/>
      <c r="W1357" s="12"/>
      <c r="X1357" s="12"/>
      <c r="Y1357" s="12"/>
      <c r="Z1357" s="12"/>
      <c r="AA1357" s="12"/>
    </row>
    <row r="1358" ht="26.25" customHeight="1">
      <c r="A1358" s="26" t="s">
        <v>2720</v>
      </c>
      <c r="B1358" s="26" t="s">
        <v>2721</v>
      </c>
      <c r="C1358" s="14">
        <v>2.0</v>
      </c>
      <c r="D1358" s="23">
        <v>72.0</v>
      </c>
      <c r="E1358" s="23">
        <v>3.0</v>
      </c>
      <c r="F1358" s="27" t="str">
        <f t="array" ref="F1358">"https://www.google.com/maps/search/?api=1&amp;query=" &amp; A1358 &amp; "," &amp; B1358</f>
        <v>https://www.google.com/maps/search/?api=1&amp;query=-30.8990819620036,-55.53392041220600</v>
      </c>
      <c r="G1358" s="27" t="str">
        <f t="array" ref="G1358">"https://earth.google.com/web/search/" &amp; A1358 &amp; "," &amp; B1358</f>
        <v>https://earth.google.com/web/search/-30.8990819620036,-55.53392041220600</v>
      </c>
      <c r="H1358" s="12"/>
      <c r="I1358" s="12"/>
      <c r="J1358" s="12"/>
      <c r="K1358" s="12"/>
      <c r="L1358" s="12"/>
      <c r="M1358" s="12"/>
      <c r="N1358" s="12"/>
      <c r="O1358" s="12"/>
      <c r="P1358" s="12"/>
      <c r="Q1358" s="12"/>
      <c r="R1358" s="12"/>
      <c r="S1358" s="12"/>
      <c r="T1358" s="12"/>
      <c r="U1358" s="12"/>
      <c r="V1358" s="12"/>
      <c r="W1358" s="12"/>
      <c r="X1358" s="12"/>
      <c r="Y1358" s="12"/>
      <c r="Z1358" s="12"/>
      <c r="AA1358" s="12"/>
    </row>
    <row r="1359" ht="26.25" customHeight="1">
      <c r="A1359" s="26" t="s">
        <v>2722</v>
      </c>
      <c r="B1359" s="26" t="s">
        <v>2723</v>
      </c>
      <c r="C1359" s="14">
        <v>2.0</v>
      </c>
      <c r="D1359" s="23">
        <v>72.0</v>
      </c>
      <c r="E1359" s="23">
        <v>4.0</v>
      </c>
      <c r="F1359" s="27" t="str">
        <f t="array" ref="F1359">"https://www.google.com/maps/search/?api=1&amp;query=" &amp; A1359 &amp; "," &amp; B1359</f>
        <v>https://www.google.com/maps/search/?api=1&amp;query=-30.8991885258283,-55.53387627550960</v>
      </c>
      <c r="G1359" s="27" t="str">
        <f t="array" ref="G1359">"https://earth.google.com/web/search/" &amp; A1359 &amp; "," &amp; B1359</f>
        <v>https://earth.google.com/web/search/-30.8991885258283,-55.53387627550960</v>
      </c>
      <c r="H1359" s="12"/>
      <c r="I1359" s="12"/>
      <c r="J1359" s="12"/>
      <c r="K1359" s="12"/>
      <c r="L1359" s="12"/>
      <c r="M1359" s="12"/>
      <c r="N1359" s="12"/>
      <c r="O1359" s="12"/>
      <c r="P1359" s="12"/>
      <c r="Q1359" s="12"/>
      <c r="R1359" s="12"/>
      <c r="S1359" s="12"/>
      <c r="T1359" s="12"/>
      <c r="U1359" s="12"/>
      <c r="V1359" s="12"/>
      <c r="W1359" s="12"/>
      <c r="X1359" s="12"/>
      <c r="Y1359" s="12"/>
      <c r="Z1359" s="12"/>
      <c r="AA1359" s="12"/>
    </row>
    <row r="1360" ht="26.25" customHeight="1">
      <c r="A1360" s="26" t="s">
        <v>2724</v>
      </c>
      <c r="B1360" s="26" t="s">
        <v>2725</v>
      </c>
      <c r="C1360" s="14">
        <v>2.0</v>
      </c>
      <c r="D1360" s="23">
        <v>72.0</v>
      </c>
      <c r="E1360" s="23">
        <v>5.0</v>
      </c>
      <c r="F1360" s="27" t="str">
        <f t="array" ref="F1360">"https://www.google.com/maps/search/?api=1&amp;query=" &amp; A1360 &amp; "," &amp; B1360</f>
        <v>https://www.google.com/maps/search/?api=1&amp;query=-30.8992581453983,-55.53387023103710</v>
      </c>
      <c r="G1360" s="27" t="str">
        <f t="array" ref="G1360">"https://earth.google.com/web/search/" &amp; A1360 &amp; "," &amp; B1360</f>
        <v>https://earth.google.com/web/search/-30.8992581453983,-55.53387023103710</v>
      </c>
      <c r="H1360" s="12"/>
      <c r="I1360" s="12"/>
      <c r="J1360" s="12"/>
      <c r="K1360" s="12"/>
      <c r="L1360" s="12"/>
      <c r="M1360" s="12"/>
      <c r="N1360" s="12"/>
      <c r="O1360" s="12"/>
      <c r="P1360" s="12"/>
      <c r="Q1360" s="12"/>
      <c r="R1360" s="12"/>
      <c r="S1360" s="12"/>
      <c r="T1360" s="12"/>
      <c r="U1360" s="12"/>
      <c r="V1360" s="12"/>
      <c r="W1360" s="12"/>
      <c r="X1360" s="12"/>
      <c r="Y1360" s="12"/>
      <c r="Z1360" s="12"/>
      <c r="AA1360" s="12"/>
    </row>
    <row r="1361" ht="26.25" customHeight="1">
      <c r="A1361" s="26" t="s">
        <v>2726</v>
      </c>
      <c r="B1361" s="26" t="s">
        <v>2727</v>
      </c>
      <c r="C1361" s="14">
        <v>2.0</v>
      </c>
      <c r="D1361" s="23">
        <v>72.0</v>
      </c>
      <c r="E1361" s="23">
        <v>6.0</v>
      </c>
      <c r="F1361" s="27" t="str">
        <f t="array" ref="F1361">"https://www.google.com/maps/search/?api=1&amp;query=" &amp; A1361 &amp; "," &amp; B1361</f>
        <v>https://www.google.com/maps/search/?api=1&amp;query=-30.8995799572807,-55.53374147008430</v>
      </c>
      <c r="G1361" s="27" t="str">
        <f t="array" ref="G1361">"https://earth.google.com/web/search/" &amp; A1361 &amp; "," &amp; B1361</f>
        <v>https://earth.google.com/web/search/-30.8995799572807,-55.53374147008430</v>
      </c>
      <c r="H1361" s="12"/>
      <c r="I1361" s="12"/>
      <c r="J1361" s="12"/>
      <c r="K1361" s="12"/>
      <c r="L1361" s="12"/>
      <c r="M1361" s="12"/>
      <c r="N1361" s="12"/>
      <c r="O1361" s="12"/>
      <c r="P1361" s="12"/>
      <c r="Q1361" s="12"/>
      <c r="R1361" s="12"/>
      <c r="S1361" s="12"/>
      <c r="T1361" s="12"/>
      <c r="U1361" s="12"/>
      <c r="V1361" s="12"/>
      <c r="W1361" s="12"/>
      <c r="X1361" s="12"/>
      <c r="Y1361" s="12"/>
      <c r="Z1361" s="12"/>
      <c r="AA1361" s="12"/>
    </row>
    <row r="1362" ht="26.25" customHeight="1">
      <c r="A1362" s="26" t="s">
        <v>2728</v>
      </c>
      <c r="B1362" s="26" t="s">
        <v>2729</v>
      </c>
      <c r="C1362" s="14">
        <v>2.0</v>
      </c>
      <c r="D1362" s="23">
        <v>72.0</v>
      </c>
      <c r="E1362" s="23">
        <v>7.0</v>
      </c>
      <c r="F1362" s="27" t="str">
        <f t="array" ref="F1362">"https://www.google.com/maps/search/?api=1&amp;query=" &amp; A1362 &amp; "," &amp; B1362</f>
        <v>https://www.google.com/maps/search/?api=1&amp;query=-30.8997385866581,-55.53369901481780</v>
      </c>
      <c r="G1362" s="27" t="str">
        <f t="array" ref="G1362">"https://earth.google.com/web/search/" &amp; A1362 &amp; "," &amp; B1362</f>
        <v>https://earth.google.com/web/search/-30.8997385866581,-55.53369901481780</v>
      </c>
      <c r="H1362" s="12"/>
      <c r="I1362" s="12"/>
      <c r="J1362" s="12"/>
      <c r="K1362" s="12"/>
      <c r="L1362" s="12"/>
      <c r="M1362" s="12"/>
      <c r="N1362" s="12"/>
      <c r="O1362" s="12"/>
      <c r="P1362" s="12"/>
      <c r="Q1362" s="12"/>
      <c r="R1362" s="12"/>
      <c r="S1362" s="12"/>
      <c r="T1362" s="12"/>
      <c r="U1362" s="12"/>
      <c r="V1362" s="12"/>
      <c r="W1362" s="12"/>
      <c r="X1362" s="12"/>
      <c r="Y1362" s="12"/>
      <c r="Z1362" s="12"/>
      <c r="AA1362" s="12"/>
    </row>
    <row r="1363" ht="26.25" customHeight="1">
      <c r="A1363" s="26" t="s">
        <v>2730</v>
      </c>
      <c r="B1363" s="26" t="s">
        <v>2731</v>
      </c>
      <c r="C1363" s="14">
        <v>2.0</v>
      </c>
      <c r="D1363" s="23">
        <v>72.0</v>
      </c>
      <c r="E1363" s="23">
        <v>8.0</v>
      </c>
      <c r="F1363" s="27" t="str">
        <f t="array" ref="F1363">"https://www.google.com/maps/search/?api=1&amp;query=" &amp; A1363 &amp; "," &amp; B1363</f>
        <v>https://www.google.com/maps/search/?api=1&amp;query=-30.8998648104601,-55.53378821701340</v>
      </c>
      <c r="G1363" s="27" t="str">
        <f t="array" ref="G1363">"https://earth.google.com/web/search/" &amp; A1363 &amp; "," &amp; B1363</f>
        <v>https://earth.google.com/web/search/-30.8998648104601,-55.53378821701340</v>
      </c>
      <c r="H1363" s="12"/>
      <c r="I1363" s="12"/>
      <c r="J1363" s="12"/>
      <c r="K1363" s="12"/>
      <c r="L1363" s="12"/>
      <c r="M1363" s="12"/>
      <c r="N1363" s="12"/>
      <c r="O1363" s="12"/>
      <c r="P1363" s="12"/>
      <c r="Q1363" s="12"/>
      <c r="R1363" s="12"/>
      <c r="S1363" s="12"/>
      <c r="T1363" s="12"/>
      <c r="U1363" s="12"/>
      <c r="V1363" s="12"/>
      <c r="W1363" s="12"/>
      <c r="X1363" s="12"/>
      <c r="Y1363" s="12"/>
      <c r="Z1363" s="12"/>
      <c r="AA1363" s="12"/>
    </row>
    <row r="1364" ht="26.25" customHeight="1">
      <c r="A1364" s="26" t="s">
        <v>2732</v>
      </c>
      <c r="B1364" s="26" t="s">
        <v>2733</v>
      </c>
      <c r="C1364" s="14">
        <v>2.0</v>
      </c>
      <c r="D1364" s="23">
        <v>72.0</v>
      </c>
      <c r="E1364" s="23">
        <v>9.0</v>
      </c>
      <c r="F1364" s="27" t="str">
        <f t="array" ref="F1364">"https://www.google.com/maps/search/?api=1&amp;query=" &amp; A1364 &amp; "," &amp; B1364</f>
        <v>https://www.google.com/maps/search/?api=1&amp;query=-30.8998313095349,-55.53384989830680</v>
      </c>
      <c r="G1364" s="27" t="str">
        <f t="array" ref="G1364">"https://earth.google.com/web/search/" &amp; A1364 &amp; "," &amp; B1364</f>
        <v>https://earth.google.com/web/search/-30.8998313095349,-55.53384989830680</v>
      </c>
      <c r="H1364" s="12"/>
      <c r="I1364" s="12"/>
      <c r="J1364" s="12"/>
      <c r="K1364" s="12"/>
      <c r="L1364" s="12"/>
      <c r="M1364" s="12"/>
      <c r="N1364" s="12"/>
      <c r="O1364" s="12"/>
      <c r="P1364" s="12"/>
      <c r="Q1364" s="12"/>
      <c r="R1364" s="12"/>
      <c r="S1364" s="12"/>
      <c r="T1364" s="12"/>
      <c r="U1364" s="12"/>
      <c r="V1364" s="12"/>
      <c r="W1364" s="12"/>
      <c r="X1364" s="12"/>
      <c r="Y1364" s="12"/>
      <c r="Z1364" s="12"/>
      <c r="AA1364" s="12"/>
    </row>
    <row r="1365" ht="26.25" customHeight="1">
      <c r="A1365" s="26" t="s">
        <v>2734</v>
      </c>
      <c r="B1365" s="26" t="s">
        <v>2735</v>
      </c>
      <c r="C1365" s="14">
        <v>2.0</v>
      </c>
      <c r="D1365" s="23">
        <v>72.0</v>
      </c>
      <c r="E1365" s="23">
        <v>10.0</v>
      </c>
      <c r="F1365" s="27" t="str">
        <f t="array" ref="F1365">"https://www.google.com/maps/search/?api=1&amp;query=" &amp; A1365 &amp; "," &amp; B1365</f>
        <v>https://www.google.com/maps/search/?api=1&amp;query=-30.8997412735980,-55.53401660354640</v>
      </c>
      <c r="G1365" s="27" t="str">
        <f t="array" ref="G1365">"https://earth.google.com/web/search/" &amp; A1365 &amp; "," &amp; B1365</f>
        <v>https://earth.google.com/web/search/-30.8997412735980,-55.53401660354640</v>
      </c>
      <c r="H1365" s="12"/>
      <c r="I1365" s="12"/>
      <c r="J1365" s="12"/>
      <c r="K1365" s="12"/>
      <c r="L1365" s="12"/>
      <c r="M1365" s="12"/>
      <c r="N1365" s="12"/>
      <c r="O1365" s="12"/>
      <c r="P1365" s="12"/>
      <c r="Q1365" s="12"/>
      <c r="R1365" s="12"/>
      <c r="S1365" s="12"/>
      <c r="T1365" s="12"/>
      <c r="U1365" s="12"/>
      <c r="V1365" s="12"/>
      <c r="W1365" s="12"/>
      <c r="X1365" s="12"/>
      <c r="Y1365" s="12"/>
      <c r="Z1365" s="12"/>
      <c r="AA1365" s="12"/>
    </row>
    <row r="1366" ht="26.25" customHeight="1">
      <c r="A1366" s="26" t="s">
        <v>2736</v>
      </c>
      <c r="B1366" s="26" t="s">
        <v>2737</v>
      </c>
      <c r="C1366" s="14">
        <v>2.0</v>
      </c>
      <c r="D1366" s="23">
        <v>72.0</v>
      </c>
      <c r="E1366" s="23">
        <v>11.0</v>
      </c>
      <c r="F1366" s="27" t="str">
        <f t="array" ref="F1366">"https://www.google.com/maps/search/?api=1&amp;query=" &amp; A1366 &amp; "," &amp; B1366</f>
        <v>https://www.google.com/maps/search/?api=1&amp;query=-30.8992139899230,-5.55342936607591</v>
      </c>
      <c r="G1366" s="27" t="str">
        <f t="array" ref="G1366">"https://earth.google.com/web/search/" &amp; A1366 &amp; "," &amp; B1366</f>
        <v>https://earth.google.com/web/search/-30.8992139899230,-5.55342936607591</v>
      </c>
      <c r="H1366" s="12"/>
      <c r="I1366" s="12"/>
      <c r="J1366" s="12"/>
      <c r="K1366" s="12"/>
      <c r="L1366" s="12"/>
      <c r="M1366" s="12"/>
      <c r="N1366" s="12"/>
      <c r="O1366" s="12"/>
      <c r="P1366" s="12"/>
      <c r="Q1366" s="12"/>
      <c r="R1366" s="12"/>
      <c r="S1366" s="12"/>
      <c r="T1366" s="12"/>
      <c r="U1366" s="12"/>
      <c r="V1366" s="12"/>
      <c r="W1366" s="12"/>
      <c r="X1366" s="12"/>
      <c r="Y1366" s="12"/>
      <c r="Z1366" s="12"/>
      <c r="AA1366" s="12"/>
    </row>
    <row r="1367" ht="26.25" customHeight="1">
      <c r="A1367" s="26" t="s">
        <v>2738</v>
      </c>
      <c r="B1367" s="26" t="s">
        <v>2739</v>
      </c>
      <c r="C1367" s="14">
        <v>2.0</v>
      </c>
      <c r="D1367" s="23">
        <v>72.0</v>
      </c>
      <c r="E1367" s="23">
        <v>12.0</v>
      </c>
      <c r="F1367" s="27" t="str">
        <f t="array" ref="F1367">"https://www.google.com/maps/search/?api=1&amp;query=" &amp; A1367 &amp; "," &amp; B1367</f>
        <v>https://www.google.com/maps/search/?api=1&amp;query=-30.8991548053222,-55.53424617767250</v>
      </c>
      <c r="G1367" s="27" t="str">
        <f t="array" ref="G1367">"https://earth.google.com/web/search/" &amp; A1367 &amp; "," &amp; B1367</f>
        <v>https://earth.google.com/web/search/-30.8991548053222,-55.53424617767250</v>
      </c>
      <c r="H1367" s="12"/>
      <c r="I1367" s="12"/>
      <c r="J1367" s="12"/>
      <c r="K1367" s="12"/>
      <c r="L1367" s="12"/>
      <c r="M1367" s="12"/>
      <c r="N1367" s="12"/>
      <c r="O1367" s="12"/>
      <c r="P1367" s="12"/>
      <c r="Q1367" s="12"/>
      <c r="R1367" s="12"/>
      <c r="S1367" s="12"/>
      <c r="T1367" s="12"/>
      <c r="U1367" s="12"/>
      <c r="V1367" s="12"/>
      <c r="W1367" s="12"/>
      <c r="X1367" s="12"/>
      <c r="Y1367" s="12"/>
      <c r="Z1367" s="12"/>
      <c r="AA1367" s="12"/>
    </row>
    <row r="1368" ht="26.25" customHeight="1">
      <c r="A1368" s="26" t="s">
        <v>2740</v>
      </c>
      <c r="B1368" s="26" t="s">
        <v>2741</v>
      </c>
      <c r="C1368" s="14">
        <v>2.0</v>
      </c>
      <c r="D1368" s="23">
        <v>72.0</v>
      </c>
      <c r="E1368" s="23">
        <v>13.0</v>
      </c>
      <c r="F1368" s="27" t="str">
        <f t="array" ref="F1368">"https://www.google.com/maps/search/?api=1&amp;query=" &amp; A1368 &amp; "," &amp; B1368</f>
        <v>https://www.google.com/maps/search/?api=1&amp;query=-3.0899097320087,-5.55342227986551</v>
      </c>
      <c r="G1368" s="27" t="str">
        <f t="array" ref="G1368">"https://earth.google.com/web/search/" &amp; A1368 &amp; "," &amp; B1368</f>
        <v>https://earth.google.com/web/search/-3.0899097320087,-5.55342227986551</v>
      </c>
      <c r="H1368" s="12"/>
      <c r="I1368" s="12"/>
      <c r="J1368" s="12"/>
      <c r="K1368" s="12"/>
      <c r="L1368" s="12"/>
      <c r="M1368" s="12"/>
      <c r="N1368" s="12"/>
      <c r="O1368" s="12"/>
      <c r="P1368" s="12"/>
      <c r="Q1368" s="12"/>
      <c r="R1368" s="12"/>
      <c r="S1368" s="12"/>
      <c r="T1368" s="12"/>
      <c r="U1368" s="12"/>
      <c r="V1368" s="12"/>
      <c r="W1368" s="12"/>
      <c r="X1368" s="12"/>
      <c r="Y1368" s="12"/>
      <c r="Z1368" s="12"/>
      <c r="AA1368" s="12"/>
    </row>
    <row r="1369" ht="26.25" customHeight="1">
      <c r="A1369" s="26" t="s">
        <v>2742</v>
      </c>
      <c r="B1369" s="26" t="s">
        <v>2743</v>
      </c>
      <c r="C1369" s="14">
        <v>2.0</v>
      </c>
      <c r="D1369" s="23">
        <v>125.0</v>
      </c>
      <c r="E1369" s="23">
        <v>1.0</v>
      </c>
      <c r="F1369" s="27" t="str">
        <f t="array" ref="F1369">"https://www.google.com/maps/search/?api=1&amp;query=" &amp; A1369 &amp; "," &amp; B1369</f>
        <v>https://www.google.com/maps/search/?api=1&amp;query=-30.8996203609508,-55.53456009913630</v>
      </c>
      <c r="G1369" s="27" t="str">
        <f t="array" ref="G1369">"https://earth.google.com/web/search/" &amp; A1369 &amp; "," &amp; B1369</f>
        <v>https://earth.google.com/web/search/-30.8996203609508,-55.53456009913630</v>
      </c>
      <c r="H1369" s="12"/>
      <c r="I1369" s="12"/>
      <c r="J1369" s="12"/>
      <c r="K1369" s="12"/>
      <c r="L1369" s="12"/>
      <c r="M1369" s="12"/>
      <c r="N1369" s="12"/>
      <c r="O1369" s="12"/>
      <c r="P1369" s="12"/>
      <c r="Q1369" s="12"/>
      <c r="R1369" s="12"/>
      <c r="S1369" s="12"/>
      <c r="T1369" s="12"/>
      <c r="U1369" s="12"/>
      <c r="V1369" s="12"/>
      <c r="W1369" s="12"/>
      <c r="X1369" s="12"/>
      <c r="Y1369" s="12"/>
      <c r="Z1369" s="12"/>
      <c r="AA1369" s="12"/>
    </row>
    <row r="1370" ht="26.25" customHeight="1">
      <c r="A1370" s="26" t="s">
        <v>2744</v>
      </c>
      <c r="B1370" s="26" t="s">
        <v>2745</v>
      </c>
      <c r="C1370" s="14">
        <v>2.0</v>
      </c>
      <c r="D1370" s="23">
        <v>125.0</v>
      </c>
      <c r="E1370" s="23">
        <v>2.0</v>
      </c>
      <c r="F1370" s="27" t="str">
        <f t="array" ref="F1370">"https://www.google.com/maps/search/?api=1&amp;query=" &amp; A1370 &amp; "," &amp; B1370</f>
        <v>https://www.google.com/maps/search/?api=1&amp;query=-30.8996894185907,-55.53462815482860</v>
      </c>
      <c r="G1370" s="27" t="str">
        <f t="array" ref="G1370">"https://earth.google.com/web/search/" &amp; A1370 &amp; "," &amp; B1370</f>
        <v>https://earth.google.com/web/search/-30.8996894185907,-55.53462815482860</v>
      </c>
      <c r="H1370" s="12"/>
      <c r="I1370" s="12"/>
      <c r="J1370" s="12"/>
      <c r="K1370" s="12"/>
      <c r="L1370" s="12"/>
      <c r="M1370" s="12"/>
      <c r="N1370" s="12"/>
      <c r="O1370" s="12"/>
      <c r="P1370" s="12"/>
      <c r="Q1370" s="12"/>
      <c r="R1370" s="12"/>
      <c r="S1370" s="12"/>
      <c r="T1370" s="12"/>
      <c r="U1370" s="12"/>
      <c r="V1370" s="12"/>
      <c r="W1370" s="12"/>
      <c r="X1370" s="12"/>
      <c r="Y1370" s="12"/>
      <c r="Z1370" s="12"/>
      <c r="AA1370" s="12"/>
    </row>
    <row r="1371" ht="26.25" customHeight="1">
      <c r="A1371" s="26" t="s">
        <v>2746</v>
      </c>
      <c r="B1371" s="26" t="s">
        <v>2747</v>
      </c>
      <c r="C1371" s="14">
        <v>2.0</v>
      </c>
      <c r="D1371" s="23">
        <v>125.0</v>
      </c>
      <c r="E1371" s="23">
        <v>3.0</v>
      </c>
      <c r="F1371" s="27" t="str">
        <f t="array" ref="F1371">"https://www.google.com/maps/search/?api=1&amp;query=" &amp; A1371 &amp; "," &amp; B1371</f>
        <v>https://www.google.com/maps/search/?api=1&amp;query=-30.8997682468138,-55.53468224924470</v>
      </c>
      <c r="G1371" s="27" t="str">
        <f t="array" ref="G1371">"https://earth.google.com/web/search/" &amp; A1371 &amp; "," &amp; B1371</f>
        <v>https://earth.google.com/web/search/-30.8997682468138,-55.53468224924470</v>
      </c>
      <c r="H1371" s="12"/>
      <c r="I1371" s="12"/>
      <c r="J1371" s="12"/>
      <c r="K1371" s="12"/>
      <c r="L1371" s="12"/>
      <c r="M1371" s="12"/>
      <c r="N1371" s="12"/>
      <c r="O1371" s="12"/>
      <c r="P1371" s="12"/>
      <c r="Q1371" s="12"/>
      <c r="R1371" s="12"/>
      <c r="S1371" s="12"/>
      <c r="T1371" s="12"/>
      <c r="U1371" s="12"/>
      <c r="V1371" s="12"/>
      <c r="W1371" s="12"/>
      <c r="X1371" s="12"/>
      <c r="Y1371" s="12"/>
      <c r="Z1371" s="12"/>
      <c r="AA1371" s="12"/>
    </row>
    <row r="1372" ht="26.25" customHeight="1">
      <c r="A1372" s="26" t="s">
        <v>2748</v>
      </c>
      <c r="B1372" s="26" t="s">
        <v>2749</v>
      </c>
      <c r="C1372" s="14">
        <v>2.0</v>
      </c>
      <c r="D1372" s="23">
        <v>125.0</v>
      </c>
      <c r="E1372" s="23">
        <v>4.0</v>
      </c>
      <c r="F1372" s="27" t="str">
        <f t="array" ref="F1372">"https://www.google.com/maps/search/?api=1&amp;query=" &amp; A1372 &amp; "," &amp; B1372</f>
        <v>https://www.google.com/maps/search/?api=1&amp;query=-30.8998169924762,-55.53482349216060</v>
      </c>
      <c r="G1372" s="27" t="str">
        <f t="array" ref="G1372">"https://earth.google.com/web/search/" &amp; A1372 &amp; "," &amp; B1372</f>
        <v>https://earth.google.com/web/search/-30.8998169924762,-55.53482349216060</v>
      </c>
      <c r="H1372" s="12"/>
      <c r="I1372" s="12"/>
      <c r="J1372" s="12"/>
      <c r="K1372" s="12"/>
      <c r="L1372" s="12"/>
      <c r="M1372" s="12"/>
      <c r="N1372" s="12"/>
      <c r="O1372" s="12"/>
      <c r="P1372" s="12"/>
      <c r="Q1372" s="12"/>
      <c r="R1372" s="12"/>
      <c r="S1372" s="12"/>
      <c r="T1372" s="12"/>
      <c r="U1372" s="12"/>
      <c r="V1372" s="12"/>
      <c r="W1372" s="12"/>
      <c r="X1372" s="12"/>
      <c r="Y1372" s="12"/>
      <c r="Z1372" s="12"/>
      <c r="AA1372" s="12"/>
    </row>
    <row r="1373" ht="26.25" customHeight="1">
      <c r="A1373" s="26" t="s">
        <v>2750</v>
      </c>
      <c r="B1373" s="26" t="s">
        <v>2751</v>
      </c>
      <c r="C1373" s="14">
        <v>2.0</v>
      </c>
      <c r="D1373" s="23">
        <v>125.0</v>
      </c>
      <c r="E1373" s="23">
        <v>5.0</v>
      </c>
      <c r="F1373" s="27" t="str">
        <f t="array" ref="F1373">"https://www.google.com/maps/search/?api=1&amp;query=" &amp; A1373 &amp; "," &amp; B1373</f>
        <v>https://www.google.com/maps/search/?api=1&amp;query=-30.8998669244549,-55.53474576951020</v>
      </c>
      <c r="G1373" s="27" t="str">
        <f t="array" ref="G1373">"https://earth.google.com/web/search/" &amp; A1373 &amp; "," &amp; B1373</f>
        <v>https://earth.google.com/web/search/-30.8998669244549,-55.53474576951020</v>
      </c>
      <c r="H1373" s="12"/>
      <c r="I1373" s="12"/>
      <c r="J1373" s="12"/>
      <c r="K1373" s="12"/>
      <c r="L1373" s="12"/>
      <c r="M1373" s="12"/>
      <c r="N1373" s="12"/>
      <c r="O1373" s="12"/>
      <c r="P1373" s="12"/>
      <c r="Q1373" s="12"/>
      <c r="R1373" s="12"/>
      <c r="S1373" s="12"/>
      <c r="T1373" s="12"/>
      <c r="U1373" s="12"/>
      <c r="V1373" s="12"/>
      <c r="W1373" s="12"/>
      <c r="X1373" s="12"/>
      <c r="Y1373" s="12"/>
      <c r="Z1373" s="12"/>
      <c r="AA1373" s="12"/>
    </row>
    <row r="1374" ht="26.25" customHeight="1">
      <c r="A1374" s="26" t="s">
        <v>2752</v>
      </c>
      <c r="B1374" s="26" t="s">
        <v>2753</v>
      </c>
      <c r="C1374" s="14">
        <v>2.0</v>
      </c>
      <c r="D1374" s="23">
        <v>125.0</v>
      </c>
      <c r="E1374" s="23">
        <v>6.0</v>
      </c>
      <c r="F1374" s="27" t="str">
        <f t="array" ref="F1374">"https://www.google.com/maps/search/?api=1&amp;query=" &amp; A1374 &amp; "," &amp; B1374</f>
        <v>https://www.google.com/maps/search/?api=1&amp;query=-30.8999387115476,-55.53481596337640</v>
      </c>
      <c r="G1374" s="27" t="str">
        <f t="array" ref="G1374">"https://earth.google.com/web/search/" &amp; A1374 &amp; "," &amp; B1374</f>
        <v>https://earth.google.com/web/search/-30.8999387115476,-55.53481596337640</v>
      </c>
      <c r="H1374" s="12"/>
      <c r="I1374" s="12"/>
      <c r="J1374" s="12"/>
      <c r="K1374" s="12"/>
      <c r="L1374" s="12"/>
      <c r="M1374" s="12"/>
      <c r="N1374" s="12"/>
      <c r="O1374" s="12"/>
      <c r="P1374" s="12"/>
      <c r="Q1374" s="12"/>
      <c r="R1374" s="12"/>
      <c r="S1374" s="12"/>
      <c r="T1374" s="12"/>
      <c r="U1374" s="12"/>
      <c r="V1374" s="12"/>
      <c r="W1374" s="12"/>
      <c r="X1374" s="12"/>
      <c r="Y1374" s="12"/>
      <c r="Z1374" s="12"/>
      <c r="AA1374" s="12"/>
    </row>
    <row r="1375" ht="26.25" customHeight="1">
      <c r="A1375" s="26" t="s">
        <v>2754</v>
      </c>
      <c r="B1375" s="26" t="s">
        <v>2755</v>
      </c>
      <c r="C1375" s="14">
        <v>2.0</v>
      </c>
      <c r="D1375" s="23">
        <v>125.0</v>
      </c>
      <c r="E1375" s="23">
        <v>7.0</v>
      </c>
      <c r="F1375" s="27" t="str">
        <f t="array" ref="F1375">"https://www.google.com/maps/search/?api=1&amp;query=" &amp; A1375 &amp; "," &amp; B1375</f>
        <v>https://www.google.com/maps/search/?api=1&amp;query=-30.9000238908336,-55.53486635528200</v>
      </c>
      <c r="G1375" s="27" t="str">
        <f t="array" ref="G1375">"https://earth.google.com/web/search/" &amp; A1375 &amp; "," &amp; B1375</f>
        <v>https://earth.google.com/web/search/-30.9000238908336,-55.53486635528200</v>
      </c>
      <c r="H1375" s="12"/>
      <c r="I1375" s="12"/>
      <c r="J1375" s="12"/>
      <c r="K1375" s="12"/>
      <c r="L1375" s="12"/>
      <c r="M1375" s="12"/>
      <c r="N1375" s="12"/>
      <c r="O1375" s="12"/>
      <c r="P1375" s="12"/>
      <c r="Q1375" s="12"/>
      <c r="R1375" s="12"/>
      <c r="S1375" s="12"/>
      <c r="T1375" s="12"/>
      <c r="U1375" s="12"/>
      <c r="V1375" s="12"/>
      <c r="W1375" s="12"/>
      <c r="X1375" s="12"/>
      <c r="Y1375" s="12"/>
      <c r="Z1375" s="12"/>
      <c r="AA1375" s="12"/>
    </row>
    <row r="1376" ht="26.25" customHeight="1">
      <c r="A1376" s="26" t="s">
        <v>2756</v>
      </c>
      <c r="B1376" s="26" t="s">
        <v>2757</v>
      </c>
      <c r="C1376" s="14">
        <v>2.0</v>
      </c>
      <c r="D1376" s="23">
        <v>125.0</v>
      </c>
      <c r="E1376" s="23">
        <v>8.0</v>
      </c>
      <c r="F1376" s="27" t="str">
        <f t="array" ref="F1376">"https://www.google.com/maps/search/?api=1&amp;query=" &amp; A1376 &amp; "," &amp; B1376</f>
        <v>https://www.google.com/maps/search/?api=1&amp;query=-30.9000859823417,-55.53490541918500</v>
      </c>
      <c r="G1376" s="27" t="str">
        <f t="array" ref="G1376">"https://earth.google.com/web/search/" &amp; A1376 &amp; "," &amp; B1376</f>
        <v>https://earth.google.com/web/search/-30.9000859823417,-55.53490541918500</v>
      </c>
      <c r="H1376" s="12"/>
      <c r="I1376" s="12"/>
      <c r="J1376" s="12"/>
      <c r="K1376" s="12"/>
      <c r="L1376" s="12"/>
      <c r="M1376" s="12"/>
      <c r="N1376" s="12"/>
      <c r="O1376" s="12"/>
      <c r="P1376" s="12"/>
      <c r="Q1376" s="12"/>
      <c r="R1376" s="12"/>
      <c r="S1376" s="12"/>
      <c r="T1376" s="12"/>
      <c r="U1376" s="12"/>
      <c r="V1376" s="12"/>
      <c r="W1376" s="12"/>
      <c r="X1376" s="12"/>
      <c r="Y1376" s="12"/>
      <c r="Z1376" s="12"/>
      <c r="AA1376" s="12"/>
    </row>
    <row r="1377" ht="26.25" customHeight="1">
      <c r="A1377" s="26" t="s">
        <v>2758</v>
      </c>
      <c r="B1377" s="26" t="s">
        <v>2759</v>
      </c>
      <c r="C1377" s="14">
        <v>2.0</v>
      </c>
      <c r="D1377" s="23">
        <v>125.0</v>
      </c>
      <c r="E1377" s="23">
        <v>9.0</v>
      </c>
      <c r="F1377" s="27" t="str">
        <f t="array" ref="F1377">"https://www.google.com/maps/search/?api=1&amp;query=" &amp; A1377 &amp; "," &amp; B1377</f>
        <v>https://www.google.com/maps/search/?api=1&amp;query=-30.9003358294108,-55.53493596923700</v>
      </c>
      <c r="G1377" s="27" t="str">
        <f t="array" ref="G1377">"https://earth.google.com/web/search/" &amp; A1377 &amp; "," &amp; B1377</f>
        <v>https://earth.google.com/web/search/-30.9003358294108,-55.53493596923700</v>
      </c>
      <c r="H1377" s="12"/>
      <c r="I1377" s="12"/>
      <c r="J1377" s="12"/>
      <c r="K1377" s="12"/>
      <c r="L1377" s="12"/>
      <c r="M1377" s="12"/>
      <c r="N1377" s="12"/>
      <c r="O1377" s="12"/>
      <c r="P1377" s="12"/>
      <c r="Q1377" s="12"/>
      <c r="R1377" s="12"/>
      <c r="S1377" s="12"/>
      <c r="T1377" s="12"/>
      <c r="U1377" s="12"/>
      <c r="V1377" s="12"/>
      <c r="W1377" s="12"/>
      <c r="X1377" s="12"/>
      <c r="Y1377" s="12"/>
      <c r="Z1377" s="12"/>
      <c r="AA1377" s="12"/>
    </row>
    <row r="1378" ht="26.25" customHeight="1">
      <c r="A1378" s="26" t="s">
        <v>2760</v>
      </c>
      <c r="B1378" s="26" t="s">
        <v>2761</v>
      </c>
      <c r="C1378" s="14">
        <v>2.0</v>
      </c>
      <c r="D1378" s="23">
        <v>125.0</v>
      </c>
      <c r="E1378" s="23">
        <v>10.0</v>
      </c>
      <c r="F1378" s="27" t="str">
        <f t="array" ref="F1378">"https://www.google.com/maps/search/?api=1&amp;query=" &amp; A1378 &amp; "," &amp; B1378</f>
        <v>https://www.google.com/maps/search/?api=1&amp;query=-30.9003999839047,-55.53480220960240</v>
      </c>
      <c r="G1378" s="27" t="str">
        <f t="array" ref="G1378">"https://earth.google.com/web/search/" &amp; A1378 &amp; "," &amp; B1378</f>
        <v>https://earth.google.com/web/search/-30.9003999839047,-55.53480220960240</v>
      </c>
      <c r="H1378" s="12"/>
      <c r="I1378" s="12"/>
      <c r="J1378" s="12"/>
      <c r="K1378" s="12"/>
      <c r="L1378" s="12"/>
      <c r="M1378" s="12"/>
      <c r="N1378" s="12"/>
      <c r="O1378" s="12"/>
      <c r="P1378" s="12"/>
      <c r="Q1378" s="12"/>
      <c r="R1378" s="12"/>
      <c r="S1378" s="12"/>
      <c r="T1378" s="12"/>
      <c r="U1378" s="12"/>
      <c r="V1378" s="12"/>
      <c r="W1378" s="12"/>
      <c r="X1378" s="12"/>
      <c r="Y1378" s="12"/>
      <c r="Z1378" s="12"/>
      <c r="AA1378" s="12"/>
    </row>
    <row r="1379" ht="26.25" customHeight="1">
      <c r="A1379" s="26" t="s">
        <v>2762</v>
      </c>
      <c r="B1379" s="26" t="s">
        <v>2763</v>
      </c>
      <c r="C1379" s="14">
        <v>2.0</v>
      </c>
      <c r="D1379" s="23">
        <v>125.0</v>
      </c>
      <c r="E1379" s="23">
        <v>11.0</v>
      </c>
      <c r="F1379" s="27" t="str">
        <f t="array" ref="F1379">"https://www.google.com/maps/search/?api=1&amp;query=" &amp; A1379 &amp; "," &amp; B1379</f>
        <v>https://www.google.com/maps/search/?api=1&amp;query=-30.9005010986868,-55.53461062120040</v>
      </c>
      <c r="G1379" s="27" t="str">
        <f t="array" ref="G1379">"https://earth.google.com/web/search/" &amp; A1379 &amp; "," &amp; B1379</f>
        <v>https://earth.google.com/web/search/-30.9005010986868,-55.53461062120040</v>
      </c>
      <c r="H1379" s="12"/>
      <c r="I1379" s="12"/>
      <c r="J1379" s="12"/>
      <c r="K1379" s="12"/>
      <c r="L1379" s="12"/>
      <c r="M1379" s="12"/>
      <c r="N1379" s="12"/>
      <c r="O1379" s="12"/>
      <c r="P1379" s="12"/>
      <c r="Q1379" s="12"/>
      <c r="R1379" s="12"/>
      <c r="S1379" s="12"/>
      <c r="T1379" s="12"/>
      <c r="U1379" s="12"/>
      <c r="V1379" s="12"/>
      <c r="W1379" s="12"/>
      <c r="X1379" s="12"/>
      <c r="Y1379" s="12"/>
      <c r="Z1379" s="12"/>
      <c r="AA1379" s="12"/>
    </row>
    <row r="1380" ht="26.25" customHeight="1">
      <c r="A1380" s="26" t="s">
        <v>2764</v>
      </c>
      <c r="B1380" s="26" t="s">
        <v>2765</v>
      </c>
      <c r="C1380" s="14">
        <v>2.0</v>
      </c>
      <c r="D1380" s="23">
        <v>125.0</v>
      </c>
      <c r="E1380" s="23">
        <v>12.0</v>
      </c>
      <c r="F1380" s="27" t="str">
        <f t="array" ref="F1380">"https://www.google.com/maps/search/?api=1&amp;query=" &amp; A1380 &amp; "," &amp; B1380</f>
        <v>https://www.google.com/maps/search/?api=1&amp;query=-30.9005846267495,-55.53446067624960</v>
      </c>
      <c r="G1380" s="27" t="str">
        <f t="array" ref="G1380">"https://earth.google.com/web/search/" &amp; A1380 &amp; "," &amp; B1380</f>
        <v>https://earth.google.com/web/search/-30.9005846267495,-55.53446067624960</v>
      </c>
      <c r="H1380" s="12"/>
      <c r="I1380" s="12"/>
      <c r="J1380" s="12"/>
      <c r="K1380" s="12"/>
      <c r="L1380" s="12"/>
      <c r="M1380" s="12"/>
      <c r="N1380" s="12"/>
      <c r="O1380" s="12"/>
      <c r="P1380" s="12"/>
      <c r="Q1380" s="12"/>
      <c r="R1380" s="12"/>
      <c r="S1380" s="12"/>
      <c r="T1380" s="12"/>
      <c r="U1380" s="12"/>
      <c r="V1380" s="12"/>
      <c r="W1380" s="12"/>
      <c r="X1380" s="12"/>
      <c r="Y1380" s="12"/>
      <c r="Z1380" s="12"/>
      <c r="AA1380" s="12"/>
    </row>
    <row r="1381" ht="26.25" customHeight="1">
      <c r="A1381" s="26" t="s">
        <v>2766</v>
      </c>
      <c r="B1381" s="26" t="s">
        <v>2767</v>
      </c>
      <c r="C1381" s="14">
        <v>2.0</v>
      </c>
      <c r="D1381" s="23">
        <v>125.0</v>
      </c>
      <c r="E1381" s="23">
        <v>13.0</v>
      </c>
      <c r="F1381" s="27" t="str">
        <f t="array" ref="F1381">"https://www.google.com/maps/search/?api=1&amp;query=" &amp; A1381 &amp; "," &amp; B1381</f>
        <v>https://www.google.com/maps/search/?api=1&amp;query=-30.9006249670605,-55.53439646884900</v>
      </c>
      <c r="G1381" s="27" t="str">
        <f t="array" ref="G1381">"https://earth.google.com/web/search/" &amp; A1381 &amp; "," &amp; B1381</f>
        <v>https://earth.google.com/web/search/-30.9006249670605,-55.53439646884900</v>
      </c>
      <c r="H1381" s="12"/>
      <c r="I1381" s="12"/>
      <c r="J1381" s="12"/>
      <c r="K1381" s="12"/>
      <c r="L1381" s="12"/>
      <c r="M1381" s="12"/>
      <c r="N1381" s="12"/>
      <c r="O1381" s="12"/>
      <c r="P1381" s="12"/>
      <c r="Q1381" s="12"/>
      <c r="R1381" s="12"/>
      <c r="S1381" s="12"/>
      <c r="T1381" s="12"/>
      <c r="U1381" s="12"/>
      <c r="V1381" s="12"/>
      <c r="W1381" s="12"/>
      <c r="X1381" s="12"/>
      <c r="Y1381" s="12"/>
      <c r="Z1381" s="12"/>
      <c r="AA1381" s="12"/>
    </row>
    <row r="1382" ht="26.25" customHeight="1">
      <c r="A1382" s="26" t="s">
        <v>2768</v>
      </c>
      <c r="B1382" s="26" t="s">
        <v>2769</v>
      </c>
      <c r="C1382" s="14">
        <v>2.0</v>
      </c>
      <c r="D1382" s="23">
        <v>125.0</v>
      </c>
      <c r="E1382" s="23">
        <v>14.0</v>
      </c>
      <c r="F1382" s="27" t="str">
        <f t="array" ref="F1382">"https://www.google.com/maps/search/?api=1&amp;query=" &amp; A1382 &amp; "," &amp; B1382</f>
        <v>https://www.google.com/maps/search/?api=1&amp;query=-30.9006203883280,-55.53417733815180</v>
      </c>
      <c r="G1382" s="27" t="str">
        <f t="array" ref="G1382">"https://earth.google.com/web/search/" &amp; A1382 &amp; "," &amp; B1382</f>
        <v>https://earth.google.com/web/search/-30.9006203883280,-55.53417733815180</v>
      </c>
      <c r="H1382" s="12"/>
      <c r="I1382" s="12"/>
      <c r="J1382" s="12"/>
      <c r="K1382" s="12"/>
      <c r="L1382" s="12"/>
      <c r="M1382" s="12"/>
      <c r="N1382" s="12"/>
      <c r="O1382" s="12"/>
      <c r="P1382" s="12"/>
      <c r="Q1382" s="12"/>
      <c r="R1382" s="12"/>
      <c r="S1382" s="12"/>
      <c r="T1382" s="12"/>
      <c r="U1382" s="12"/>
      <c r="V1382" s="12"/>
      <c r="W1382" s="12"/>
      <c r="X1382" s="12"/>
      <c r="Y1382" s="12"/>
      <c r="Z1382" s="12"/>
      <c r="AA1382" s="12"/>
    </row>
    <row r="1383" ht="26.25" customHeight="1">
      <c r="A1383" s="26" t="s">
        <v>2770</v>
      </c>
      <c r="B1383" s="26" t="s">
        <v>2771</v>
      </c>
      <c r="C1383" s="14">
        <v>2.0</v>
      </c>
      <c r="D1383" s="23">
        <v>125.0</v>
      </c>
      <c r="E1383" s="23">
        <v>15.0</v>
      </c>
      <c r="F1383" s="27" t="str">
        <f t="array" ref="F1383">"https://www.google.com/maps/search/?api=1&amp;query=" &amp; A1383 &amp; "," &amp; B1383</f>
        <v>https://www.google.com/maps/search/?api=1&amp;query=-30.9005773986567,-5.55341463671785</v>
      </c>
      <c r="G1383" s="27" t="str">
        <f t="array" ref="G1383">"https://earth.google.com/web/search/" &amp; A1383 &amp; "," &amp; B1383</f>
        <v>https://earth.google.com/web/search/-30.9005773986567,-5.55341463671785</v>
      </c>
      <c r="H1383" s="12"/>
      <c r="I1383" s="12"/>
      <c r="J1383" s="12"/>
      <c r="K1383" s="12"/>
      <c r="L1383" s="12"/>
      <c r="M1383" s="12"/>
      <c r="N1383" s="12"/>
      <c r="O1383" s="12"/>
      <c r="P1383" s="12"/>
      <c r="Q1383" s="12"/>
      <c r="R1383" s="12"/>
      <c r="S1383" s="12"/>
      <c r="T1383" s="12"/>
      <c r="U1383" s="12"/>
      <c r="V1383" s="12"/>
      <c r="W1383" s="12"/>
      <c r="X1383" s="12"/>
      <c r="Y1383" s="12"/>
      <c r="Z1383" s="12"/>
      <c r="AA1383" s="12"/>
    </row>
    <row r="1384" ht="26.25" customHeight="1">
      <c r="A1384" s="26" t="s">
        <v>2772</v>
      </c>
      <c r="B1384" s="26" t="s">
        <v>2773</v>
      </c>
      <c r="C1384" s="14">
        <v>2.0</v>
      </c>
      <c r="D1384" s="23">
        <v>125.0</v>
      </c>
      <c r="E1384" s="23">
        <v>16.0</v>
      </c>
      <c r="F1384" s="27" t="str">
        <f t="array" ref="F1384">"https://www.google.com/maps/search/?api=1&amp;query=" &amp; A1384 &amp; "," &amp; B1384</f>
        <v>https://www.google.com/maps/search/?api=1&amp;query=-30.9005283702258,-55.53411084733550</v>
      </c>
      <c r="G1384" s="27" t="str">
        <f t="array" ref="G1384">"https://earth.google.com/web/search/" &amp; A1384 &amp; "," &amp; B1384</f>
        <v>https://earth.google.com/web/search/-30.9005283702258,-55.53411084733550</v>
      </c>
      <c r="H1384" s="12"/>
      <c r="I1384" s="12"/>
      <c r="J1384" s="12"/>
      <c r="K1384" s="12"/>
      <c r="L1384" s="12"/>
      <c r="M1384" s="12"/>
      <c r="N1384" s="12"/>
      <c r="O1384" s="12"/>
      <c r="P1384" s="12"/>
      <c r="Q1384" s="12"/>
      <c r="R1384" s="12"/>
      <c r="S1384" s="12"/>
      <c r="T1384" s="12"/>
      <c r="U1384" s="12"/>
      <c r="V1384" s="12"/>
      <c r="W1384" s="12"/>
      <c r="X1384" s="12"/>
      <c r="Y1384" s="12"/>
      <c r="Z1384" s="12"/>
      <c r="AA1384" s="12"/>
    </row>
    <row r="1385" ht="26.25" customHeight="1">
      <c r="A1385" s="26" t="s">
        <v>2774</v>
      </c>
      <c r="B1385" s="26" t="s">
        <v>2775</v>
      </c>
      <c r="C1385" s="14">
        <v>2.0</v>
      </c>
      <c r="D1385" s="23">
        <v>125.0</v>
      </c>
      <c r="E1385" s="23">
        <v>17.0</v>
      </c>
      <c r="F1385" s="27" t="str">
        <f t="array" ref="F1385">"https://www.google.com/maps/search/?api=1&amp;query=" &amp; A1385 &amp; "," &amp; B1385</f>
        <v>https://www.google.com/maps/search/?api=1&amp;query=-30.9002851765083,-55.53392462974250</v>
      </c>
      <c r="G1385" s="27" t="str">
        <f t="array" ref="G1385">"https://earth.google.com/web/search/" &amp; A1385 &amp; "," &amp; B1385</f>
        <v>https://earth.google.com/web/search/-30.9002851765083,-55.53392462974250</v>
      </c>
      <c r="H1385" s="12"/>
      <c r="I1385" s="12"/>
      <c r="J1385" s="12"/>
      <c r="K1385" s="12"/>
      <c r="L1385" s="12"/>
      <c r="M1385" s="12"/>
      <c r="N1385" s="12"/>
      <c r="O1385" s="12"/>
      <c r="P1385" s="12"/>
      <c r="Q1385" s="12"/>
      <c r="R1385" s="12"/>
      <c r="S1385" s="12"/>
      <c r="T1385" s="12"/>
      <c r="U1385" s="12"/>
      <c r="V1385" s="12"/>
      <c r="W1385" s="12"/>
      <c r="X1385" s="12"/>
      <c r="Y1385" s="12"/>
      <c r="Z1385" s="12"/>
      <c r="AA1385" s="12"/>
    </row>
    <row r="1386" ht="26.25" customHeight="1">
      <c r="A1386" s="26" t="s">
        <v>2776</v>
      </c>
      <c r="B1386" s="26" t="s">
        <v>2777</v>
      </c>
      <c r="C1386" s="14">
        <v>2.0</v>
      </c>
      <c r="D1386" s="23">
        <v>125.0</v>
      </c>
      <c r="E1386" s="23">
        <v>18.0</v>
      </c>
      <c r="F1386" s="27" t="str">
        <f t="array" ref="F1386">"https://www.google.com/maps/search/?api=1&amp;query=" &amp; A1386 &amp; "," &amp; B1386</f>
        <v>https://www.google.com/maps/search/?api=1&amp;query=-30.9002310217010,-5.55338884129568</v>
      </c>
      <c r="G1386" s="27" t="str">
        <f t="array" ref="G1386">"https://earth.google.com/web/search/" &amp; A1386 &amp; "," &amp; B1386</f>
        <v>https://earth.google.com/web/search/-30.9002310217010,-5.55338884129568</v>
      </c>
      <c r="H1386" s="12"/>
      <c r="I1386" s="12"/>
      <c r="J1386" s="12"/>
      <c r="K1386" s="12"/>
      <c r="L1386" s="12"/>
      <c r="M1386" s="12"/>
      <c r="N1386" s="12"/>
      <c r="O1386" s="12"/>
      <c r="P1386" s="12"/>
      <c r="Q1386" s="12"/>
      <c r="R1386" s="12"/>
      <c r="S1386" s="12"/>
      <c r="T1386" s="12"/>
      <c r="U1386" s="12"/>
      <c r="V1386" s="12"/>
      <c r="W1386" s="12"/>
      <c r="X1386" s="12"/>
      <c r="Y1386" s="12"/>
      <c r="Z1386" s="12"/>
      <c r="AA1386" s="12"/>
    </row>
    <row r="1387" ht="26.25" customHeight="1">
      <c r="A1387" s="26" t="s">
        <v>2778</v>
      </c>
      <c r="B1387" s="26" t="s">
        <v>2779</v>
      </c>
      <c r="C1387" s="14">
        <v>2.0</v>
      </c>
      <c r="D1387" s="23">
        <v>125.0</v>
      </c>
      <c r="E1387" s="23">
        <v>19.0</v>
      </c>
      <c r="F1387" s="27" t="str">
        <f t="array" ref="F1387">"https://www.google.com/maps/search/?api=1&amp;query=" &amp; A1387 &amp; "," &amp; B1387</f>
        <v>https://www.google.com/maps/search/?api=1&amp;query=-30.9001805057903,-55.53385023224280</v>
      </c>
      <c r="G1387" s="27" t="str">
        <f t="array" ref="G1387">"https://earth.google.com/web/search/" &amp; A1387 &amp; "," &amp; B1387</f>
        <v>https://earth.google.com/web/search/-30.9001805057903,-55.53385023224280</v>
      </c>
      <c r="H1387" s="12"/>
      <c r="I1387" s="12"/>
      <c r="J1387" s="12"/>
      <c r="K1387" s="12"/>
      <c r="L1387" s="12"/>
      <c r="M1387" s="12"/>
      <c r="N1387" s="12"/>
      <c r="O1387" s="12"/>
      <c r="P1387" s="12"/>
      <c r="Q1387" s="12"/>
      <c r="R1387" s="12"/>
      <c r="S1387" s="12"/>
      <c r="T1387" s="12"/>
      <c r="U1387" s="12"/>
      <c r="V1387" s="12"/>
      <c r="W1387" s="12"/>
      <c r="X1387" s="12"/>
      <c r="Y1387" s="12"/>
      <c r="Z1387" s="12"/>
      <c r="AA1387" s="12"/>
    </row>
    <row r="1388" ht="26.25" customHeight="1">
      <c r="A1388" s="26" t="s">
        <v>2780</v>
      </c>
      <c r="B1388" s="26" t="s">
        <v>2781</v>
      </c>
      <c r="C1388" s="14">
        <v>2.0</v>
      </c>
      <c r="D1388" s="23">
        <v>125.0</v>
      </c>
      <c r="E1388" s="23">
        <v>20.0</v>
      </c>
      <c r="F1388" s="27" t="str">
        <f t="array" ref="F1388">"https://www.google.com/maps/search/?api=1&amp;query=" &amp; A1388 &amp; "," &amp; B1388</f>
        <v>https://www.google.com/maps/search/?api=1&amp;query=-3.0900076947722,-5.55337693417234</v>
      </c>
      <c r="G1388" s="27" t="str">
        <f t="array" ref="G1388">"https://earth.google.com/web/search/" &amp; A1388 &amp; "," &amp; B1388</f>
        <v>https://earth.google.com/web/search/-3.0900076947722,-5.55337693417234</v>
      </c>
      <c r="H1388" s="12"/>
      <c r="I1388" s="12"/>
      <c r="J1388" s="12"/>
      <c r="K1388" s="12"/>
      <c r="L1388" s="12"/>
      <c r="M1388" s="12"/>
      <c r="N1388" s="12"/>
      <c r="O1388" s="12"/>
      <c r="P1388" s="12"/>
      <c r="Q1388" s="12"/>
      <c r="R1388" s="12"/>
      <c r="S1388" s="12"/>
      <c r="T1388" s="12"/>
      <c r="U1388" s="12"/>
      <c r="V1388" s="12"/>
      <c r="W1388" s="12"/>
      <c r="X1388" s="12"/>
      <c r="Y1388" s="12"/>
      <c r="Z1388" s="12"/>
      <c r="AA1388" s="12"/>
    </row>
    <row r="1389" ht="26.25" customHeight="1">
      <c r="A1389" s="26" t="s">
        <v>2782</v>
      </c>
      <c r="B1389" s="26" t="s">
        <v>2783</v>
      </c>
      <c r="C1389" s="14">
        <v>2.0</v>
      </c>
      <c r="D1389" s="23">
        <v>125.0</v>
      </c>
      <c r="E1389" s="23">
        <v>21.0</v>
      </c>
      <c r="F1389" s="27" t="str">
        <f t="array" ref="F1389">"https://www.google.com/maps/search/?api=1&amp;query=" &amp; A1389 &amp; "," &amp; B1389</f>
        <v>https://www.google.com/maps/search/?api=1&amp;query=-30.8998840550216,-55.53391753874430</v>
      </c>
      <c r="G1389" s="27" t="str">
        <f t="array" ref="G1389">"https://earth.google.com/web/search/" &amp; A1389 &amp; "," &amp; B1389</f>
        <v>https://earth.google.com/web/search/-30.8998840550216,-55.53391753874430</v>
      </c>
      <c r="H1389" s="12"/>
      <c r="I1389" s="12"/>
      <c r="J1389" s="12"/>
      <c r="K1389" s="12"/>
      <c r="L1389" s="12"/>
      <c r="M1389" s="12"/>
      <c r="N1389" s="12"/>
      <c r="O1389" s="12"/>
      <c r="P1389" s="12"/>
      <c r="Q1389" s="12"/>
      <c r="R1389" s="12"/>
      <c r="S1389" s="12"/>
      <c r="T1389" s="12"/>
      <c r="U1389" s="12"/>
      <c r="V1389" s="12"/>
      <c r="W1389" s="12"/>
      <c r="X1389" s="12"/>
      <c r="Y1389" s="12"/>
      <c r="Z1389" s="12"/>
      <c r="AA1389" s="12"/>
    </row>
    <row r="1390" ht="26.25" customHeight="1">
      <c r="A1390" s="26" t="s">
        <v>2784</v>
      </c>
      <c r="B1390" s="26" t="s">
        <v>2785</v>
      </c>
      <c r="C1390" s="14">
        <v>2.0</v>
      </c>
      <c r="D1390" s="23">
        <v>125.0</v>
      </c>
      <c r="E1390" s="23">
        <v>22.0</v>
      </c>
      <c r="F1390" s="27" t="str">
        <f t="array" ref="F1390">"https://www.google.com/maps/search/?api=1&amp;query=" &amp; A1390 &amp; "," &amp; B1390</f>
        <v>https://www.google.com/maps/search/?api=1&amp;query=-30.8998348299795,-55.53402446560000</v>
      </c>
      <c r="G1390" s="27" t="str">
        <f t="array" ref="G1390">"https://earth.google.com/web/search/" &amp; A1390 &amp; "," &amp; B1390</f>
        <v>https://earth.google.com/web/search/-30.8998348299795,-55.53402446560000</v>
      </c>
      <c r="H1390" s="12"/>
      <c r="I1390" s="12"/>
      <c r="J1390" s="12"/>
      <c r="K1390" s="12"/>
      <c r="L1390" s="12"/>
      <c r="M1390" s="12"/>
      <c r="N1390" s="12"/>
      <c r="O1390" s="12"/>
      <c r="P1390" s="12"/>
      <c r="Q1390" s="12"/>
      <c r="R1390" s="12"/>
      <c r="S1390" s="12"/>
      <c r="T1390" s="12"/>
      <c r="U1390" s="12"/>
      <c r="V1390" s="12"/>
      <c r="W1390" s="12"/>
      <c r="X1390" s="12"/>
      <c r="Y1390" s="12"/>
      <c r="Z1390" s="12"/>
      <c r="AA1390" s="12"/>
    </row>
    <row r="1391" ht="26.25" customHeight="1">
      <c r="A1391" s="26" t="s">
        <v>2786</v>
      </c>
      <c r="B1391" s="26" t="s">
        <v>2787</v>
      </c>
      <c r="C1391" s="14">
        <v>2.0</v>
      </c>
      <c r="D1391" s="23">
        <v>125.0</v>
      </c>
      <c r="E1391" s="23">
        <v>23.0</v>
      </c>
      <c r="F1391" s="27" t="str">
        <f t="array" ref="F1391">"https://www.google.com/maps/search/?api=1&amp;query=" &amp; A1391 &amp; "," &amp; B1391</f>
        <v>https://www.google.com/maps/search/?api=1&amp;query=-3.0899745259886,-55.53420290886430</v>
      </c>
      <c r="G1391" s="27" t="str">
        <f t="array" ref="G1391">"https://earth.google.com/web/search/" &amp; A1391 &amp; "," &amp; B1391</f>
        <v>https://earth.google.com/web/search/-3.0899745259886,-55.53420290886430</v>
      </c>
      <c r="H1391" s="12"/>
      <c r="I1391" s="12"/>
      <c r="J1391" s="12"/>
      <c r="K1391" s="12"/>
      <c r="L1391" s="12"/>
      <c r="M1391" s="12"/>
      <c r="N1391" s="12"/>
      <c r="O1391" s="12"/>
      <c r="P1391" s="12"/>
      <c r="Q1391" s="12"/>
      <c r="R1391" s="12"/>
      <c r="S1391" s="12"/>
      <c r="T1391" s="12"/>
      <c r="U1391" s="12"/>
      <c r="V1391" s="12"/>
      <c r="W1391" s="12"/>
      <c r="X1391" s="12"/>
      <c r="Y1391" s="12"/>
      <c r="Z1391" s="12"/>
      <c r="AA1391" s="12"/>
    </row>
    <row r="1392" ht="26.25" customHeight="1">
      <c r="A1392" s="26" t="s">
        <v>2788</v>
      </c>
      <c r="B1392" s="26" t="s">
        <v>2789</v>
      </c>
      <c r="C1392" s="14">
        <v>2.0</v>
      </c>
      <c r="D1392" s="23">
        <v>125.0</v>
      </c>
      <c r="E1392" s="23">
        <v>24.0</v>
      </c>
      <c r="F1392" s="27" t="str">
        <f t="array" ref="F1392">"https://www.google.com/maps/search/?api=1&amp;query=" &amp; A1392 &amp; "," &amp; B1392</f>
        <v>https://www.google.com/maps/search/?api=1&amp;query=-30.8996589598665,-55.53434136806080</v>
      </c>
      <c r="G1392" s="27" t="str">
        <f t="array" ref="G1392">"https://earth.google.com/web/search/" &amp; A1392 &amp; "," &amp; B1392</f>
        <v>https://earth.google.com/web/search/-30.8996589598665,-55.53434136806080</v>
      </c>
      <c r="H1392" s="12"/>
      <c r="I1392" s="12"/>
      <c r="J1392" s="12"/>
      <c r="K1392" s="12"/>
      <c r="L1392" s="12"/>
      <c r="M1392" s="12"/>
      <c r="N1392" s="12"/>
      <c r="O1392" s="12"/>
      <c r="P1392" s="12"/>
      <c r="Q1392" s="12"/>
      <c r="R1392" s="12"/>
      <c r="S1392" s="12"/>
      <c r="T1392" s="12"/>
      <c r="U1392" s="12"/>
      <c r="V1392" s="12"/>
      <c r="W1392" s="12"/>
      <c r="X1392" s="12"/>
      <c r="Y1392" s="12"/>
      <c r="Z1392" s="12"/>
      <c r="AA1392" s="12"/>
    </row>
    <row r="1393" ht="26.25" customHeight="1">
      <c r="A1393" s="26" t="s">
        <v>2790</v>
      </c>
      <c r="B1393" s="26" t="s">
        <v>2791</v>
      </c>
      <c r="C1393" s="14">
        <v>2.0</v>
      </c>
      <c r="D1393" s="23">
        <v>125.0</v>
      </c>
      <c r="E1393" s="23">
        <v>25.0</v>
      </c>
      <c r="F1393" s="27" t="str">
        <f t="array" ref="F1393">"https://www.google.com/maps/search/?api=1&amp;query=" &amp; A1393 &amp; "," &amp; B1393</f>
        <v>https://www.google.com/maps/search/?api=1&amp;query=-30.8996082376585,-55.53445415139560</v>
      </c>
      <c r="G1393" s="27" t="str">
        <f t="array" ref="G1393">"https://earth.google.com/web/search/" &amp; A1393 &amp; "," &amp; B1393</f>
        <v>https://earth.google.com/web/search/-30.8996082376585,-55.53445415139560</v>
      </c>
      <c r="H1393" s="12"/>
      <c r="I1393" s="12"/>
      <c r="J1393" s="12"/>
      <c r="K1393" s="12"/>
      <c r="L1393" s="12"/>
      <c r="M1393" s="12"/>
      <c r="N1393" s="12"/>
      <c r="O1393" s="12"/>
      <c r="P1393" s="12"/>
      <c r="Q1393" s="12"/>
      <c r="R1393" s="12"/>
      <c r="S1393" s="12"/>
      <c r="T1393" s="12"/>
      <c r="U1393" s="12"/>
      <c r="V1393" s="12"/>
      <c r="W1393" s="12"/>
      <c r="X1393" s="12"/>
      <c r="Y1393" s="12"/>
      <c r="Z1393" s="12"/>
      <c r="AA1393" s="12"/>
    </row>
    <row r="1394" ht="26.25" customHeight="1">
      <c r="A1394" s="26" t="s">
        <v>2792</v>
      </c>
      <c r="B1394" s="26" t="s">
        <v>2793</v>
      </c>
      <c r="C1394" s="14">
        <v>2.0</v>
      </c>
      <c r="D1394" s="23">
        <v>126.0</v>
      </c>
      <c r="E1394" s="23">
        <v>1.0</v>
      </c>
      <c r="F1394" s="27" t="str">
        <f t="array" ref="F1394">"https://www.google.com/maps/search/?api=1&amp;query=" &amp; A1394 &amp; "," &amp; B1394</f>
        <v>https://www.google.com/maps/search/?api=1&amp;query=-30.9001055718303,-55.53368387669200</v>
      </c>
      <c r="G1394" s="27" t="str">
        <f t="array" ref="G1394">"https://earth.google.com/web/search/" &amp; A1394 &amp; "," &amp; B1394</f>
        <v>https://earth.google.com/web/search/-30.9001055718303,-55.53368387669200</v>
      </c>
      <c r="H1394" s="12"/>
      <c r="I1394" s="12"/>
      <c r="J1394" s="12"/>
      <c r="K1394" s="12"/>
      <c r="L1394" s="12"/>
      <c r="M1394" s="12"/>
      <c r="N1394" s="12"/>
      <c r="O1394" s="12"/>
      <c r="P1394" s="12"/>
      <c r="Q1394" s="12"/>
      <c r="R1394" s="12"/>
      <c r="S1394" s="12"/>
      <c r="T1394" s="12"/>
      <c r="U1394" s="12"/>
      <c r="V1394" s="12"/>
      <c r="W1394" s="12"/>
      <c r="X1394" s="12"/>
      <c r="Y1394" s="12"/>
      <c r="Z1394" s="12"/>
      <c r="AA1394" s="12"/>
    </row>
    <row r="1395" ht="26.25" customHeight="1">
      <c r="A1395" s="26" t="s">
        <v>2794</v>
      </c>
      <c r="B1395" s="26" t="s">
        <v>2795</v>
      </c>
      <c r="C1395" s="14">
        <v>2.0</v>
      </c>
      <c r="D1395" s="23">
        <v>126.0</v>
      </c>
      <c r="E1395" s="23">
        <v>2.0</v>
      </c>
      <c r="F1395" s="27" t="str">
        <f t="array" ref="F1395">"https://www.google.com/maps/search/?api=1&amp;query=" &amp; A1395 &amp; "," &amp; B1395</f>
        <v>https://www.google.com/maps/search/?api=1&amp;query=-30.9001291689304,-55.53373596875390</v>
      </c>
      <c r="G1395" s="27" t="str">
        <f t="array" ref="G1395">"https://earth.google.com/web/search/" &amp; A1395 &amp; "," &amp; B1395</f>
        <v>https://earth.google.com/web/search/-30.9001291689304,-55.53373596875390</v>
      </c>
      <c r="H1395" s="12"/>
      <c r="I1395" s="12"/>
      <c r="J1395" s="12"/>
      <c r="K1395" s="12"/>
      <c r="L1395" s="12"/>
      <c r="M1395" s="12"/>
      <c r="N1395" s="12"/>
      <c r="O1395" s="12"/>
      <c r="P1395" s="12"/>
      <c r="Q1395" s="12"/>
      <c r="R1395" s="12"/>
      <c r="S1395" s="12"/>
      <c r="T1395" s="12"/>
      <c r="U1395" s="12"/>
      <c r="V1395" s="12"/>
      <c r="W1395" s="12"/>
      <c r="X1395" s="12"/>
      <c r="Y1395" s="12"/>
      <c r="Z1395" s="12"/>
      <c r="AA1395" s="12"/>
    </row>
    <row r="1396" ht="26.25" customHeight="1">
      <c r="A1396" s="26" t="s">
        <v>2796</v>
      </c>
      <c r="B1396" s="26" t="s">
        <v>2797</v>
      </c>
      <c r="C1396" s="14">
        <v>2.0</v>
      </c>
      <c r="D1396" s="23">
        <v>126.0</v>
      </c>
      <c r="E1396" s="23">
        <v>3.0</v>
      </c>
      <c r="F1396" s="27" t="str">
        <f t="array" ref="F1396">"https://www.google.com/maps/search/?api=1&amp;query=" &amp; A1396 &amp; "," &amp; B1396</f>
        <v>https://www.google.com/maps/search/?api=1&amp;query=-30.9001892052469,-55.53372533598000</v>
      </c>
      <c r="G1396" s="27" t="str">
        <f t="array" ref="G1396">"https://earth.google.com/web/search/" &amp; A1396 &amp; "," &amp; B1396</f>
        <v>https://earth.google.com/web/search/-30.9001892052469,-55.53372533598000</v>
      </c>
      <c r="H1396" s="12"/>
      <c r="I1396" s="12"/>
      <c r="J1396" s="12"/>
      <c r="K1396" s="12"/>
      <c r="L1396" s="12"/>
      <c r="M1396" s="12"/>
      <c r="N1396" s="12"/>
      <c r="O1396" s="12"/>
      <c r="P1396" s="12"/>
      <c r="Q1396" s="12"/>
      <c r="R1396" s="12"/>
      <c r="S1396" s="12"/>
      <c r="T1396" s="12"/>
      <c r="U1396" s="12"/>
      <c r="V1396" s="12"/>
      <c r="W1396" s="12"/>
      <c r="X1396" s="12"/>
      <c r="Y1396" s="12"/>
      <c r="Z1396" s="12"/>
      <c r="AA1396" s="12"/>
    </row>
    <row r="1397" ht="26.25" customHeight="1">
      <c r="A1397" s="26" t="s">
        <v>2798</v>
      </c>
      <c r="B1397" s="26" t="s">
        <v>2799</v>
      </c>
      <c r="C1397" s="14">
        <v>2.0</v>
      </c>
      <c r="D1397" s="23">
        <v>126.0</v>
      </c>
      <c r="E1397" s="23">
        <v>4.0</v>
      </c>
      <c r="F1397" s="27" t="str">
        <f t="array" ref="F1397">"https://www.google.com/maps/search/?api=1&amp;query=" &amp; A1397 &amp; "," &amp; B1397</f>
        <v>https://www.google.com/maps/search/?api=1&amp;query=-30.9002866770460,-55.53380469146190</v>
      </c>
      <c r="G1397" s="27" t="str">
        <f t="array" ref="G1397">"https://earth.google.com/web/search/" &amp; A1397 &amp; "," &amp; B1397</f>
        <v>https://earth.google.com/web/search/-30.9002866770460,-55.53380469146190</v>
      </c>
      <c r="H1397" s="12"/>
      <c r="I1397" s="12"/>
      <c r="J1397" s="12"/>
      <c r="K1397" s="12"/>
      <c r="L1397" s="12"/>
      <c r="M1397" s="12"/>
      <c r="N1397" s="12"/>
      <c r="O1397" s="12"/>
      <c r="P1397" s="12"/>
      <c r="Q1397" s="12"/>
      <c r="R1397" s="12"/>
      <c r="S1397" s="12"/>
      <c r="T1397" s="12"/>
      <c r="U1397" s="12"/>
      <c r="V1397" s="12"/>
      <c r="W1397" s="12"/>
      <c r="X1397" s="12"/>
      <c r="Y1397" s="12"/>
      <c r="Z1397" s="12"/>
      <c r="AA1397" s="12"/>
    </row>
    <row r="1398" ht="26.25" customHeight="1">
      <c r="A1398" s="26" t="s">
        <v>2800</v>
      </c>
      <c r="B1398" s="26" t="s">
        <v>2801</v>
      </c>
      <c r="C1398" s="14">
        <v>2.0</v>
      </c>
      <c r="D1398" s="23">
        <v>126.0</v>
      </c>
      <c r="E1398" s="23">
        <v>5.0</v>
      </c>
      <c r="F1398" s="27" t="str">
        <f t="array" ref="F1398">"https://www.google.com/maps/search/?api=1&amp;query=" &amp; A1398 &amp; "," &amp; B1398</f>
        <v>https://www.google.com/maps/search/?api=1&amp;query=-30.9004114243123,-55.53389639198290</v>
      </c>
      <c r="G1398" s="27" t="str">
        <f t="array" ref="G1398">"https://earth.google.com/web/search/" &amp; A1398 &amp; "," &amp; B1398</f>
        <v>https://earth.google.com/web/search/-30.9004114243123,-55.53389639198290</v>
      </c>
      <c r="H1398" s="12"/>
      <c r="I1398" s="12"/>
      <c r="J1398" s="12"/>
      <c r="K1398" s="12"/>
      <c r="L1398" s="12"/>
      <c r="M1398" s="12"/>
      <c r="N1398" s="12"/>
      <c r="O1398" s="12"/>
      <c r="P1398" s="12"/>
      <c r="Q1398" s="12"/>
      <c r="R1398" s="12"/>
      <c r="S1398" s="12"/>
      <c r="T1398" s="12"/>
      <c r="U1398" s="12"/>
      <c r="V1398" s="12"/>
      <c r="W1398" s="12"/>
      <c r="X1398" s="12"/>
      <c r="Y1398" s="12"/>
      <c r="Z1398" s="12"/>
      <c r="AA1398" s="12"/>
    </row>
    <row r="1399" ht="26.25" customHeight="1">
      <c r="A1399" s="26" t="s">
        <v>2802</v>
      </c>
      <c r="B1399" s="26" t="s">
        <v>2803</v>
      </c>
      <c r="C1399" s="14">
        <v>2.0</v>
      </c>
      <c r="D1399" s="23">
        <v>126.0</v>
      </c>
      <c r="E1399" s="23">
        <v>6.0</v>
      </c>
      <c r="F1399" s="27" t="str">
        <f t="array" ref="F1399">"https://www.google.com/maps/search/?api=1&amp;query=" &amp; A1399 &amp; "," &amp; B1399</f>
        <v>https://www.google.com/maps/search/?api=1&amp;query=-3.0900458560832,-55.53393598067590</v>
      </c>
      <c r="G1399" s="27" t="str">
        <f t="array" ref="G1399">"https://earth.google.com/web/search/" &amp; A1399 &amp; "," &amp; B1399</f>
        <v>https://earth.google.com/web/search/-3.0900458560832,-55.53393598067590</v>
      </c>
      <c r="H1399" s="12"/>
      <c r="I1399" s="12"/>
      <c r="J1399" s="12"/>
      <c r="K1399" s="12"/>
      <c r="L1399" s="12"/>
      <c r="M1399" s="12"/>
      <c r="N1399" s="12"/>
      <c r="O1399" s="12"/>
      <c r="P1399" s="12"/>
      <c r="Q1399" s="12"/>
      <c r="R1399" s="12"/>
      <c r="S1399" s="12"/>
      <c r="T1399" s="12"/>
      <c r="U1399" s="12"/>
      <c r="V1399" s="12"/>
      <c r="W1399" s="12"/>
      <c r="X1399" s="12"/>
      <c r="Y1399" s="12"/>
      <c r="Z1399" s="12"/>
      <c r="AA1399" s="12"/>
    </row>
    <row r="1400" ht="26.25" customHeight="1">
      <c r="A1400" s="26" t="s">
        <v>2804</v>
      </c>
      <c r="B1400" s="26" t="s">
        <v>2805</v>
      </c>
      <c r="C1400" s="14">
        <v>2.0</v>
      </c>
      <c r="D1400" s="23">
        <v>126.0</v>
      </c>
      <c r="E1400" s="23">
        <v>7.0</v>
      </c>
      <c r="F1400" s="27" t="str">
        <f t="array" ref="F1400">"https://www.google.com/maps/search/?api=1&amp;query=" &amp; A1400 &amp; "," &amp; B1400</f>
        <v>https://www.google.com/maps/search/?api=1&amp;query=-30.9005132259954,-55.53398134496490</v>
      </c>
      <c r="G1400" s="27" t="str">
        <f t="array" ref="G1400">"https://earth.google.com/web/search/" &amp; A1400 &amp; "," &amp; B1400</f>
        <v>https://earth.google.com/web/search/-30.9005132259954,-55.53398134496490</v>
      </c>
      <c r="H1400" s="12"/>
      <c r="I1400" s="12"/>
      <c r="J1400" s="12"/>
      <c r="K1400" s="12"/>
      <c r="L1400" s="12"/>
      <c r="M1400" s="12"/>
      <c r="N1400" s="12"/>
      <c r="O1400" s="12"/>
      <c r="P1400" s="12"/>
      <c r="Q1400" s="12"/>
      <c r="R1400" s="12"/>
      <c r="S1400" s="12"/>
      <c r="T1400" s="12"/>
      <c r="U1400" s="12"/>
      <c r="V1400" s="12"/>
      <c r="W1400" s="12"/>
      <c r="X1400" s="12"/>
      <c r="Y1400" s="12"/>
      <c r="Z1400" s="12"/>
      <c r="AA1400" s="12"/>
    </row>
    <row r="1401" ht="26.25" customHeight="1">
      <c r="A1401" s="26" t="s">
        <v>2806</v>
      </c>
      <c r="B1401" s="26" t="s">
        <v>2807</v>
      </c>
      <c r="C1401" s="14">
        <v>2.0</v>
      </c>
      <c r="D1401" s="23">
        <v>126.0</v>
      </c>
      <c r="E1401" s="23">
        <v>8.0</v>
      </c>
      <c r="F1401" s="27" t="str">
        <f t="array" ref="F1401">"https://www.google.com/maps/search/?api=1&amp;query=" &amp; A1401 &amp; "," &amp; B1401</f>
        <v>https://www.google.com/maps/search/?api=1&amp;query=-3.0900644573898,-55.53407059276860</v>
      </c>
      <c r="G1401" s="27" t="str">
        <f t="array" ref="G1401">"https://earth.google.com/web/search/" &amp; A1401 &amp; "," &amp; B1401</f>
        <v>https://earth.google.com/web/search/-3.0900644573898,-55.53407059276860</v>
      </c>
      <c r="H1401" s="12"/>
      <c r="I1401" s="12"/>
      <c r="J1401" s="12"/>
      <c r="K1401" s="12"/>
      <c r="L1401" s="12"/>
      <c r="M1401" s="12"/>
      <c r="N1401" s="12"/>
      <c r="O1401" s="12"/>
      <c r="P1401" s="12"/>
      <c r="Q1401" s="12"/>
      <c r="R1401" s="12"/>
      <c r="S1401" s="12"/>
      <c r="T1401" s="12"/>
      <c r="U1401" s="12"/>
      <c r="V1401" s="12"/>
      <c r="W1401" s="12"/>
      <c r="X1401" s="12"/>
      <c r="Y1401" s="12"/>
      <c r="Z1401" s="12"/>
      <c r="AA1401" s="12"/>
    </row>
    <row r="1402" ht="26.25" customHeight="1">
      <c r="A1402" s="26" t="s">
        <v>2808</v>
      </c>
      <c r="B1402" s="26" t="s">
        <v>2809</v>
      </c>
      <c r="C1402" s="14">
        <v>2.0</v>
      </c>
      <c r="D1402" s="23">
        <v>126.0</v>
      </c>
      <c r="E1402" s="23">
        <v>9.0</v>
      </c>
      <c r="F1402" s="27" t="str">
        <f t="array" ref="F1402">"https://www.google.com/maps/search/?api=1&amp;query=" &amp; A1402 &amp; "," &amp; B1402</f>
        <v>https://www.google.com/maps/search/?api=1&amp;query=-30.9006991367742,-55.53413145488460</v>
      </c>
      <c r="G1402" s="27" t="str">
        <f t="array" ref="G1402">"https://earth.google.com/web/search/" &amp; A1402 &amp; "," &amp; B1402</f>
        <v>https://earth.google.com/web/search/-30.9006991367742,-55.53413145488460</v>
      </c>
      <c r="H1402" s="12"/>
      <c r="I1402" s="12"/>
      <c r="J1402" s="12"/>
      <c r="K1402" s="12"/>
      <c r="L1402" s="12"/>
      <c r="M1402" s="12"/>
      <c r="N1402" s="12"/>
      <c r="O1402" s="12"/>
      <c r="P1402" s="12"/>
      <c r="Q1402" s="12"/>
      <c r="R1402" s="12"/>
      <c r="S1402" s="12"/>
      <c r="T1402" s="12"/>
      <c r="U1402" s="12"/>
      <c r="V1402" s="12"/>
      <c r="W1402" s="12"/>
      <c r="X1402" s="12"/>
      <c r="Y1402" s="12"/>
      <c r="Z1402" s="12"/>
      <c r="AA1402" s="12"/>
    </row>
    <row r="1403" ht="26.25" customHeight="1">
      <c r="A1403" s="26" t="s">
        <v>2810</v>
      </c>
      <c r="B1403" s="26" t="s">
        <v>2811</v>
      </c>
      <c r="C1403" s="14">
        <v>2.0</v>
      </c>
      <c r="D1403" s="23">
        <v>126.0</v>
      </c>
      <c r="E1403" s="23">
        <v>10.0</v>
      </c>
      <c r="F1403" s="27" t="str">
        <f t="array" ref="F1403">"https://www.google.com/maps/search/?api=1&amp;query=" &amp; A1403 &amp; "," &amp; B1403</f>
        <v>https://www.google.com/maps/search/?api=1&amp;query=-0.0309008855690,-55.53384330856190</v>
      </c>
      <c r="G1403" s="27" t="str">
        <f t="array" ref="G1403">"https://earth.google.com/web/search/" &amp; A1403 &amp; "," &amp; B1403</f>
        <v>https://earth.google.com/web/search/-0.0309008855690,-55.53384330856190</v>
      </c>
      <c r="H1403" s="12"/>
      <c r="I1403" s="12"/>
      <c r="J1403" s="12"/>
      <c r="K1403" s="12"/>
      <c r="L1403" s="12"/>
      <c r="M1403" s="12"/>
      <c r="N1403" s="12"/>
      <c r="O1403" s="12"/>
      <c r="P1403" s="12"/>
      <c r="Q1403" s="12"/>
      <c r="R1403" s="12"/>
      <c r="S1403" s="12"/>
      <c r="T1403" s="12"/>
      <c r="U1403" s="12"/>
      <c r="V1403" s="12"/>
      <c r="W1403" s="12"/>
      <c r="X1403" s="12"/>
      <c r="Y1403" s="12"/>
      <c r="Z1403" s="12"/>
      <c r="AA1403" s="12"/>
    </row>
    <row r="1404" ht="26.25" customHeight="1">
      <c r="A1404" s="26" t="s">
        <v>2812</v>
      </c>
      <c r="B1404" s="26" t="s">
        <v>2813</v>
      </c>
      <c r="C1404" s="14">
        <v>2.0</v>
      </c>
      <c r="D1404" s="23">
        <v>126.0</v>
      </c>
      <c r="E1404" s="23">
        <v>11.0</v>
      </c>
      <c r="F1404" s="27" t="str">
        <f t="array" ref="F1404">"https://www.google.com/maps/search/?api=1&amp;query=" &amp; A1404 &amp; "," &amp; B1404</f>
        <v>https://www.google.com/maps/search/?api=1&amp;query=-30.9009993666202,-55.53369887713300</v>
      </c>
      <c r="G1404" s="27" t="str">
        <f t="array" ref="G1404">"https://earth.google.com/web/search/" &amp; A1404 &amp; "," &amp; B1404</f>
        <v>https://earth.google.com/web/search/-30.9009993666202,-55.53369887713300</v>
      </c>
      <c r="H1404" s="12"/>
      <c r="I1404" s="12"/>
      <c r="J1404" s="12"/>
      <c r="K1404" s="12"/>
      <c r="L1404" s="12"/>
      <c r="M1404" s="12"/>
      <c r="N1404" s="12"/>
      <c r="O1404" s="12"/>
      <c r="P1404" s="12"/>
      <c r="Q1404" s="12"/>
      <c r="R1404" s="12"/>
      <c r="S1404" s="12"/>
      <c r="T1404" s="12"/>
      <c r="U1404" s="12"/>
      <c r="V1404" s="12"/>
      <c r="W1404" s="12"/>
      <c r="X1404" s="12"/>
      <c r="Y1404" s="12"/>
      <c r="Z1404" s="12"/>
      <c r="AA1404" s="12"/>
    </row>
    <row r="1405" ht="26.25" customHeight="1">
      <c r="A1405" s="26" t="s">
        <v>2814</v>
      </c>
      <c r="B1405" s="26" t="s">
        <v>2815</v>
      </c>
      <c r="C1405" s="14">
        <v>2.0</v>
      </c>
      <c r="D1405" s="23">
        <v>126.0</v>
      </c>
      <c r="E1405" s="23">
        <v>12.0</v>
      </c>
      <c r="F1405" s="27" t="str">
        <f t="array" ref="F1405">"https://www.google.com/maps/search/?api=1&amp;query=" &amp; A1405 &amp; "," &amp; B1405</f>
        <v>https://www.google.com/maps/search/?api=1&amp;query=-30.9010371748546,-55.53361103360600</v>
      </c>
      <c r="G1405" s="27" t="str">
        <f t="array" ref="G1405">"https://earth.google.com/web/search/" &amp; A1405 &amp; "," &amp; B1405</f>
        <v>https://earth.google.com/web/search/-30.9010371748546,-55.53361103360600</v>
      </c>
      <c r="H1405" s="12"/>
      <c r="I1405" s="12"/>
      <c r="J1405" s="12"/>
      <c r="K1405" s="12"/>
      <c r="L1405" s="12"/>
      <c r="M1405" s="12"/>
      <c r="N1405" s="12"/>
      <c r="O1405" s="12"/>
      <c r="P1405" s="12"/>
      <c r="Q1405" s="12"/>
      <c r="R1405" s="12"/>
      <c r="S1405" s="12"/>
      <c r="T1405" s="12"/>
      <c r="U1405" s="12"/>
      <c r="V1405" s="12"/>
      <c r="W1405" s="12"/>
      <c r="X1405" s="12"/>
      <c r="Y1405" s="12"/>
      <c r="Z1405" s="12"/>
      <c r="AA1405" s="12"/>
    </row>
    <row r="1406" ht="26.25" customHeight="1">
      <c r="A1406" s="26" t="s">
        <v>2816</v>
      </c>
      <c r="B1406" s="26" t="s">
        <v>2817</v>
      </c>
      <c r="C1406" s="14">
        <v>2.0</v>
      </c>
      <c r="D1406" s="23">
        <v>126.0</v>
      </c>
      <c r="E1406" s="23">
        <v>13.0</v>
      </c>
      <c r="F1406" s="27" t="str">
        <f t="array" ref="F1406">"https://www.google.com/maps/search/?api=1&amp;query=" &amp; A1406 &amp; "," &amp; B1406</f>
        <v>https://www.google.com/maps/search/?api=1&amp;query=-30.9011086072997,-55.53348862227710</v>
      </c>
      <c r="G1406" s="27" t="str">
        <f t="array" ref="G1406">"https://earth.google.com/web/search/" &amp; A1406 &amp; "," &amp; B1406</f>
        <v>https://earth.google.com/web/search/-30.9011086072997,-55.53348862227710</v>
      </c>
      <c r="H1406" s="12"/>
      <c r="I1406" s="12"/>
      <c r="J1406" s="12"/>
      <c r="K1406" s="12"/>
      <c r="L1406" s="12"/>
      <c r="M1406" s="12"/>
      <c r="N1406" s="12"/>
      <c r="O1406" s="12"/>
      <c r="P1406" s="12"/>
      <c r="Q1406" s="12"/>
      <c r="R1406" s="12"/>
      <c r="S1406" s="12"/>
      <c r="T1406" s="12"/>
      <c r="U1406" s="12"/>
      <c r="V1406" s="12"/>
      <c r="W1406" s="12"/>
      <c r="X1406" s="12"/>
      <c r="Y1406" s="12"/>
      <c r="Z1406" s="12"/>
      <c r="AA1406" s="12"/>
    </row>
    <row r="1407" ht="26.25" customHeight="1">
      <c r="A1407" s="26" t="s">
        <v>2818</v>
      </c>
      <c r="B1407" s="26" t="s">
        <v>2819</v>
      </c>
      <c r="C1407" s="14">
        <v>2.0</v>
      </c>
      <c r="D1407" s="23">
        <v>126.0</v>
      </c>
      <c r="E1407" s="23">
        <v>14.0</v>
      </c>
      <c r="F1407" s="27" t="str">
        <f t="array" ref="F1407">"https://www.google.com/maps/search/?api=1&amp;query=" &amp; A1407 &amp; "," &amp; B1407</f>
        <v>https://www.google.com/maps/search/?api=1&amp;query=-30.9011440659971,-5.55334364098739</v>
      </c>
      <c r="G1407" s="27" t="str">
        <f t="array" ref="G1407">"https://earth.google.com/web/search/" &amp; A1407 &amp; "," &amp; B1407</f>
        <v>https://earth.google.com/web/search/-30.9011440659971,-5.55334364098739</v>
      </c>
      <c r="H1407" s="12"/>
      <c r="I1407" s="12"/>
      <c r="J1407" s="12"/>
      <c r="K1407" s="12"/>
      <c r="L1407" s="12"/>
      <c r="M1407" s="12"/>
      <c r="N1407" s="12"/>
      <c r="O1407" s="12"/>
      <c r="P1407" s="12"/>
      <c r="Q1407" s="12"/>
      <c r="R1407" s="12"/>
      <c r="S1407" s="12"/>
      <c r="T1407" s="12"/>
      <c r="U1407" s="12"/>
      <c r="V1407" s="12"/>
      <c r="W1407" s="12"/>
      <c r="X1407" s="12"/>
      <c r="Y1407" s="12"/>
      <c r="Z1407" s="12"/>
      <c r="AA1407" s="12"/>
    </row>
    <row r="1408" ht="26.25" customHeight="1">
      <c r="A1408" s="26" t="s">
        <v>2820</v>
      </c>
      <c r="B1408" s="26" t="s">
        <v>2821</v>
      </c>
      <c r="C1408" s="14">
        <v>2.0</v>
      </c>
      <c r="D1408" s="23">
        <v>126.0</v>
      </c>
      <c r="E1408" s="23">
        <v>15.0</v>
      </c>
      <c r="F1408" s="27" t="str">
        <f t="array" ref="F1408">"https://www.google.com/maps/search/?api=1&amp;query=" &amp; A1408 &amp; "," &amp; B1408</f>
        <v>https://www.google.com/maps/search/?api=1&amp;query=-30.9011563451087,-55.53338328872050</v>
      </c>
      <c r="G1408" s="27" t="str">
        <f t="array" ref="G1408">"https://earth.google.com/web/search/" &amp; A1408 &amp; "," &amp; B1408</f>
        <v>https://earth.google.com/web/search/-30.9011563451087,-55.53338328872050</v>
      </c>
      <c r="H1408" s="12"/>
      <c r="I1408" s="12"/>
      <c r="J1408" s="12"/>
      <c r="K1408" s="12"/>
      <c r="L1408" s="12"/>
      <c r="M1408" s="12"/>
      <c r="N1408" s="12"/>
      <c r="O1408" s="12"/>
      <c r="P1408" s="12"/>
      <c r="Q1408" s="12"/>
      <c r="R1408" s="12"/>
      <c r="S1408" s="12"/>
      <c r="T1408" s="12"/>
      <c r="U1408" s="12"/>
      <c r="V1408" s="12"/>
      <c r="W1408" s="12"/>
      <c r="X1408" s="12"/>
      <c r="Y1408" s="12"/>
      <c r="Z1408" s="12"/>
      <c r="AA1408" s="12"/>
    </row>
    <row r="1409" ht="26.25" customHeight="1">
      <c r="A1409" s="26" t="s">
        <v>2822</v>
      </c>
      <c r="B1409" s="26" t="s">
        <v>2823</v>
      </c>
      <c r="C1409" s="14">
        <v>2.0</v>
      </c>
      <c r="D1409" s="23">
        <v>126.0</v>
      </c>
      <c r="E1409" s="23">
        <v>16.0</v>
      </c>
      <c r="F1409" s="27" t="str">
        <f t="array" ref="F1409">"https://www.google.com/maps/search/?api=1&amp;query=" &amp; A1409 &amp; "," &amp; B1409</f>
        <v>https://www.google.com/maps/search/?api=1&amp;query=-30.9009281518271,-55.53328637159420</v>
      </c>
      <c r="G1409" s="27" t="str">
        <f t="array" ref="G1409">"https://earth.google.com/web/search/" &amp; A1409 &amp; "," &amp; B1409</f>
        <v>https://earth.google.com/web/search/-30.9009281518271,-55.53328637159420</v>
      </c>
      <c r="H1409" s="12"/>
      <c r="I1409" s="12"/>
      <c r="J1409" s="12"/>
      <c r="K1409" s="12"/>
      <c r="L1409" s="12"/>
      <c r="M1409" s="12"/>
      <c r="N1409" s="12"/>
      <c r="O1409" s="12"/>
      <c r="P1409" s="12"/>
      <c r="Q1409" s="12"/>
      <c r="R1409" s="12"/>
      <c r="S1409" s="12"/>
      <c r="T1409" s="12"/>
      <c r="U1409" s="12"/>
      <c r="V1409" s="12"/>
      <c r="W1409" s="12"/>
      <c r="X1409" s="12"/>
      <c r="Y1409" s="12"/>
      <c r="Z1409" s="12"/>
      <c r="AA1409" s="12"/>
    </row>
    <row r="1410" ht="26.25" customHeight="1">
      <c r="A1410" s="26" t="s">
        <v>2824</v>
      </c>
      <c r="B1410" s="26" t="s">
        <v>2825</v>
      </c>
      <c r="C1410" s="14">
        <v>2.0</v>
      </c>
      <c r="D1410" s="23">
        <v>126.0</v>
      </c>
      <c r="E1410" s="23">
        <v>17.0</v>
      </c>
      <c r="F1410" s="27" t="str">
        <f t="array" ref="F1410">"https://www.google.com/maps/search/?api=1&amp;query=" &amp; A1410 &amp; "," &amp; B1410</f>
        <v>https://www.google.com/maps/search/?api=1&amp;query=-30.9008656506900,-55.53329459312480</v>
      </c>
      <c r="G1410" s="27" t="str">
        <f t="array" ref="G1410">"https://earth.google.com/web/search/" &amp; A1410 &amp; "," &amp; B1410</f>
        <v>https://earth.google.com/web/search/-30.9008656506900,-55.53329459312480</v>
      </c>
      <c r="H1410" s="12"/>
      <c r="I1410" s="12"/>
      <c r="J1410" s="12"/>
      <c r="K1410" s="12"/>
      <c r="L1410" s="12"/>
      <c r="M1410" s="12"/>
      <c r="N1410" s="12"/>
      <c r="O1410" s="12"/>
      <c r="P1410" s="12"/>
      <c r="Q1410" s="12"/>
      <c r="R1410" s="12"/>
      <c r="S1410" s="12"/>
      <c r="T1410" s="12"/>
      <c r="U1410" s="12"/>
      <c r="V1410" s="12"/>
      <c r="W1410" s="12"/>
      <c r="X1410" s="12"/>
      <c r="Y1410" s="12"/>
      <c r="Z1410" s="12"/>
      <c r="AA1410" s="12"/>
    </row>
    <row r="1411" ht="26.25" customHeight="1">
      <c r="A1411" s="26" t="s">
        <v>2826</v>
      </c>
      <c r="B1411" s="26" t="s">
        <v>2827</v>
      </c>
      <c r="C1411" s="14">
        <v>2.0</v>
      </c>
      <c r="D1411" s="23">
        <v>126.0</v>
      </c>
      <c r="E1411" s="23">
        <v>18.0</v>
      </c>
      <c r="F1411" s="27" t="str">
        <f t="array" ref="F1411">"https://www.google.com/maps/search/?api=1&amp;query=" &amp; A1411 &amp; "," &amp; B1411</f>
        <v>https://www.google.com/maps/search/?api=1&amp;query=-30.9008306664637,-55.53332867445710</v>
      </c>
      <c r="G1411" s="27" t="str">
        <f t="array" ref="G1411">"https://earth.google.com/web/search/" &amp; A1411 &amp; "," &amp; B1411</f>
        <v>https://earth.google.com/web/search/-30.9008306664637,-55.53332867445710</v>
      </c>
      <c r="H1411" s="12"/>
      <c r="I1411" s="12"/>
      <c r="J1411" s="12"/>
      <c r="K1411" s="12"/>
      <c r="L1411" s="12"/>
      <c r="M1411" s="12"/>
      <c r="N1411" s="12"/>
      <c r="O1411" s="12"/>
      <c r="P1411" s="12"/>
      <c r="Q1411" s="12"/>
      <c r="R1411" s="12"/>
      <c r="S1411" s="12"/>
      <c r="T1411" s="12"/>
      <c r="U1411" s="12"/>
      <c r="V1411" s="12"/>
      <c r="W1411" s="12"/>
      <c r="X1411" s="12"/>
      <c r="Y1411" s="12"/>
      <c r="Z1411" s="12"/>
      <c r="AA1411" s="12"/>
    </row>
    <row r="1412" ht="26.25" customHeight="1">
      <c r="A1412" s="26" t="s">
        <v>2828</v>
      </c>
      <c r="B1412" s="26" t="s">
        <v>2829</v>
      </c>
      <c r="C1412" s="14">
        <v>2.0</v>
      </c>
      <c r="D1412" s="23">
        <v>126.0</v>
      </c>
      <c r="E1412" s="23">
        <v>19.0</v>
      </c>
      <c r="F1412" s="27" t="str">
        <f t="array" ref="F1412">"https://www.google.com/maps/search/?api=1&amp;query=" &amp; A1412 &amp; "," &amp; B1412</f>
        <v>https://www.google.com/maps/search/?api=1&amp;query=-30.9007546903254,-55.53334615558190</v>
      </c>
      <c r="G1412" s="27" t="str">
        <f t="array" ref="G1412">"https://earth.google.com/web/search/" &amp; A1412 &amp; "," &amp; B1412</f>
        <v>https://earth.google.com/web/search/-30.9007546903254,-55.53334615558190</v>
      </c>
      <c r="H1412" s="12"/>
      <c r="I1412" s="12"/>
      <c r="J1412" s="12"/>
      <c r="K1412" s="12"/>
      <c r="L1412" s="12"/>
      <c r="M1412" s="12"/>
      <c r="N1412" s="12"/>
      <c r="O1412" s="12"/>
      <c r="P1412" s="12"/>
      <c r="Q1412" s="12"/>
      <c r="R1412" s="12"/>
      <c r="S1412" s="12"/>
      <c r="T1412" s="12"/>
      <c r="U1412" s="12"/>
      <c r="V1412" s="12"/>
      <c r="W1412" s="12"/>
      <c r="X1412" s="12"/>
      <c r="Y1412" s="12"/>
      <c r="Z1412" s="12"/>
      <c r="AA1412" s="12"/>
    </row>
    <row r="1413" ht="26.25" customHeight="1">
      <c r="A1413" s="26" t="s">
        <v>2830</v>
      </c>
      <c r="B1413" s="26" t="s">
        <v>2831</v>
      </c>
      <c r="C1413" s="14">
        <v>2.0</v>
      </c>
      <c r="D1413" s="23">
        <v>126.0</v>
      </c>
      <c r="E1413" s="23">
        <v>20.0</v>
      </c>
      <c r="F1413" s="27" t="str">
        <f t="array" ref="F1413">"https://www.google.com/maps/search/?api=1&amp;query=" &amp; A1413 &amp; "," &amp; B1413</f>
        <v>https://www.google.com/maps/search/?api=1&amp;query=-3.0900485515120,-55.53340106410400</v>
      </c>
      <c r="G1413" s="27" t="str">
        <f t="array" ref="G1413">"https://earth.google.com/web/search/" &amp; A1413 &amp; "," &amp; B1413</f>
        <v>https://earth.google.com/web/search/-3.0900485515120,-55.53340106410400</v>
      </c>
      <c r="H1413" s="12"/>
      <c r="I1413" s="12"/>
      <c r="J1413" s="12"/>
      <c r="K1413" s="12"/>
      <c r="L1413" s="12"/>
      <c r="M1413" s="12"/>
      <c r="N1413" s="12"/>
      <c r="O1413" s="12"/>
      <c r="P1413" s="12"/>
      <c r="Q1413" s="12"/>
      <c r="R1413" s="12"/>
      <c r="S1413" s="12"/>
      <c r="T1413" s="12"/>
      <c r="U1413" s="12"/>
      <c r="V1413" s="12"/>
      <c r="W1413" s="12"/>
      <c r="X1413" s="12"/>
      <c r="Y1413" s="12"/>
      <c r="Z1413" s="12"/>
      <c r="AA1413" s="12"/>
    </row>
    <row r="1414" ht="26.25" customHeight="1">
      <c r="A1414" s="26" t="s">
        <v>2832</v>
      </c>
      <c r="B1414" s="26" t="s">
        <v>2833</v>
      </c>
      <c r="C1414" s="14">
        <v>2.0</v>
      </c>
      <c r="D1414" s="23">
        <v>126.0</v>
      </c>
      <c r="E1414" s="23">
        <v>21.0</v>
      </c>
      <c r="F1414" s="27" t="str">
        <f t="array" ref="F1414">"https://www.google.com/maps/search/?api=1&amp;query=" &amp; A1414 &amp; "," &amp; B1414</f>
        <v>https://www.google.com/maps/search/?api=1&amp;query=-3.0900346197646,-55.53346356131910</v>
      </c>
      <c r="G1414" s="27" t="str">
        <f t="array" ref="G1414">"https://earth.google.com/web/search/" &amp; A1414 &amp; "," &amp; B1414</f>
        <v>https://earth.google.com/web/search/-3.0900346197646,-55.53346356131910</v>
      </c>
      <c r="H1414" s="12"/>
      <c r="I1414" s="12"/>
      <c r="J1414" s="12"/>
      <c r="K1414" s="12"/>
      <c r="L1414" s="12"/>
      <c r="M1414" s="12"/>
      <c r="N1414" s="12"/>
      <c r="O1414" s="12"/>
      <c r="P1414" s="12"/>
      <c r="Q1414" s="12"/>
      <c r="R1414" s="12"/>
      <c r="S1414" s="12"/>
      <c r="T1414" s="12"/>
      <c r="U1414" s="12"/>
      <c r="V1414" s="12"/>
      <c r="W1414" s="12"/>
      <c r="X1414" s="12"/>
      <c r="Y1414" s="12"/>
      <c r="Z1414" s="12"/>
      <c r="AA1414" s="12"/>
    </row>
    <row r="1415" ht="26.25" customHeight="1">
      <c r="A1415" s="26" t="s">
        <v>2834</v>
      </c>
      <c r="B1415" s="26" t="s">
        <v>2835</v>
      </c>
      <c r="C1415" s="14">
        <v>2.0</v>
      </c>
      <c r="D1415" s="23">
        <v>126.0</v>
      </c>
      <c r="E1415" s="23">
        <v>22.0</v>
      </c>
      <c r="F1415" s="27" t="str">
        <f t="array" ref="F1415">"https://www.google.com/maps/search/?api=1&amp;query=" &amp; A1415 &amp; "," &amp; B1415</f>
        <v>https://www.google.com/maps/search/?api=1&amp;query=-30.9002191869734,-55.53350316509070</v>
      </c>
      <c r="G1415" s="27" t="str">
        <f t="array" ref="G1415">"https://earth.google.com/web/search/" &amp; A1415 &amp; "," &amp; B1415</f>
        <v>https://earth.google.com/web/search/-30.9002191869734,-55.53350316509070</v>
      </c>
      <c r="H1415" s="12"/>
      <c r="I1415" s="12"/>
      <c r="J1415" s="12"/>
      <c r="K1415" s="12"/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/>
    </row>
    <row r="1416" ht="26.25" customHeight="1">
      <c r="A1416" s="26" t="s">
        <v>2836</v>
      </c>
      <c r="B1416" s="26" t="s">
        <v>2837</v>
      </c>
      <c r="C1416" s="14">
        <v>2.0</v>
      </c>
      <c r="D1416" s="23">
        <v>126.0</v>
      </c>
      <c r="E1416" s="23">
        <v>23.0</v>
      </c>
      <c r="F1416" s="27" t="str">
        <f t="array" ref="F1416">"https://www.google.com/maps/search/?api=1&amp;query=" &amp; A1416 &amp; "," &amp; B1416</f>
        <v>https://www.google.com/maps/search/?api=1&amp;query=-30.9001162929936,-55.53353424805690</v>
      </c>
      <c r="G1416" s="27" t="str">
        <f t="array" ref="G1416">"https://earth.google.com/web/search/" &amp; A1416 &amp; "," &amp; B1416</f>
        <v>https://earth.google.com/web/search/-30.9001162929936,-55.53353424805690</v>
      </c>
      <c r="H1416" s="12"/>
      <c r="I1416" s="12"/>
      <c r="J1416" s="12"/>
      <c r="K1416" s="12"/>
      <c r="L1416" s="12"/>
      <c r="M1416" s="12"/>
      <c r="N1416" s="12"/>
      <c r="O1416" s="12"/>
      <c r="P1416" s="12"/>
      <c r="Q1416" s="12"/>
      <c r="R1416" s="12"/>
      <c r="S1416" s="12"/>
      <c r="T1416" s="12"/>
      <c r="U1416" s="12"/>
      <c r="V1416" s="12"/>
      <c r="W1416" s="12"/>
      <c r="X1416" s="12"/>
      <c r="Y1416" s="12"/>
      <c r="Z1416" s="12"/>
      <c r="AA1416" s="12"/>
    </row>
    <row r="1417" ht="26.25" customHeight="1">
      <c r="A1417" s="26" t="s">
        <v>2838</v>
      </c>
      <c r="B1417" s="26" t="s">
        <v>2839</v>
      </c>
      <c r="C1417" s="14">
        <v>2.0</v>
      </c>
      <c r="D1417" s="23">
        <v>128.0</v>
      </c>
      <c r="E1417" s="23">
        <v>1.0</v>
      </c>
      <c r="F1417" s="27" t="str">
        <f t="array" ref="F1417">"https://www.google.com/maps/search/?api=1&amp;query=" &amp; A1417 &amp; "," &amp; B1417</f>
        <v>https://www.google.com/maps/search/?api=1&amp;query=-30.9003877459551,-55.53512766094240</v>
      </c>
      <c r="G1417" s="27" t="str">
        <f t="array" ref="G1417">"https://earth.google.com/web/search/" &amp; A1417 &amp; "," &amp; B1417</f>
        <v>https://earth.google.com/web/search/-30.9003877459551,-55.53512766094240</v>
      </c>
      <c r="H1417" s="12"/>
      <c r="I1417" s="12"/>
      <c r="J1417" s="12"/>
      <c r="K1417" s="12"/>
      <c r="L1417" s="12"/>
      <c r="M1417" s="12"/>
      <c r="N1417" s="12"/>
      <c r="O1417" s="12"/>
      <c r="P1417" s="12"/>
      <c r="Q1417" s="12"/>
      <c r="R1417" s="12"/>
      <c r="S1417" s="12"/>
      <c r="T1417" s="12"/>
      <c r="U1417" s="12"/>
      <c r="V1417" s="12"/>
      <c r="W1417" s="12"/>
      <c r="X1417" s="12"/>
      <c r="Y1417" s="12"/>
      <c r="Z1417" s="12"/>
      <c r="AA1417" s="12"/>
    </row>
    <row r="1418" ht="26.25" customHeight="1">
      <c r="A1418" s="26" t="s">
        <v>2840</v>
      </c>
      <c r="B1418" s="26" t="s">
        <v>2841</v>
      </c>
      <c r="C1418" s="14">
        <v>2.0</v>
      </c>
      <c r="D1418" s="23">
        <v>128.0</v>
      </c>
      <c r="E1418" s="23">
        <v>2.0</v>
      </c>
      <c r="F1418" s="27" t="str">
        <f t="array" ref="F1418">"https://www.google.com/maps/search/?api=1&amp;query=" &amp; A1418 &amp; "," &amp; B1418</f>
        <v>https://www.google.com/maps/search/?api=1&amp;query=-30.9004593959172,-55.53517812945400</v>
      </c>
      <c r="G1418" s="27" t="str">
        <f t="array" ref="G1418">"https://earth.google.com/web/search/" &amp; A1418 &amp; "," &amp; B1418</f>
        <v>https://earth.google.com/web/search/-30.9004593959172,-55.53517812945400</v>
      </c>
      <c r="H1418" s="12"/>
      <c r="I1418" s="12"/>
      <c r="J1418" s="12"/>
      <c r="K1418" s="12"/>
      <c r="L1418" s="12"/>
      <c r="M1418" s="12"/>
      <c r="N1418" s="12"/>
      <c r="O1418" s="12"/>
      <c r="P1418" s="12"/>
      <c r="Q1418" s="12"/>
      <c r="R1418" s="12"/>
      <c r="S1418" s="12"/>
      <c r="T1418" s="12"/>
      <c r="U1418" s="12"/>
      <c r="V1418" s="12"/>
      <c r="W1418" s="12"/>
      <c r="X1418" s="12"/>
      <c r="Y1418" s="12"/>
      <c r="Z1418" s="12"/>
      <c r="AA1418" s="12"/>
    </row>
    <row r="1419" ht="26.25" customHeight="1">
      <c r="A1419" s="26" t="s">
        <v>2842</v>
      </c>
      <c r="B1419" s="26" t="s">
        <v>2843</v>
      </c>
      <c r="C1419" s="14">
        <v>2.0</v>
      </c>
      <c r="D1419" s="23">
        <v>128.0</v>
      </c>
      <c r="E1419" s="23">
        <v>3.0</v>
      </c>
      <c r="F1419" s="27" t="str">
        <f t="array" ref="F1419">"https://www.google.com/maps/search/?api=1&amp;query=" &amp; A1419 &amp; "," &amp; B1419</f>
        <v>https://www.google.com/maps/search/?api=1&amp;query=-30.9005377399076,-5.55352267710577</v>
      </c>
      <c r="G1419" s="27" t="str">
        <f t="array" ref="G1419">"https://earth.google.com/web/search/" &amp; A1419 &amp; "," &amp; B1419</f>
        <v>https://earth.google.com/web/search/-30.9005377399076,-5.55352267710577</v>
      </c>
      <c r="H1419" s="12"/>
      <c r="I1419" s="12"/>
      <c r="J1419" s="12"/>
      <c r="K1419" s="12"/>
      <c r="L1419" s="12"/>
      <c r="M1419" s="12"/>
      <c r="N1419" s="12"/>
      <c r="O1419" s="12"/>
      <c r="P1419" s="12"/>
      <c r="Q1419" s="12"/>
      <c r="R1419" s="12"/>
      <c r="S1419" s="12"/>
      <c r="T1419" s="12"/>
      <c r="U1419" s="12"/>
      <c r="V1419" s="12"/>
      <c r="W1419" s="12"/>
      <c r="X1419" s="12"/>
      <c r="Y1419" s="12"/>
      <c r="Z1419" s="12"/>
      <c r="AA1419" s="12"/>
    </row>
    <row r="1420" ht="26.25" customHeight="1">
      <c r="A1420" s="26" t="s">
        <v>2844</v>
      </c>
      <c r="B1420" s="26" t="s">
        <v>2845</v>
      </c>
      <c r="C1420" s="14">
        <v>2.0</v>
      </c>
      <c r="D1420" s="23">
        <v>128.0</v>
      </c>
      <c r="E1420" s="23">
        <v>4.0</v>
      </c>
      <c r="F1420" s="27" t="str">
        <f t="array" ref="F1420">"https://www.google.com/maps/search/?api=1&amp;query=" &amp; A1420 &amp; "," &amp; B1420</f>
        <v>https://www.google.com/maps/search/?api=1&amp;query=-30.9007474083579,-55.53537590481680</v>
      </c>
      <c r="G1420" s="27" t="str">
        <f t="array" ref="G1420">"https://earth.google.com/web/search/" &amp; A1420 &amp; "," &amp; B1420</f>
        <v>https://earth.google.com/web/search/-30.9007474083579,-55.53537590481680</v>
      </c>
      <c r="H1420" s="12"/>
      <c r="I1420" s="12"/>
      <c r="J1420" s="12"/>
      <c r="K1420" s="12"/>
      <c r="L1420" s="12"/>
      <c r="M1420" s="12"/>
      <c r="N1420" s="12"/>
      <c r="O1420" s="12"/>
      <c r="P1420" s="12"/>
      <c r="Q1420" s="12"/>
      <c r="R1420" s="12"/>
      <c r="S1420" s="12"/>
      <c r="T1420" s="12"/>
      <c r="U1420" s="12"/>
      <c r="V1420" s="12"/>
      <c r="W1420" s="12"/>
      <c r="X1420" s="12"/>
      <c r="Y1420" s="12"/>
      <c r="Z1420" s="12"/>
      <c r="AA1420" s="12"/>
    </row>
    <row r="1421" ht="26.25" customHeight="1">
      <c r="A1421" s="26" t="s">
        <v>2846</v>
      </c>
      <c r="B1421" s="26" t="s">
        <v>2847</v>
      </c>
      <c r="C1421" s="14">
        <v>2.0</v>
      </c>
      <c r="D1421" s="23">
        <v>128.0</v>
      </c>
      <c r="E1421" s="23">
        <v>5.0</v>
      </c>
      <c r="F1421" s="27" t="str">
        <f t="array" ref="F1421">"https://www.google.com/maps/search/?api=1&amp;query=" &amp; A1421 &amp; "," &amp; B1421</f>
        <v>https://www.google.com/maps/search/?api=1&amp;query=-30.9008230596776,-55.53543202385510</v>
      </c>
      <c r="G1421" s="27" t="str">
        <f t="array" ref="G1421">"https://earth.google.com/web/search/" &amp; A1421 &amp; "," &amp; B1421</f>
        <v>https://earth.google.com/web/search/-30.9008230596776,-55.53543202385510</v>
      </c>
      <c r="H1421" s="12"/>
      <c r="I1421" s="12"/>
      <c r="J1421" s="12"/>
      <c r="K1421" s="12"/>
      <c r="L1421" s="12"/>
      <c r="M1421" s="12"/>
      <c r="N1421" s="12"/>
      <c r="O1421" s="12"/>
      <c r="P1421" s="12"/>
      <c r="Q1421" s="12"/>
      <c r="R1421" s="12"/>
      <c r="S1421" s="12"/>
      <c r="T1421" s="12"/>
      <c r="U1421" s="12"/>
      <c r="V1421" s="12"/>
      <c r="W1421" s="12"/>
      <c r="X1421" s="12"/>
      <c r="Y1421" s="12"/>
      <c r="Z1421" s="12"/>
      <c r="AA1421" s="12"/>
    </row>
    <row r="1422" ht="26.25" customHeight="1">
      <c r="A1422" s="26" t="s">
        <v>2848</v>
      </c>
      <c r="B1422" s="26" t="s">
        <v>2849</v>
      </c>
      <c r="C1422" s="14">
        <v>2.0</v>
      </c>
      <c r="D1422" s="23">
        <v>128.0</v>
      </c>
      <c r="E1422" s="23">
        <v>6.0</v>
      </c>
      <c r="F1422" s="27" t="str">
        <f t="array" ref="F1422">"https://www.google.com/maps/search/?api=1&amp;query=" &amp; A1422 &amp; "," &amp; B1422</f>
        <v>https://www.google.com/maps/search/?api=1&amp;query=-30.9012787631910,-55.53517314569230</v>
      </c>
      <c r="G1422" s="27" t="str">
        <f t="array" ref="G1422">"https://earth.google.com/web/search/" &amp; A1422 &amp; "," &amp; B1422</f>
        <v>https://earth.google.com/web/search/-30.9012787631910,-55.53517314569230</v>
      </c>
      <c r="H1422" s="12"/>
      <c r="I1422" s="12"/>
      <c r="J1422" s="12"/>
      <c r="K1422" s="12"/>
      <c r="L1422" s="12"/>
      <c r="M1422" s="12"/>
      <c r="N1422" s="12"/>
      <c r="O1422" s="12"/>
      <c r="P1422" s="12"/>
      <c r="Q1422" s="12"/>
      <c r="R1422" s="12"/>
      <c r="S1422" s="12"/>
      <c r="T1422" s="12"/>
      <c r="U1422" s="12"/>
      <c r="V1422" s="12"/>
      <c r="W1422" s="12"/>
      <c r="X1422" s="12"/>
      <c r="Y1422" s="12"/>
      <c r="Z1422" s="12"/>
      <c r="AA1422" s="12"/>
    </row>
    <row r="1423" ht="26.25" customHeight="1">
      <c r="A1423" s="26" t="s">
        <v>2850</v>
      </c>
      <c r="B1423" s="26" t="s">
        <v>2851</v>
      </c>
      <c r="C1423" s="14">
        <v>2.0</v>
      </c>
      <c r="D1423" s="23">
        <v>128.0</v>
      </c>
      <c r="E1423" s="23">
        <v>7.0</v>
      </c>
      <c r="F1423" s="27" t="str">
        <f t="array" ref="F1423">"https://www.google.com/maps/search/?api=1&amp;query=" &amp; A1423 &amp; "," &amp; B1423</f>
        <v>https://www.google.com/maps/search/?api=1&amp;query=-30.9013307849283,-55.53508833360000</v>
      </c>
      <c r="G1423" s="27" t="str">
        <f t="array" ref="G1423">"https://earth.google.com/web/search/" &amp; A1423 &amp; "," &amp; B1423</f>
        <v>https://earth.google.com/web/search/-30.9013307849283,-55.53508833360000</v>
      </c>
      <c r="H1423" s="12"/>
      <c r="I1423" s="12"/>
      <c r="J1423" s="12"/>
      <c r="K1423" s="12"/>
      <c r="L1423" s="12"/>
      <c r="M1423" s="12"/>
      <c r="N1423" s="12"/>
      <c r="O1423" s="12"/>
      <c r="P1423" s="12"/>
      <c r="Q1423" s="12"/>
      <c r="R1423" s="12"/>
      <c r="S1423" s="12"/>
      <c r="T1423" s="12"/>
      <c r="U1423" s="12"/>
      <c r="V1423" s="12"/>
      <c r="W1423" s="12"/>
      <c r="X1423" s="12"/>
      <c r="Y1423" s="12"/>
      <c r="Z1423" s="12"/>
      <c r="AA1423" s="12"/>
    </row>
    <row r="1424" ht="26.25" customHeight="1">
      <c r="A1424" s="26" t="s">
        <v>2852</v>
      </c>
      <c r="B1424" s="26" t="s">
        <v>2853</v>
      </c>
      <c r="C1424" s="14">
        <v>2.0</v>
      </c>
      <c r="D1424" s="23">
        <v>128.0</v>
      </c>
      <c r="E1424" s="23">
        <v>8.0</v>
      </c>
      <c r="F1424" s="27" t="str">
        <f t="array" ref="F1424">"https://www.google.com/maps/search/?api=1&amp;query=" &amp; A1424 &amp; "," &amp; B1424</f>
        <v>https://www.google.com/maps/search/?api=1&amp;query=-30.9013818893699,-55.53498379886560</v>
      </c>
      <c r="G1424" s="27" t="str">
        <f t="array" ref="G1424">"https://earth.google.com/web/search/" &amp; A1424 &amp; "," &amp; B1424</f>
        <v>https://earth.google.com/web/search/-30.9013818893699,-55.53498379886560</v>
      </c>
      <c r="H1424" s="12"/>
      <c r="I1424" s="12"/>
      <c r="J1424" s="12"/>
      <c r="K1424" s="12"/>
      <c r="L1424" s="12"/>
      <c r="M1424" s="12"/>
      <c r="N1424" s="12"/>
      <c r="O1424" s="12"/>
      <c r="P1424" s="12"/>
      <c r="Q1424" s="12"/>
      <c r="R1424" s="12"/>
      <c r="S1424" s="12"/>
      <c r="T1424" s="12"/>
      <c r="U1424" s="12"/>
      <c r="V1424" s="12"/>
      <c r="W1424" s="12"/>
      <c r="X1424" s="12"/>
      <c r="Y1424" s="12"/>
      <c r="Z1424" s="12"/>
      <c r="AA1424" s="12"/>
    </row>
    <row r="1425" ht="26.25" customHeight="1">
      <c r="A1425" s="26" t="s">
        <v>2854</v>
      </c>
      <c r="B1425" s="26" t="s">
        <v>2855</v>
      </c>
      <c r="C1425" s="14">
        <v>2.0</v>
      </c>
      <c r="D1425" s="23">
        <v>128.0</v>
      </c>
      <c r="E1425" s="23">
        <v>9.0</v>
      </c>
      <c r="F1425" s="27" t="str">
        <f t="array" ref="F1425">"https://www.google.com/maps/search/?api=1&amp;query=" &amp; A1425 &amp; "," &amp; B1425</f>
        <v>https://www.google.com/maps/search/?api=1&amp;query=-30.9014307852628,-5.55348939650334</v>
      </c>
      <c r="G1425" s="27" t="str">
        <f t="array" ref="G1425">"https://earth.google.com/web/search/" &amp; A1425 &amp; "," &amp; B1425</f>
        <v>https://earth.google.com/web/search/-30.9014307852628,-5.55348939650334</v>
      </c>
      <c r="H1425" s="12"/>
      <c r="I1425" s="12"/>
      <c r="J1425" s="12"/>
      <c r="K1425" s="12"/>
      <c r="L1425" s="12"/>
      <c r="M1425" s="12"/>
      <c r="N1425" s="12"/>
      <c r="O1425" s="12"/>
      <c r="P1425" s="12"/>
      <c r="Q1425" s="12"/>
      <c r="R1425" s="12"/>
      <c r="S1425" s="12"/>
      <c r="T1425" s="12"/>
      <c r="U1425" s="12"/>
      <c r="V1425" s="12"/>
      <c r="W1425" s="12"/>
      <c r="X1425" s="12"/>
      <c r="Y1425" s="12"/>
      <c r="Z1425" s="12"/>
      <c r="AA1425" s="12"/>
    </row>
    <row r="1426" ht="26.25" customHeight="1">
      <c r="A1426" s="26" t="s">
        <v>2856</v>
      </c>
      <c r="B1426" s="26" t="s">
        <v>2857</v>
      </c>
      <c r="C1426" s="14">
        <v>2.0</v>
      </c>
      <c r="D1426" s="23">
        <v>128.0</v>
      </c>
      <c r="E1426" s="23">
        <v>10.0</v>
      </c>
      <c r="F1426" s="27" t="str">
        <f t="array" ref="F1426">"https://www.google.com/maps/search/?api=1&amp;query=" &amp; A1426 &amp; "," &amp; B1426</f>
        <v>https://www.google.com/maps/search/?api=1&amp;query=-30.9014654382774,-55.53481353850030</v>
      </c>
      <c r="G1426" s="27" t="str">
        <f t="array" ref="G1426">"https://earth.google.com/web/search/" &amp; A1426 &amp; "," &amp; B1426</f>
        <v>https://earth.google.com/web/search/-30.9014654382774,-55.53481353850030</v>
      </c>
      <c r="H1426" s="12"/>
      <c r="I1426" s="12"/>
      <c r="J1426" s="12"/>
      <c r="K1426" s="12"/>
      <c r="L1426" s="12"/>
      <c r="M1426" s="12"/>
      <c r="N1426" s="12"/>
      <c r="O1426" s="12"/>
      <c r="P1426" s="12"/>
      <c r="Q1426" s="12"/>
      <c r="R1426" s="12"/>
      <c r="S1426" s="12"/>
      <c r="T1426" s="12"/>
      <c r="U1426" s="12"/>
      <c r="V1426" s="12"/>
      <c r="W1426" s="12"/>
      <c r="X1426" s="12"/>
      <c r="Y1426" s="12"/>
      <c r="Z1426" s="12"/>
      <c r="AA1426" s="12"/>
    </row>
    <row r="1427" ht="26.25" customHeight="1">
      <c r="A1427" s="26" t="s">
        <v>2858</v>
      </c>
      <c r="B1427" s="26" t="s">
        <v>2859</v>
      </c>
      <c r="C1427" s="14">
        <v>2.0</v>
      </c>
      <c r="D1427" s="23">
        <v>128.0</v>
      </c>
      <c r="E1427" s="23">
        <v>11.0</v>
      </c>
      <c r="F1427" s="27" t="str">
        <f t="array" ref="F1427">"https://www.google.com/maps/search/?api=1&amp;query=" &amp; A1427 &amp; "," &amp; B1427</f>
        <v>https://www.google.com/maps/search/?api=1&amp;query=-30.9012570144572,-55.53462593933370</v>
      </c>
      <c r="G1427" s="27" t="str">
        <f t="array" ref="G1427">"https://earth.google.com/web/search/" &amp; A1427 &amp; "," &amp; B1427</f>
        <v>https://earth.google.com/web/search/-30.9012570144572,-55.53462593933370</v>
      </c>
      <c r="H1427" s="12"/>
      <c r="I1427" s="12"/>
      <c r="J1427" s="12"/>
      <c r="K1427" s="12"/>
      <c r="L1427" s="12"/>
      <c r="M1427" s="12"/>
      <c r="N1427" s="12"/>
      <c r="O1427" s="12"/>
      <c r="P1427" s="12"/>
      <c r="Q1427" s="12"/>
      <c r="R1427" s="12"/>
      <c r="S1427" s="12"/>
      <c r="T1427" s="12"/>
      <c r="U1427" s="12"/>
      <c r="V1427" s="12"/>
      <c r="W1427" s="12"/>
      <c r="X1427" s="12"/>
      <c r="Y1427" s="12"/>
      <c r="Z1427" s="12"/>
      <c r="AA1427" s="12"/>
    </row>
    <row r="1428" ht="26.25" customHeight="1">
      <c r="A1428" s="26" t="s">
        <v>2860</v>
      </c>
      <c r="B1428" s="26" t="s">
        <v>2861</v>
      </c>
      <c r="C1428" s="14">
        <v>2.0</v>
      </c>
      <c r="D1428" s="23">
        <v>128.0</v>
      </c>
      <c r="E1428" s="23">
        <v>12.0</v>
      </c>
      <c r="F1428" s="27" t="str">
        <f t="array" ref="F1428">"https://www.google.com/maps/search/?api=1&amp;query=" &amp; A1428 &amp; "," &amp; B1428</f>
        <v>https://www.google.com/maps/search/?api=1&amp;query=-30.9011797542511,-5.55345594019502</v>
      </c>
      <c r="G1428" s="27" t="str">
        <f t="array" ref="G1428">"https://earth.google.com/web/search/" &amp; A1428 &amp; "," &amp; B1428</f>
        <v>https://earth.google.com/web/search/-30.9011797542511,-5.55345594019502</v>
      </c>
      <c r="H1428" s="12"/>
      <c r="I1428" s="12"/>
      <c r="J1428" s="12"/>
      <c r="K1428" s="12"/>
      <c r="L1428" s="12"/>
      <c r="M1428" s="12"/>
      <c r="N1428" s="12"/>
      <c r="O1428" s="12"/>
      <c r="P1428" s="12"/>
      <c r="Q1428" s="12"/>
      <c r="R1428" s="12"/>
      <c r="S1428" s="12"/>
      <c r="T1428" s="12"/>
      <c r="U1428" s="12"/>
      <c r="V1428" s="12"/>
      <c r="W1428" s="12"/>
      <c r="X1428" s="12"/>
      <c r="Y1428" s="12"/>
      <c r="Z1428" s="12"/>
      <c r="AA1428" s="12"/>
    </row>
    <row r="1429" ht="26.25" customHeight="1">
      <c r="A1429" s="26" t="s">
        <v>2862</v>
      </c>
      <c r="B1429" s="26" t="s">
        <v>2863</v>
      </c>
      <c r="C1429" s="14">
        <v>2.0</v>
      </c>
      <c r="D1429" s="23">
        <v>128.0</v>
      </c>
      <c r="E1429" s="23">
        <v>13.0</v>
      </c>
      <c r="F1429" s="27" t="str">
        <f t="array" ref="F1429">"https://www.google.com/maps/search/?api=1&amp;query=" &amp; A1429 &amp; "," &amp; B1429</f>
        <v>https://www.google.com/maps/search/?api=1&amp;query=-30.9010272854022,-55.53447125151990</v>
      </c>
      <c r="G1429" s="27" t="str">
        <f t="array" ref="G1429">"https://earth.google.com/web/search/" &amp; A1429 &amp; "," &amp; B1429</f>
        <v>https://earth.google.com/web/search/-30.9010272854022,-55.53447125151990</v>
      </c>
      <c r="H1429" s="12"/>
      <c r="I1429" s="12"/>
      <c r="J1429" s="12"/>
      <c r="K1429" s="12"/>
      <c r="L1429" s="12"/>
      <c r="M1429" s="12"/>
      <c r="N1429" s="12"/>
      <c r="O1429" s="12"/>
      <c r="P1429" s="12"/>
      <c r="Q1429" s="12"/>
      <c r="R1429" s="12"/>
      <c r="S1429" s="12"/>
      <c r="T1429" s="12"/>
      <c r="U1429" s="12"/>
      <c r="V1429" s="12"/>
      <c r="W1429" s="12"/>
      <c r="X1429" s="12"/>
      <c r="Y1429" s="12"/>
      <c r="Z1429" s="12"/>
      <c r="AA1429" s="12"/>
    </row>
    <row r="1430" ht="26.25" customHeight="1">
      <c r="A1430" s="26" t="s">
        <v>2864</v>
      </c>
      <c r="B1430" s="26" t="s">
        <v>2865</v>
      </c>
      <c r="C1430" s="14">
        <v>2.0</v>
      </c>
      <c r="D1430" s="23">
        <v>128.0</v>
      </c>
      <c r="E1430" s="23">
        <v>14.0</v>
      </c>
      <c r="F1430" s="27" t="str">
        <f t="array" ref="F1430">"https://www.google.com/maps/search/?api=1&amp;query=" &amp; A1430 &amp; "," &amp; B1430</f>
        <v>https://www.google.com/maps/search/?api=1&amp;query=-30.9009633174730,-5.55344236092771</v>
      </c>
      <c r="G1430" s="27" t="str">
        <f t="array" ref="G1430">"https://earth.google.com/web/search/" &amp; A1430 &amp; "," &amp; B1430</f>
        <v>https://earth.google.com/web/search/-30.9009633174730,-5.55344236092771</v>
      </c>
      <c r="H1430" s="12"/>
      <c r="I1430" s="12"/>
      <c r="J1430" s="12"/>
      <c r="K1430" s="12"/>
      <c r="L1430" s="12"/>
      <c r="M1430" s="12"/>
      <c r="N1430" s="12"/>
      <c r="O1430" s="12"/>
      <c r="P1430" s="12"/>
      <c r="Q1430" s="12"/>
      <c r="R1430" s="12"/>
      <c r="S1430" s="12"/>
      <c r="T1430" s="12"/>
      <c r="U1430" s="12"/>
      <c r="V1430" s="12"/>
      <c r="W1430" s="12"/>
      <c r="X1430" s="12"/>
      <c r="Y1430" s="12"/>
      <c r="Z1430" s="12"/>
      <c r="AA1430" s="12"/>
    </row>
    <row r="1431" ht="26.25" customHeight="1">
      <c r="A1431" s="26" t="s">
        <v>2866</v>
      </c>
      <c r="B1431" s="26" t="s">
        <v>2867</v>
      </c>
      <c r="C1431" s="14">
        <v>2.0</v>
      </c>
      <c r="D1431" s="23">
        <v>128.0</v>
      </c>
      <c r="E1431" s="23">
        <v>15.0</v>
      </c>
      <c r="F1431" s="27" t="str">
        <f t="array" ref="F1431">"https://www.google.com/maps/search/?api=1&amp;query=" &amp; A1431 &amp; "," &amp; B1431</f>
        <v>https://www.google.com/maps/search/?api=1&amp;query=-30.9008965097628,-55.53436854595870</v>
      </c>
      <c r="G1431" s="27" t="str">
        <f t="array" ref="G1431">"https://earth.google.com/web/search/" &amp; A1431 &amp; "," &amp; B1431</f>
        <v>https://earth.google.com/web/search/-30.9008965097628,-55.53436854595870</v>
      </c>
      <c r="H1431" s="12"/>
      <c r="I1431" s="12"/>
      <c r="J1431" s="12"/>
      <c r="K1431" s="12"/>
      <c r="L1431" s="12"/>
      <c r="M1431" s="12"/>
      <c r="N1431" s="12"/>
      <c r="O1431" s="12"/>
      <c r="P1431" s="12"/>
      <c r="Q1431" s="12"/>
      <c r="R1431" s="12"/>
      <c r="S1431" s="12"/>
      <c r="T1431" s="12"/>
      <c r="U1431" s="12"/>
      <c r="V1431" s="12"/>
      <c r="W1431" s="12"/>
      <c r="X1431" s="12"/>
      <c r="Y1431" s="12"/>
      <c r="Z1431" s="12"/>
      <c r="AA1431" s="12"/>
    </row>
    <row r="1432" ht="26.25" customHeight="1">
      <c r="A1432" s="26" t="s">
        <v>2868</v>
      </c>
      <c r="B1432" s="26" t="s">
        <v>2869</v>
      </c>
      <c r="C1432" s="14">
        <v>2.0</v>
      </c>
      <c r="D1432" s="23">
        <v>128.0</v>
      </c>
      <c r="E1432" s="23">
        <v>16.0</v>
      </c>
      <c r="F1432" s="27" t="str">
        <f t="array" ref="F1432">"https://www.google.com/maps/search/?api=1&amp;query=" &amp; A1432 &amp; "," &amp; B1432</f>
        <v>https://www.google.com/maps/search/?api=1&amp;query=-30.9007029408866,-55.53443271273060</v>
      </c>
      <c r="G1432" s="27" t="str">
        <f t="array" ref="G1432">"https://earth.google.com/web/search/" &amp; A1432 &amp; "," &amp; B1432</f>
        <v>https://earth.google.com/web/search/-30.9007029408866,-55.53443271273060</v>
      </c>
      <c r="H1432" s="12"/>
      <c r="I1432" s="12"/>
      <c r="J1432" s="12"/>
      <c r="K1432" s="12"/>
      <c r="L1432" s="12"/>
      <c r="M1432" s="12"/>
      <c r="N1432" s="12"/>
      <c r="O1432" s="12"/>
      <c r="P1432" s="12"/>
      <c r="Q1432" s="12"/>
      <c r="R1432" s="12"/>
      <c r="S1432" s="12"/>
      <c r="T1432" s="12"/>
      <c r="U1432" s="12"/>
      <c r="V1432" s="12"/>
      <c r="W1432" s="12"/>
      <c r="X1432" s="12"/>
      <c r="Y1432" s="12"/>
      <c r="Z1432" s="12"/>
      <c r="AA1432" s="12"/>
    </row>
    <row r="1433" ht="26.25" customHeight="1">
      <c r="A1433" s="26" t="s">
        <v>2870</v>
      </c>
      <c r="B1433" s="26" t="s">
        <v>2871</v>
      </c>
      <c r="C1433" s="14">
        <v>2.0</v>
      </c>
      <c r="D1433" s="23">
        <v>128.0</v>
      </c>
      <c r="E1433" s="23">
        <v>17.0</v>
      </c>
      <c r="F1433" s="27" t="str">
        <f t="array" ref="F1433">"https://www.google.com/maps/search/?api=1&amp;query=" &amp; A1433 &amp; "," &amp; B1433</f>
        <v>https://www.google.com/maps/search/?api=1&amp;query=-30.9006112488718,-55.53458389223590</v>
      </c>
      <c r="G1433" s="27" t="str">
        <f t="array" ref="G1433">"https://earth.google.com/web/search/" &amp; A1433 &amp; "," &amp; B1433</f>
        <v>https://earth.google.com/web/search/-30.9006112488718,-55.53458389223590</v>
      </c>
      <c r="H1433" s="12"/>
      <c r="I1433" s="12"/>
      <c r="J1433" s="12"/>
      <c r="K1433" s="12"/>
      <c r="L1433" s="12"/>
      <c r="M1433" s="12"/>
      <c r="N1433" s="12"/>
      <c r="O1433" s="12"/>
      <c r="P1433" s="12"/>
      <c r="Q1433" s="12"/>
      <c r="R1433" s="12"/>
      <c r="S1433" s="12"/>
      <c r="T1433" s="12"/>
      <c r="U1433" s="12"/>
      <c r="V1433" s="12"/>
      <c r="W1433" s="12"/>
      <c r="X1433" s="12"/>
      <c r="Y1433" s="12"/>
      <c r="Z1433" s="12"/>
      <c r="AA1433" s="12"/>
    </row>
    <row r="1434" ht="26.25" customHeight="1">
      <c r="A1434" s="26" t="s">
        <v>2872</v>
      </c>
      <c r="B1434" s="26" t="s">
        <v>2873</v>
      </c>
      <c r="C1434" s="14">
        <v>2.0</v>
      </c>
      <c r="D1434" s="23">
        <v>128.0</v>
      </c>
      <c r="E1434" s="23">
        <v>18.0</v>
      </c>
      <c r="F1434" s="27" t="str">
        <f t="array" ref="F1434">"https://www.google.com/maps/search/?api=1&amp;query=" &amp; A1434 &amp; "," &amp; B1434</f>
        <v>https://www.google.com/maps/search/?api=1&amp;query=-3.0900473968425,-55.53486659494860</v>
      </c>
      <c r="G1434" s="27" t="str">
        <f t="array" ref="G1434">"https://earth.google.com/web/search/" &amp; A1434 &amp; "," &amp; B1434</f>
        <v>https://earth.google.com/web/search/-3.0900473968425,-55.53486659494860</v>
      </c>
      <c r="H1434" s="12"/>
      <c r="I1434" s="12"/>
      <c r="J1434" s="12"/>
      <c r="K1434" s="12"/>
      <c r="L1434" s="12"/>
      <c r="M1434" s="12"/>
      <c r="N1434" s="12"/>
      <c r="O1434" s="12"/>
      <c r="P1434" s="12"/>
      <c r="Q1434" s="12"/>
      <c r="R1434" s="12"/>
      <c r="S1434" s="12"/>
      <c r="T1434" s="12"/>
      <c r="U1434" s="12"/>
      <c r="V1434" s="12"/>
      <c r="W1434" s="12"/>
      <c r="X1434" s="12"/>
      <c r="Y1434" s="12"/>
      <c r="Z1434" s="12"/>
      <c r="AA1434" s="12"/>
    </row>
    <row r="1435" ht="26.25" customHeight="1">
      <c r="A1435" s="26" t="s">
        <v>2874</v>
      </c>
      <c r="B1435" s="26" t="s">
        <v>2875</v>
      </c>
      <c r="C1435" s="14">
        <v>2.0</v>
      </c>
      <c r="D1435" s="23">
        <v>128.0</v>
      </c>
      <c r="E1435" s="23">
        <v>19.0</v>
      </c>
      <c r="F1435" s="27" t="str">
        <f t="array" ref="F1435">"https://www.google.com/maps/search/?api=1&amp;query=" &amp; A1435 &amp; "," &amp; B1435</f>
        <v>https://www.google.com/maps/search/?api=1&amp;query=-3.0900404162132,-55.53500299072830</v>
      </c>
      <c r="G1435" s="27" t="str">
        <f t="array" ref="G1435">"https://earth.google.com/web/search/" &amp; A1435 &amp; "," &amp; B1435</f>
        <v>https://earth.google.com/web/search/-3.0900404162132,-55.53500299072830</v>
      </c>
      <c r="H1435" s="12"/>
      <c r="I1435" s="12"/>
      <c r="J1435" s="12"/>
      <c r="K1435" s="12"/>
      <c r="L1435" s="12"/>
      <c r="M1435" s="12"/>
      <c r="N1435" s="12"/>
      <c r="O1435" s="12"/>
      <c r="P1435" s="12"/>
      <c r="Q1435" s="12"/>
      <c r="R1435" s="12"/>
      <c r="S1435" s="12"/>
      <c r="T1435" s="12"/>
      <c r="U1435" s="12"/>
      <c r="V1435" s="12"/>
      <c r="W1435" s="12"/>
      <c r="X1435" s="12"/>
      <c r="Y1435" s="12"/>
      <c r="Z1435" s="12"/>
      <c r="AA1435" s="12"/>
    </row>
    <row r="1436" ht="26.25" customHeight="1">
      <c r="A1436" s="26" t="s">
        <v>2876</v>
      </c>
      <c r="B1436" s="26" t="s">
        <v>2877</v>
      </c>
      <c r="C1436" s="14">
        <v>2.0</v>
      </c>
      <c r="D1436" s="23">
        <v>129.0</v>
      </c>
      <c r="E1436" s="23">
        <v>1.0</v>
      </c>
      <c r="F1436" s="27" t="str">
        <f t="array" ref="F1436">"https://www.google.com/maps/search/?api=1&amp;query=" &amp; A1436 &amp; "," &amp; B1436</f>
        <v>https://www.google.com/maps/search/?api=1&amp;query=-30.9010180457372,-55.53433314324120</v>
      </c>
      <c r="G1436" s="27" t="str">
        <f t="array" ref="G1436">"https://earth.google.com/web/search/" &amp; A1436 &amp; "," &amp; B1436</f>
        <v>https://earth.google.com/web/search/-30.9010180457372,-55.53433314324120</v>
      </c>
      <c r="H1436" s="12"/>
      <c r="I1436" s="12"/>
      <c r="J1436" s="12"/>
      <c r="K1436" s="12"/>
      <c r="L1436" s="12"/>
      <c r="M1436" s="12"/>
      <c r="N1436" s="12"/>
      <c r="O1436" s="12"/>
      <c r="P1436" s="12"/>
      <c r="Q1436" s="12"/>
      <c r="R1436" s="12"/>
      <c r="S1436" s="12"/>
      <c r="T1436" s="12"/>
      <c r="U1436" s="12"/>
      <c r="V1436" s="12"/>
      <c r="W1436" s="12"/>
      <c r="X1436" s="12"/>
      <c r="Y1436" s="12"/>
      <c r="Z1436" s="12"/>
      <c r="AA1436" s="12"/>
    </row>
    <row r="1437" ht="26.25" customHeight="1">
      <c r="A1437" s="26" t="s">
        <v>2878</v>
      </c>
      <c r="B1437" s="26" t="s">
        <v>2879</v>
      </c>
      <c r="C1437" s="14">
        <v>2.0</v>
      </c>
      <c r="D1437" s="23">
        <v>129.0</v>
      </c>
      <c r="E1437" s="23">
        <v>2.0</v>
      </c>
      <c r="F1437" s="27" t="str">
        <f t="array" ref="F1437">"https://www.google.com/maps/search/?api=1&amp;query=" &amp; A1437 &amp; "," &amp; B1437</f>
        <v>https://www.google.com/maps/search/?api=1&amp;query=-30.9015571459588,-55.53466133172310</v>
      </c>
      <c r="G1437" s="27" t="str">
        <f t="array" ref="G1437">"https://earth.google.com/web/search/" &amp; A1437 &amp; "," &amp; B1437</f>
        <v>https://earth.google.com/web/search/-30.9015571459588,-55.53466133172310</v>
      </c>
      <c r="H1437" s="12"/>
      <c r="I1437" s="12"/>
      <c r="J1437" s="12"/>
      <c r="K1437" s="12"/>
      <c r="L1437" s="12"/>
      <c r="M1437" s="12"/>
      <c r="N1437" s="12"/>
      <c r="O1437" s="12"/>
      <c r="P1437" s="12"/>
      <c r="Q1437" s="12"/>
      <c r="R1437" s="12"/>
      <c r="S1437" s="12"/>
      <c r="T1437" s="12"/>
      <c r="U1437" s="12"/>
      <c r="V1437" s="12"/>
      <c r="W1437" s="12"/>
      <c r="X1437" s="12"/>
      <c r="Y1437" s="12"/>
      <c r="Z1437" s="12"/>
      <c r="AA1437" s="12"/>
    </row>
    <row r="1438" ht="26.25" customHeight="1">
      <c r="A1438" s="26" t="s">
        <v>2880</v>
      </c>
      <c r="B1438" s="26" t="s">
        <v>2881</v>
      </c>
      <c r="C1438" s="14">
        <v>2.0</v>
      </c>
      <c r="D1438" s="23">
        <v>129.0</v>
      </c>
      <c r="E1438" s="23">
        <v>3.0</v>
      </c>
      <c r="F1438" s="27" t="str">
        <f t="array" ref="F1438">"https://www.google.com/maps/search/?api=1&amp;query=" &amp; A1438 &amp; "," &amp; B1438</f>
        <v>https://www.google.com/maps/search/?api=1&amp;query=-30.9016202290050,-55.53453659426460</v>
      </c>
      <c r="G1438" s="27" t="str">
        <f t="array" ref="G1438">"https://earth.google.com/web/search/" &amp; A1438 &amp; "," &amp; B1438</f>
        <v>https://earth.google.com/web/search/-30.9016202290050,-55.53453659426460</v>
      </c>
      <c r="H1438" s="12"/>
      <c r="I1438" s="12"/>
      <c r="J1438" s="12"/>
      <c r="K1438" s="12"/>
      <c r="L1438" s="12"/>
      <c r="M1438" s="12"/>
      <c r="N1438" s="12"/>
      <c r="O1438" s="12"/>
      <c r="P1438" s="12"/>
      <c r="Q1438" s="12"/>
      <c r="R1438" s="12"/>
      <c r="S1438" s="12"/>
      <c r="T1438" s="12"/>
      <c r="U1438" s="12"/>
      <c r="V1438" s="12"/>
      <c r="W1438" s="12"/>
      <c r="X1438" s="12"/>
      <c r="Y1438" s="12"/>
      <c r="Z1438" s="12"/>
      <c r="AA1438" s="12"/>
    </row>
    <row r="1439" ht="26.25" customHeight="1">
      <c r="A1439" s="26" t="s">
        <v>2882</v>
      </c>
      <c r="B1439" s="26" t="s">
        <v>2883</v>
      </c>
      <c r="C1439" s="14">
        <v>2.0</v>
      </c>
      <c r="D1439" s="23">
        <v>129.0</v>
      </c>
      <c r="E1439" s="23">
        <v>3.0</v>
      </c>
      <c r="F1439" s="27" t="str">
        <f t="array" ref="F1439">"https://www.google.com/maps/search/?api=1&amp;query=" &amp; A1439 &amp; "," &amp; B1439</f>
        <v>https://www.google.com/maps/search/?api=1&amp;query=-30.9017446696584,-55.53430436038400</v>
      </c>
      <c r="G1439" s="27" t="str">
        <f t="array" ref="G1439">"https://earth.google.com/web/search/" &amp; A1439 &amp; "," &amp; B1439</f>
        <v>https://earth.google.com/web/search/-30.9017446696584,-55.53430436038400</v>
      </c>
      <c r="H1439" s="12"/>
      <c r="I1439" s="12"/>
      <c r="J1439" s="12"/>
      <c r="K1439" s="12"/>
      <c r="L1439" s="12"/>
      <c r="M1439" s="12"/>
      <c r="N1439" s="12"/>
      <c r="O1439" s="12"/>
      <c r="P1439" s="12"/>
      <c r="Q1439" s="12"/>
      <c r="R1439" s="12"/>
      <c r="S1439" s="12"/>
      <c r="T1439" s="12"/>
      <c r="U1439" s="12"/>
      <c r="V1439" s="12"/>
      <c r="W1439" s="12"/>
      <c r="X1439" s="12"/>
      <c r="Y1439" s="12"/>
      <c r="Z1439" s="12"/>
      <c r="AA1439" s="12"/>
    </row>
    <row r="1440" ht="26.25" customHeight="1">
      <c r="A1440" s="26" t="s">
        <v>2884</v>
      </c>
      <c r="B1440" s="26" t="s">
        <v>2885</v>
      </c>
      <c r="C1440" s="14">
        <v>2.0</v>
      </c>
      <c r="D1440" s="23">
        <v>129.0</v>
      </c>
      <c r="E1440" s="23">
        <v>4.0</v>
      </c>
      <c r="F1440" s="27" t="str">
        <f t="array" ref="F1440">"https://www.google.com/maps/search/?api=1&amp;query=" &amp; A1440 &amp; "," &amp; B1440</f>
        <v>https://www.google.com/maps/search/?api=1&amp;query=-30.9015517992289,-55.53356913638000</v>
      </c>
      <c r="G1440" s="27" t="str">
        <f t="array" ref="G1440">"https://earth.google.com/web/search/" &amp; A1440 &amp; "," &amp; B1440</f>
        <v>https://earth.google.com/web/search/-30.9015517992289,-55.53356913638000</v>
      </c>
      <c r="H1440" s="12"/>
      <c r="I1440" s="12"/>
      <c r="J1440" s="12"/>
      <c r="K1440" s="12"/>
      <c r="L1440" s="12"/>
      <c r="M1440" s="12"/>
      <c r="N1440" s="12"/>
      <c r="O1440" s="12"/>
      <c r="P1440" s="12"/>
      <c r="Q1440" s="12"/>
      <c r="R1440" s="12"/>
      <c r="S1440" s="12"/>
      <c r="T1440" s="12"/>
      <c r="U1440" s="12"/>
      <c r="V1440" s="12"/>
      <c r="W1440" s="12"/>
      <c r="X1440" s="12"/>
      <c r="Y1440" s="12"/>
      <c r="Z1440" s="12"/>
      <c r="AA1440" s="12"/>
    </row>
    <row r="1441" ht="26.25" customHeight="1">
      <c r="A1441" s="26" t="s">
        <v>2886</v>
      </c>
      <c r="B1441" s="26" t="s">
        <v>2887</v>
      </c>
      <c r="C1441" s="14">
        <v>2.0</v>
      </c>
      <c r="D1441" s="23">
        <v>129.0</v>
      </c>
      <c r="E1441" s="23">
        <v>5.0</v>
      </c>
      <c r="F1441" s="27" t="str">
        <f t="array" ref="F1441">"https://www.google.com/maps/search/?api=1&amp;query=" &amp; A1441 &amp; "," &amp; B1441</f>
        <v>https://www.google.com/maps/search/?api=1&amp;query=-30.9011477495854,-55.53356018837350</v>
      </c>
      <c r="G1441" s="27" t="str">
        <f t="array" ref="G1441">"https://earth.google.com/web/search/" &amp; A1441 &amp; "," &amp; B1441</f>
        <v>https://earth.google.com/web/search/-30.9011477495854,-55.53356018837350</v>
      </c>
      <c r="H1441" s="12"/>
      <c r="I1441" s="12"/>
      <c r="J1441" s="12"/>
      <c r="K1441" s="12"/>
      <c r="L1441" s="12"/>
      <c r="M1441" s="12"/>
      <c r="N1441" s="12"/>
      <c r="O1441" s="12"/>
      <c r="P1441" s="12"/>
      <c r="Q1441" s="12"/>
      <c r="R1441" s="12"/>
      <c r="S1441" s="12"/>
      <c r="T1441" s="12"/>
      <c r="U1441" s="12"/>
      <c r="V1441" s="12"/>
      <c r="W1441" s="12"/>
      <c r="X1441" s="12"/>
      <c r="Y1441" s="12"/>
      <c r="Z1441" s="12"/>
      <c r="AA1441" s="12"/>
    </row>
    <row r="1442" ht="26.25" customHeight="1">
      <c r="A1442" s="26" t="s">
        <v>2888</v>
      </c>
      <c r="B1442" s="26" t="s">
        <v>2889</v>
      </c>
      <c r="C1442" s="14">
        <v>2.0</v>
      </c>
      <c r="D1442" s="23">
        <v>129.0</v>
      </c>
      <c r="E1442" s="23">
        <v>6.0</v>
      </c>
      <c r="F1442" s="27" t="str">
        <f t="array" ref="F1442">"https://www.google.com/maps/search/?api=1&amp;query=" &amp; A1442 &amp; "," &amp; B1442</f>
        <v>https://www.google.com/maps/search/?api=1&amp;query=-30.9011154813068,-55.53363883499330</v>
      </c>
      <c r="G1442" s="27" t="str">
        <f t="array" ref="G1442">"https://earth.google.com/web/search/" &amp; A1442 &amp; "," &amp; B1442</f>
        <v>https://earth.google.com/web/search/-30.9011154813068,-55.53363883499330</v>
      </c>
      <c r="H1442" s="12"/>
      <c r="I1442" s="12"/>
      <c r="J1442" s="12"/>
      <c r="K1442" s="12"/>
      <c r="L1442" s="12"/>
      <c r="M1442" s="12"/>
      <c r="N1442" s="12"/>
      <c r="O1442" s="12"/>
      <c r="P1442" s="12"/>
      <c r="Q1442" s="12"/>
      <c r="R1442" s="12"/>
      <c r="S1442" s="12"/>
      <c r="T1442" s="12"/>
      <c r="U1442" s="12"/>
      <c r="V1442" s="12"/>
      <c r="W1442" s="12"/>
      <c r="X1442" s="12"/>
      <c r="Y1442" s="12"/>
      <c r="Z1442" s="12"/>
      <c r="AA1442" s="12"/>
    </row>
    <row r="1443" ht="26.25" customHeight="1">
      <c r="A1443" s="26" t="s">
        <v>2890</v>
      </c>
      <c r="B1443" s="26" t="s">
        <v>2891</v>
      </c>
      <c r="C1443" s="14">
        <v>2.0</v>
      </c>
      <c r="D1443" s="23">
        <v>129.0</v>
      </c>
      <c r="E1443" s="23">
        <v>7.0</v>
      </c>
      <c r="F1443" s="27" t="str">
        <f t="array" ref="F1443">"https://www.google.com/maps/search/?api=1&amp;query=" &amp; A1443 &amp; "," &amp; B1443</f>
        <v>https://www.google.com/maps/search/?api=1&amp;query=-30.9010505202163,-55.53375735749580</v>
      </c>
      <c r="G1443" s="27" t="str">
        <f t="array" ref="G1443">"https://earth.google.com/web/search/" &amp; A1443 &amp; "," &amp; B1443</f>
        <v>https://earth.google.com/web/search/-30.9010505202163,-55.53375735749580</v>
      </c>
      <c r="H1443" s="12"/>
      <c r="I1443" s="12"/>
      <c r="J1443" s="12"/>
      <c r="K1443" s="12"/>
      <c r="L1443" s="12"/>
      <c r="M1443" s="12"/>
      <c r="N1443" s="12"/>
      <c r="O1443" s="12"/>
      <c r="P1443" s="12"/>
      <c r="Q1443" s="12"/>
      <c r="R1443" s="12"/>
      <c r="S1443" s="12"/>
      <c r="T1443" s="12"/>
      <c r="U1443" s="12"/>
      <c r="V1443" s="12"/>
      <c r="W1443" s="12"/>
      <c r="X1443" s="12"/>
      <c r="Y1443" s="12"/>
      <c r="Z1443" s="12"/>
      <c r="AA1443" s="12"/>
    </row>
    <row r="1444" ht="26.25" customHeight="1">
      <c r="A1444" s="26" t="s">
        <v>2892</v>
      </c>
      <c r="B1444" s="26" t="s">
        <v>2893</v>
      </c>
      <c r="C1444" s="14">
        <v>2.0</v>
      </c>
      <c r="D1444" s="23">
        <v>129.0</v>
      </c>
      <c r="E1444" s="23">
        <v>8.0</v>
      </c>
      <c r="F1444" s="27" t="str">
        <f t="array" ref="F1444">"https://www.google.com/maps/search/?api=1&amp;query=" &amp; A1444 &amp; "," &amp; B1444</f>
        <v>https://www.google.com/maps/search/?api=1&amp;query=-30.9009669094715,-55.53392329300760</v>
      </c>
      <c r="G1444" s="27" t="str">
        <f t="array" ref="G1444">"https://earth.google.com/web/search/" &amp; A1444 &amp; "," &amp; B1444</f>
        <v>https://earth.google.com/web/search/-30.9009669094715,-55.53392329300760</v>
      </c>
      <c r="H1444" s="12"/>
      <c r="I1444" s="12"/>
      <c r="J1444" s="12"/>
      <c r="K1444" s="12"/>
      <c r="L1444" s="12"/>
      <c r="M1444" s="12"/>
      <c r="N1444" s="12"/>
      <c r="O1444" s="12"/>
      <c r="P1444" s="12"/>
      <c r="Q1444" s="12"/>
      <c r="R1444" s="12"/>
      <c r="S1444" s="12"/>
      <c r="T1444" s="12"/>
      <c r="U1444" s="12"/>
      <c r="V1444" s="12"/>
      <c r="W1444" s="12"/>
      <c r="X1444" s="12"/>
      <c r="Y1444" s="12"/>
      <c r="Z1444" s="12"/>
      <c r="AA1444" s="12"/>
    </row>
    <row r="1445" ht="26.25" customHeight="1">
      <c r="A1445" s="26" t="s">
        <v>2894</v>
      </c>
      <c r="B1445" s="26" t="s">
        <v>2895</v>
      </c>
      <c r="C1445" s="14">
        <v>2.0</v>
      </c>
      <c r="D1445" s="23">
        <v>511.0</v>
      </c>
      <c r="E1445" s="23">
        <v>1.0</v>
      </c>
      <c r="F1445" s="27" t="str">
        <f t="array" ref="F1445">"https://www.google.com/maps/search/?api=1&amp;query=" &amp; A1445 &amp; "," &amp; B1445</f>
        <v>https://www.google.com/maps/search/?api=1&amp;query=-30.9012374500851,-55.53321898007680</v>
      </c>
      <c r="G1445" s="27" t="str">
        <f t="array" ref="G1445">"https://earth.google.com/web/search/" &amp; A1445 &amp; "," &amp; B1445</f>
        <v>https://earth.google.com/web/search/-30.9012374500851,-55.53321898007680</v>
      </c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/>
      <c r="S1445" s="12"/>
      <c r="T1445" s="12"/>
      <c r="U1445" s="12"/>
      <c r="V1445" s="12"/>
      <c r="W1445" s="12"/>
      <c r="X1445" s="12"/>
      <c r="Y1445" s="12"/>
      <c r="Z1445" s="12"/>
      <c r="AA1445" s="12"/>
    </row>
    <row r="1446" ht="26.25" customHeight="1">
      <c r="A1446" s="26" t="s">
        <v>2896</v>
      </c>
      <c r="B1446" s="26" t="s">
        <v>2897</v>
      </c>
      <c r="C1446" s="14">
        <v>2.0</v>
      </c>
      <c r="D1446" s="23">
        <v>511.0</v>
      </c>
      <c r="E1446" s="23">
        <v>2.0</v>
      </c>
      <c r="F1446" s="27" t="str">
        <f t="array" ref="F1446">"https://www.google.com/maps/search/?api=1&amp;query=" &amp; A1446 &amp; "," &amp; B1446</f>
        <v>https://www.google.com/maps/search/?api=1&amp;query=-30.9013279899005,-55.53324203951020</v>
      </c>
      <c r="G1446" s="27" t="str">
        <f t="array" ref="G1446">"https://earth.google.com/web/search/" &amp; A1446 &amp; "," &amp; B1446</f>
        <v>https://earth.google.com/web/search/-30.9013279899005,-55.53324203951020</v>
      </c>
      <c r="H1446" s="12"/>
      <c r="I1446" s="12"/>
      <c r="J1446" s="12"/>
      <c r="K1446" s="12"/>
      <c r="L1446" s="12"/>
      <c r="M1446" s="12"/>
      <c r="N1446" s="12"/>
      <c r="O1446" s="12"/>
      <c r="P1446" s="12"/>
      <c r="Q1446" s="12"/>
      <c r="R1446" s="12"/>
      <c r="S1446" s="12"/>
      <c r="T1446" s="12"/>
      <c r="U1446" s="12"/>
      <c r="V1446" s="12"/>
      <c r="W1446" s="12"/>
      <c r="X1446" s="12"/>
      <c r="Y1446" s="12"/>
      <c r="Z1446" s="12"/>
      <c r="AA1446" s="12"/>
    </row>
    <row r="1447" ht="26.25" customHeight="1">
      <c r="A1447" s="26" t="s">
        <v>2898</v>
      </c>
      <c r="B1447" s="26" t="s">
        <v>2899</v>
      </c>
      <c r="C1447" s="14">
        <v>2.0</v>
      </c>
      <c r="D1447" s="23">
        <v>511.0</v>
      </c>
      <c r="E1447" s="23">
        <v>3.0</v>
      </c>
      <c r="F1447" s="27" t="str">
        <f t="array" ref="F1447">"https://www.google.com/maps/search/?api=1&amp;query=" &amp; A1447 &amp; "," &amp; B1447</f>
        <v>https://www.google.com/maps/search/?api=1&amp;query=-30.9015357792097,-5.55334333366719</v>
      </c>
      <c r="G1447" s="27" t="str">
        <f t="array" ref="G1447">"https://earth.google.com/web/search/" &amp; A1447 &amp; "," &amp; B1447</f>
        <v>https://earth.google.com/web/search/-30.9015357792097,-5.55334333366719</v>
      </c>
      <c r="H1447" s="12"/>
      <c r="I1447" s="12"/>
      <c r="J1447" s="12"/>
      <c r="K1447" s="12"/>
      <c r="L1447" s="12"/>
      <c r="M1447" s="12"/>
      <c r="N1447" s="12"/>
      <c r="O1447" s="12"/>
      <c r="P1447" s="12"/>
      <c r="Q1447" s="12"/>
      <c r="R1447" s="12"/>
      <c r="S1447" s="12"/>
      <c r="T1447" s="12"/>
      <c r="U1447" s="12"/>
      <c r="V1447" s="12"/>
      <c r="W1447" s="12"/>
      <c r="X1447" s="12"/>
      <c r="Y1447" s="12"/>
      <c r="Z1447" s="12"/>
      <c r="AA1447" s="12"/>
    </row>
    <row r="1448" ht="26.25" customHeight="1">
      <c r="A1448" s="26" t="s">
        <v>2900</v>
      </c>
      <c r="B1448" s="26" t="s">
        <v>2901</v>
      </c>
      <c r="C1448" s="14">
        <v>2.0</v>
      </c>
      <c r="D1448" s="23">
        <v>511.0</v>
      </c>
      <c r="E1448" s="23">
        <v>4.0</v>
      </c>
      <c r="F1448" s="27" t="str">
        <f t="array" ref="F1448">"https://www.google.com/maps/search/?api=1&amp;query=" &amp; A1448 &amp; "," &amp; B1448</f>
        <v>https://www.google.com/maps/search/?api=1&amp;query=-30.9016181271913,-55.53350294640070</v>
      </c>
      <c r="G1448" s="27" t="str">
        <f t="array" ref="G1448">"https://earth.google.com/web/search/" &amp; A1448 &amp; "," &amp; B1448</f>
        <v>https://earth.google.com/web/search/-30.9016181271913,-55.53350294640070</v>
      </c>
      <c r="H1448" s="12"/>
      <c r="I1448" s="12"/>
      <c r="J1448" s="12"/>
      <c r="K1448" s="12"/>
      <c r="L1448" s="12"/>
      <c r="M1448" s="12"/>
      <c r="N1448" s="12"/>
      <c r="O1448" s="12"/>
      <c r="P1448" s="12"/>
      <c r="Q1448" s="12"/>
      <c r="R1448" s="12"/>
      <c r="S1448" s="12"/>
      <c r="T1448" s="12"/>
      <c r="U1448" s="12"/>
      <c r="V1448" s="12"/>
      <c r="W1448" s="12"/>
      <c r="X1448" s="12"/>
      <c r="Y1448" s="12"/>
      <c r="Z1448" s="12"/>
      <c r="AA1448" s="12"/>
    </row>
    <row r="1449" ht="26.25" customHeight="1">
      <c r="A1449" s="26" t="s">
        <v>2902</v>
      </c>
      <c r="B1449" s="26" t="s">
        <v>2903</v>
      </c>
      <c r="C1449" s="14">
        <v>2.0</v>
      </c>
      <c r="D1449" s="23">
        <v>511.0</v>
      </c>
      <c r="E1449" s="23">
        <v>5.0</v>
      </c>
      <c r="F1449" s="27" t="str">
        <f t="array" ref="F1449">"https://www.google.com/maps/search/?api=1&amp;query=" &amp; A1449 &amp; "," &amp; B1449</f>
        <v>https://www.google.com/maps/search/?api=1&amp;query=-30.9016684701374,-55.53352092552690</v>
      </c>
      <c r="G1449" s="27" t="str">
        <f t="array" ref="G1449">"https://earth.google.com/web/search/" &amp; A1449 &amp; "," &amp; B1449</f>
        <v>https://earth.google.com/web/search/-30.9016684701374,-55.53352092552690</v>
      </c>
      <c r="H1449" s="12"/>
      <c r="I1449" s="12"/>
      <c r="J1449" s="12"/>
      <c r="K1449" s="12"/>
      <c r="L1449" s="12"/>
      <c r="M1449" s="12"/>
      <c r="N1449" s="12"/>
      <c r="O1449" s="12"/>
      <c r="P1449" s="12"/>
      <c r="Q1449" s="12"/>
      <c r="R1449" s="12"/>
      <c r="S1449" s="12"/>
      <c r="T1449" s="12"/>
      <c r="U1449" s="12"/>
      <c r="V1449" s="12"/>
      <c r="W1449" s="12"/>
      <c r="X1449" s="12"/>
      <c r="Y1449" s="12"/>
      <c r="Z1449" s="12"/>
      <c r="AA1449" s="12"/>
    </row>
    <row r="1450" ht="26.25" customHeight="1">
      <c r="A1450" s="26" t="s">
        <v>2904</v>
      </c>
      <c r="B1450" s="26" t="s">
        <v>2905</v>
      </c>
      <c r="C1450" s="14">
        <v>2.0</v>
      </c>
      <c r="D1450" s="23">
        <v>511.0</v>
      </c>
      <c r="E1450" s="23">
        <v>6.0</v>
      </c>
      <c r="F1450" s="27" t="str">
        <f t="array" ref="F1450">"https://www.google.com/maps/search/?api=1&amp;query=" &amp; A1450 &amp; "," &amp; B1450</f>
        <v>https://www.google.com/maps/search/?api=1&amp;query=-30.9017593968861,-55.53360344329820</v>
      </c>
      <c r="G1450" s="27" t="str">
        <f t="array" ref="G1450">"https://earth.google.com/web/search/" &amp; A1450 &amp; "," &amp; B1450</f>
        <v>https://earth.google.com/web/search/-30.9017593968861,-55.53360344329820</v>
      </c>
      <c r="H1450" s="12"/>
      <c r="I1450" s="12"/>
      <c r="J1450" s="12"/>
      <c r="K1450" s="12"/>
      <c r="L1450" s="12"/>
      <c r="M1450" s="12"/>
      <c r="N1450" s="12"/>
      <c r="O1450" s="12"/>
      <c r="P1450" s="12"/>
      <c r="Q1450" s="12"/>
      <c r="R1450" s="12"/>
      <c r="S1450" s="12"/>
      <c r="T1450" s="12"/>
      <c r="U1450" s="12"/>
      <c r="V1450" s="12"/>
      <c r="W1450" s="12"/>
      <c r="X1450" s="12"/>
      <c r="Y1450" s="12"/>
      <c r="Z1450" s="12"/>
      <c r="AA1450" s="12"/>
    </row>
    <row r="1451" ht="26.25" customHeight="1">
      <c r="A1451" s="26" t="s">
        <v>2906</v>
      </c>
      <c r="B1451" s="26" t="s">
        <v>2907</v>
      </c>
      <c r="C1451" s="14">
        <v>2.0</v>
      </c>
      <c r="D1451" s="23">
        <v>511.0</v>
      </c>
      <c r="E1451" s="23">
        <v>7.0</v>
      </c>
      <c r="F1451" s="27" t="str">
        <f t="array" ref="F1451">"https://www.google.com/maps/search/?api=1&amp;query=" &amp; A1451 &amp; "," &amp; B1451</f>
        <v>https://www.google.com/maps/search/?api=1&amp;query=-30.9017903466187,-55.53364332279510</v>
      </c>
      <c r="G1451" s="27" t="str">
        <f t="array" ref="G1451">"https://earth.google.com/web/search/" &amp; A1451 &amp; "," &amp; B1451</f>
        <v>https://earth.google.com/web/search/-30.9017903466187,-55.53364332279510</v>
      </c>
      <c r="H1451" s="12"/>
      <c r="I1451" s="12"/>
      <c r="J1451" s="12"/>
      <c r="K1451" s="12"/>
      <c r="L1451" s="12"/>
      <c r="M1451" s="12"/>
      <c r="N1451" s="12"/>
      <c r="O1451" s="12"/>
      <c r="P1451" s="12"/>
      <c r="Q1451" s="12"/>
      <c r="R1451" s="12"/>
      <c r="S1451" s="12"/>
      <c r="T1451" s="12"/>
      <c r="U1451" s="12"/>
      <c r="V1451" s="12"/>
      <c r="W1451" s="12"/>
      <c r="X1451" s="12"/>
      <c r="Y1451" s="12"/>
      <c r="Z1451" s="12"/>
      <c r="AA1451" s="12"/>
    </row>
    <row r="1452" ht="26.25" customHeight="1">
      <c r="A1452" s="26" t="s">
        <v>2908</v>
      </c>
      <c r="B1452" s="26" t="s">
        <v>2909</v>
      </c>
      <c r="C1452" s="14">
        <v>2.0</v>
      </c>
      <c r="D1452" s="23">
        <v>511.0</v>
      </c>
      <c r="E1452" s="23">
        <v>8.0</v>
      </c>
      <c r="F1452" s="27" t="str">
        <f t="array" ref="F1452">"https://www.google.com/maps/search/?api=1&amp;query=" &amp; A1452 &amp; "," &amp; B1452</f>
        <v>https://www.google.com/maps/search/?api=1&amp;query=-30.9018347548460,-55.53367199709160</v>
      </c>
      <c r="G1452" s="27" t="str">
        <f t="array" ref="G1452">"https://earth.google.com/web/search/" &amp; A1452 &amp; "," &amp; B1452</f>
        <v>https://earth.google.com/web/search/-30.9018347548460,-55.53367199709160</v>
      </c>
      <c r="H1452" s="12"/>
      <c r="I1452" s="12"/>
      <c r="J1452" s="12"/>
      <c r="K1452" s="12"/>
      <c r="L1452" s="12"/>
      <c r="M1452" s="12"/>
      <c r="N1452" s="12"/>
      <c r="O1452" s="12"/>
      <c r="P1452" s="12"/>
      <c r="Q1452" s="12"/>
      <c r="R1452" s="12"/>
      <c r="S1452" s="12"/>
      <c r="T1452" s="12"/>
      <c r="U1452" s="12"/>
      <c r="V1452" s="12"/>
      <c r="W1452" s="12"/>
      <c r="X1452" s="12"/>
      <c r="Y1452" s="12"/>
      <c r="Z1452" s="12"/>
      <c r="AA1452" s="12"/>
    </row>
    <row r="1453" ht="26.25" customHeight="1">
      <c r="A1453" s="26" t="s">
        <v>2910</v>
      </c>
      <c r="B1453" s="26" t="s">
        <v>2911</v>
      </c>
      <c r="C1453" s="14">
        <v>2.0</v>
      </c>
      <c r="D1453" s="23">
        <v>511.0</v>
      </c>
      <c r="E1453" s="23">
        <v>9.0</v>
      </c>
      <c r="F1453" s="27" t="str">
        <f t="array" ref="F1453">"https://www.google.com/maps/search/?api=1&amp;query=" &amp; A1453 &amp; "," &amp; B1453</f>
        <v>https://www.google.com/maps/search/?api=1&amp;query=-30.9020892077087,-55.53367695127200</v>
      </c>
      <c r="G1453" s="27" t="str">
        <f t="array" ref="G1453">"https://earth.google.com/web/search/" &amp; A1453 &amp; "," &amp; B1453</f>
        <v>https://earth.google.com/web/search/-30.9020892077087,-55.53367695127200</v>
      </c>
      <c r="H1453" s="12"/>
      <c r="I1453" s="12"/>
      <c r="J1453" s="12"/>
      <c r="K1453" s="12"/>
      <c r="L1453" s="12"/>
      <c r="M1453" s="12"/>
      <c r="N1453" s="12"/>
      <c r="O1453" s="12"/>
      <c r="P1453" s="12"/>
      <c r="Q1453" s="12"/>
      <c r="R1453" s="12"/>
      <c r="S1453" s="12"/>
      <c r="T1453" s="12"/>
      <c r="U1453" s="12"/>
      <c r="V1453" s="12"/>
      <c r="W1453" s="12"/>
      <c r="X1453" s="12"/>
      <c r="Y1453" s="12"/>
      <c r="Z1453" s="12"/>
      <c r="AA1453" s="12"/>
    </row>
    <row r="1454" ht="26.25" customHeight="1">
      <c r="A1454" s="26" t="s">
        <v>2912</v>
      </c>
      <c r="B1454" s="26" t="s">
        <v>2913</v>
      </c>
      <c r="C1454" s="14">
        <v>2.0</v>
      </c>
      <c r="D1454" s="23">
        <v>511.0</v>
      </c>
      <c r="E1454" s="23">
        <v>10.0</v>
      </c>
      <c r="F1454" s="27" t="str">
        <f t="array" ref="F1454">"https://www.google.com/maps/search/?api=1&amp;query=" &amp; A1454 &amp; "," &amp; B1454</f>
        <v>https://www.google.com/maps/search/?api=1&amp;query=-30.9021392051064,-55.53362274481660</v>
      </c>
      <c r="G1454" s="27" t="str">
        <f t="array" ref="G1454">"https://earth.google.com/web/search/" &amp; A1454 &amp; "," &amp; B1454</f>
        <v>https://earth.google.com/web/search/-30.9021392051064,-55.53362274481660</v>
      </c>
      <c r="H1454" s="12"/>
      <c r="I1454" s="12"/>
      <c r="J1454" s="12"/>
      <c r="K1454" s="12"/>
      <c r="L1454" s="12"/>
      <c r="M1454" s="12"/>
      <c r="N1454" s="12"/>
      <c r="O1454" s="12"/>
      <c r="P1454" s="12"/>
      <c r="Q1454" s="12"/>
      <c r="R1454" s="12"/>
      <c r="S1454" s="12"/>
      <c r="T1454" s="12"/>
      <c r="U1454" s="12"/>
      <c r="V1454" s="12"/>
      <c r="W1454" s="12"/>
      <c r="X1454" s="12"/>
      <c r="Y1454" s="12"/>
      <c r="Z1454" s="12"/>
      <c r="AA1454" s="12"/>
    </row>
    <row r="1455" ht="26.25" customHeight="1">
      <c r="A1455" s="26" t="s">
        <v>2914</v>
      </c>
      <c r="B1455" s="26" t="s">
        <v>2915</v>
      </c>
      <c r="C1455" s="14">
        <v>2.0</v>
      </c>
      <c r="D1455" s="23">
        <v>511.0</v>
      </c>
      <c r="E1455" s="23">
        <v>11.0</v>
      </c>
      <c r="F1455" s="27" t="str">
        <f t="array" ref="F1455">"https://www.google.com/maps/search/?api=1&amp;query=" &amp; A1455 &amp; "," &amp; B1455</f>
        <v>https://www.google.com/maps/search/?api=1&amp;query=-30.9021703739883,-55.53355584428920</v>
      </c>
      <c r="G1455" s="27" t="str">
        <f t="array" ref="G1455">"https://earth.google.com/web/search/" &amp; A1455 &amp; "," &amp; B1455</f>
        <v>https://earth.google.com/web/search/-30.9021703739883,-55.53355584428920</v>
      </c>
      <c r="H1455" s="12"/>
      <c r="I1455" s="12"/>
      <c r="J1455" s="12"/>
      <c r="K1455" s="12"/>
      <c r="L1455" s="12"/>
      <c r="M1455" s="12"/>
      <c r="N1455" s="12"/>
      <c r="O1455" s="12"/>
      <c r="P1455" s="12"/>
      <c r="Q1455" s="12"/>
      <c r="R1455" s="12"/>
      <c r="S1455" s="12"/>
      <c r="T1455" s="12"/>
      <c r="U1455" s="12"/>
      <c r="V1455" s="12"/>
      <c r="W1455" s="12"/>
      <c r="X1455" s="12"/>
      <c r="Y1455" s="12"/>
      <c r="Z1455" s="12"/>
      <c r="AA1455" s="12"/>
    </row>
    <row r="1456" ht="26.25" customHeight="1">
      <c r="A1456" s="26" t="s">
        <v>2916</v>
      </c>
      <c r="B1456" s="26" t="s">
        <v>2917</v>
      </c>
      <c r="C1456" s="14">
        <v>2.0</v>
      </c>
      <c r="D1456" s="23">
        <v>511.0</v>
      </c>
      <c r="E1456" s="23">
        <v>12.0</v>
      </c>
      <c r="F1456" s="27" t="str">
        <f t="array" ref="F1456">"https://www.google.com/maps/search/?api=1&amp;query=" &amp; A1456 &amp; "," &amp; B1456</f>
        <v>https://www.google.com/maps/search/?api=1&amp;query=-30.9022688610170,-55.53332120148750</v>
      </c>
      <c r="G1456" s="27" t="str">
        <f t="array" ref="G1456">"https://earth.google.com/web/search/" &amp; A1456 &amp; "," &amp; B1456</f>
        <v>https://earth.google.com/web/search/-30.9022688610170,-55.53332120148750</v>
      </c>
      <c r="H1456" s="12"/>
      <c r="I1456" s="12"/>
      <c r="J1456" s="12"/>
      <c r="K1456" s="12"/>
      <c r="L1456" s="12"/>
      <c r="M1456" s="12"/>
      <c r="N1456" s="12"/>
      <c r="O1456" s="12"/>
      <c r="P1456" s="12"/>
      <c r="Q1456" s="12"/>
      <c r="R1456" s="12"/>
      <c r="S1456" s="12"/>
      <c r="T1456" s="12"/>
      <c r="U1456" s="12"/>
      <c r="V1456" s="12"/>
      <c r="W1456" s="12"/>
      <c r="X1456" s="12"/>
      <c r="Y1456" s="12"/>
      <c r="Z1456" s="12"/>
      <c r="AA1456" s="12"/>
    </row>
    <row r="1457" ht="26.25" customHeight="1">
      <c r="A1457" s="26" t="s">
        <v>2918</v>
      </c>
      <c r="B1457" s="26" t="s">
        <v>2919</v>
      </c>
      <c r="C1457" s="14">
        <v>2.0</v>
      </c>
      <c r="D1457" s="23">
        <v>511.0</v>
      </c>
      <c r="E1457" s="23">
        <v>13.0</v>
      </c>
      <c r="F1457" s="27" t="str">
        <f t="array" ref="F1457">"https://www.google.com/maps/search/?api=1&amp;query=" &amp; A1457 &amp; "," &amp; B1457</f>
        <v>https://www.google.com/maps/search/?api=1&amp;query=-30.9023464836447,-55.53320707847770</v>
      </c>
      <c r="G1457" s="27" t="str">
        <f t="array" ref="G1457">"https://earth.google.com/web/search/" &amp; A1457 &amp; "," &amp; B1457</f>
        <v>https://earth.google.com/web/search/-30.9023464836447,-55.53320707847770</v>
      </c>
      <c r="H1457" s="12"/>
      <c r="I1457" s="12"/>
      <c r="J1457" s="12"/>
      <c r="K1457" s="12"/>
      <c r="L1457" s="12"/>
      <c r="M1457" s="12"/>
      <c r="N1457" s="12"/>
      <c r="O1457" s="12"/>
      <c r="P1457" s="12"/>
      <c r="Q1457" s="12"/>
      <c r="R1457" s="12"/>
      <c r="S1457" s="12"/>
      <c r="T1457" s="12"/>
      <c r="U1457" s="12"/>
      <c r="V1457" s="12"/>
      <c r="W1457" s="12"/>
      <c r="X1457" s="12"/>
      <c r="Y1457" s="12"/>
      <c r="Z1457" s="12"/>
      <c r="AA1457" s="12"/>
    </row>
    <row r="1458" ht="26.25" customHeight="1">
      <c r="A1458" s="26" t="s">
        <v>2920</v>
      </c>
      <c r="B1458" s="26" t="s">
        <v>2921</v>
      </c>
      <c r="C1458" s="14">
        <v>2.0</v>
      </c>
      <c r="D1458" s="23">
        <v>511.0</v>
      </c>
      <c r="E1458" s="23">
        <v>14.0</v>
      </c>
      <c r="F1458" s="27" t="str">
        <f t="array" ref="F1458">"https://www.google.com/maps/search/?api=1&amp;query=" &amp; A1458 &amp; "," &amp; B1458</f>
        <v>https://www.google.com/maps/search/?api=1&amp;query=-30.9023503631869,-55.53306637034750</v>
      </c>
      <c r="G1458" s="27" t="str">
        <f t="array" ref="G1458">"https://earth.google.com/web/search/" &amp; A1458 &amp; "," &amp; B1458</f>
        <v>https://earth.google.com/web/search/-30.9023503631869,-55.53306637034750</v>
      </c>
      <c r="H1458" s="12"/>
      <c r="I1458" s="12"/>
      <c r="J1458" s="12"/>
      <c r="K1458" s="12"/>
      <c r="L1458" s="12"/>
      <c r="M1458" s="12"/>
      <c r="N1458" s="12"/>
      <c r="O1458" s="12"/>
      <c r="P1458" s="12"/>
      <c r="Q1458" s="12"/>
      <c r="R1458" s="12"/>
      <c r="S1458" s="12"/>
      <c r="T1458" s="12"/>
      <c r="U1458" s="12"/>
      <c r="V1458" s="12"/>
      <c r="W1458" s="12"/>
      <c r="X1458" s="12"/>
      <c r="Y1458" s="12"/>
      <c r="Z1458" s="12"/>
      <c r="AA1458" s="12"/>
    </row>
    <row r="1459" ht="26.25" customHeight="1">
      <c r="A1459" s="26" t="s">
        <v>2922</v>
      </c>
      <c r="B1459" s="26" t="s">
        <v>2923</v>
      </c>
      <c r="C1459" s="14">
        <v>2.0</v>
      </c>
      <c r="D1459" s="23">
        <v>511.0</v>
      </c>
      <c r="E1459" s="23">
        <v>15.0</v>
      </c>
      <c r="F1459" s="27" t="str">
        <f t="array" ref="F1459">"https://www.google.com/maps/search/?api=1&amp;query=" &amp; A1459 &amp; "," &amp; B1459</f>
        <v>https://www.google.com/maps/search/?api=1&amp;query=-30.9020275343548,-55.53296389601130</v>
      </c>
      <c r="G1459" s="27" t="str">
        <f t="array" ref="G1459">"https://earth.google.com/web/search/" &amp; A1459 &amp; "," &amp; B1459</f>
        <v>https://earth.google.com/web/search/-30.9020275343548,-55.53296389601130</v>
      </c>
      <c r="H1459" s="12"/>
      <c r="I1459" s="12"/>
      <c r="J1459" s="12"/>
      <c r="K1459" s="12"/>
      <c r="L1459" s="12"/>
      <c r="M1459" s="12"/>
      <c r="N1459" s="12"/>
      <c r="O1459" s="12"/>
      <c r="P1459" s="12"/>
      <c r="Q1459" s="12"/>
      <c r="R1459" s="12"/>
      <c r="S1459" s="12"/>
      <c r="T1459" s="12"/>
      <c r="U1459" s="12"/>
      <c r="V1459" s="12"/>
      <c r="W1459" s="12"/>
      <c r="X1459" s="12"/>
      <c r="Y1459" s="12"/>
      <c r="Z1459" s="12"/>
      <c r="AA1459" s="12"/>
    </row>
    <row r="1460" ht="26.25" customHeight="1">
      <c r="A1460" s="26" t="s">
        <v>2924</v>
      </c>
      <c r="B1460" s="26" t="s">
        <v>2925</v>
      </c>
      <c r="C1460" s="14">
        <v>2.0</v>
      </c>
      <c r="D1460" s="23">
        <v>511.0</v>
      </c>
      <c r="E1460" s="23">
        <v>16.0</v>
      </c>
      <c r="F1460" s="27" t="str">
        <f t="array" ref="F1460">"https://www.google.com/maps/search/?api=1&amp;query=" &amp; A1460 &amp; "," &amp; B1460</f>
        <v>https://www.google.com/maps/search/?api=1&amp;query=-30.9019607466866,-55.53294376461820</v>
      </c>
      <c r="G1460" s="27" t="str">
        <f t="array" ref="G1460">"https://earth.google.com/web/search/" &amp; A1460 &amp; "," &amp; B1460</f>
        <v>https://earth.google.com/web/search/-30.9019607466866,-55.53294376461820</v>
      </c>
      <c r="H1460" s="12"/>
      <c r="I1460" s="12"/>
      <c r="J1460" s="12"/>
      <c r="K1460" s="12"/>
      <c r="L1460" s="12"/>
      <c r="M1460" s="12"/>
      <c r="N1460" s="12"/>
      <c r="O1460" s="12"/>
      <c r="P1460" s="12"/>
      <c r="Q1460" s="12"/>
      <c r="R1460" s="12"/>
      <c r="S1460" s="12"/>
      <c r="T1460" s="12"/>
      <c r="U1460" s="12"/>
      <c r="V1460" s="12"/>
      <c r="W1460" s="12"/>
      <c r="X1460" s="12"/>
      <c r="Y1460" s="12"/>
      <c r="Z1460" s="12"/>
      <c r="AA1460" s="12"/>
    </row>
    <row r="1461" ht="26.25" customHeight="1">
      <c r="A1461" s="26" t="s">
        <v>2926</v>
      </c>
      <c r="B1461" s="26" t="s">
        <v>2927</v>
      </c>
      <c r="C1461" s="14">
        <v>2.0</v>
      </c>
      <c r="D1461" s="23">
        <v>511.0</v>
      </c>
      <c r="E1461" s="23">
        <v>17.0</v>
      </c>
      <c r="F1461" s="27" t="str">
        <f t="array" ref="F1461">"https://www.google.com/maps/search/?api=1&amp;query=" &amp; A1461 &amp; "," &amp; B1461</f>
        <v>https://www.google.com/maps/search/?api=1&amp;query=-30.9017248623366,-55.53304404434100</v>
      </c>
      <c r="G1461" s="27" t="str">
        <f t="array" ref="G1461">"https://earth.google.com/web/search/" &amp; A1461 &amp; "," &amp; B1461</f>
        <v>https://earth.google.com/web/search/-30.9017248623366,-55.53304404434100</v>
      </c>
      <c r="H1461" s="12"/>
      <c r="I1461" s="12"/>
      <c r="J1461" s="12"/>
      <c r="K1461" s="12"/>
      <c r="L1461" s="12"/>
      <c r="M1461" s="12"/>
      <c r="N1461" s="12"/>
      <c r="O1461" s="12"/>
      <c r="P1461" s="12"/>
      <c r="Q1461" s="12"/>
      <c r="R1461" s="12"/>
      <c r="S1461" s="12"/>
      <c r="T1461" s="12"/>
      <c r="U1461" s="12"/>
      <c r="V1461" s="12"/>
      <c r="W1461" s="12"/>
      <c r="X1461" s="12"/>
      <c r="Y1461" s="12"/>
      <c r="Z1461" s="12"/>
      <c r="AA1461" s="12"/>
    </row>
    <row r="1462" ht="26.25" customHeight="1">
      <c r="A1462" s="26" t="s">
        <v>2928</v>
      </c>
      <c r="B1462" s="26" t="s">
        <v>2929</v>
      </c>
      <c r="C1462" s="14">
        <v>2.0</v>
      </c>
      <c r="D1462" s="23">
        <v>511.0</v>
      </c>
      <c r="E1462" s="23">
        <v>18.0</v>
      </c>
      <c r="F1462" s="27" t="str">
        <f t="array" ref="F1462">"https://www.google.com/maps/search/?api=1&amp;query=" &amp; A1462 &amp; "," &amp; B1462</f>
        <v>https://www.google.com/maps/search/?api=1&amp;query=-30.9016788870265,-55.53301292929060</v>
      </c>
      <c r="G1462" s="27" t="str">
        <f t="array" ref="G1462">"https://earth.google.com/web/search/" &amp; A1462 &amp; "," &amp; B1462</f>
        <v>https://earth.google.com/web/search/-30.9016788870265,-55.53301292929060</v>
      </c>
      <c r="H1462" s="12"/>
      <c r="I1462" s="12"/>
      <c r="J1462" s="12"/>
      <c r="K1462" s="12"/>
      <c r="L1462" s="12"/>
      <c r="M1462" s="12"/>
      <c r="N1462" s="12"/>
      <c r="O1462" s="12"/>
      <c r="P1462" s="12"/>
      <c r="Q1462" s="12"/>
      <c r="R1462" s="12"/>
      <c r="S1462" s="12"/>
      <c r="T1462" s="12"/>
      <c r="U1462" s="12"/>
      <c r="V1462" s="12"/>
      <c r="W1462" s="12"/>
      <c r="X1462" s="12"/>
      <c r="Y1462" s="12"/>
      <c r="Z1462" s="12"/>
      <c r="AA1462" s="12"/>
    </row>
    <row r="1463" ht="26.25" customHeight="1">
      <c r="A1463" s="26" t="s">
        <v>2930</v>
      </c>
      <c r="B1463" s="26" t="s">
        <v>2931</v>
      </c>
      <c r="C1463" s="14">
        <v>2.0</v>
      </c>
      <c r="D1463" s="23">
        <v>511.0</v>
      </c>
      <c r="E1463" s="23">
        <v>19.0</v>
      </c>
      <c r="F1463" s="27" t="str">
        <f t="array" ref="F1463">"https://www.google.com/maps/search/?api=1&amp;query=" &amp; A1463 &amp; "," &amp; B1463</f>
        <v>https://www.google.com/maps/search/?api=1&amp;query=-30.9014326525930,-55.53306887353250</v>
      </c>
      <c r="G1463" s="27" t="str">
        <f t="array" ref="G1463">"https://earth.google.com/web/search/" &amp; A1463 &amp; "," &amp; B1463</f>
        <v>https://earth.google.com/web/search/-30.9014326525930,-55.53306887353250</v>
      </c>
      <c r="H1463" s="12"/>
      <c r="I1463" s="12"/>
      <c r="J1463" s="12"/>
      <c r="K1463" s="12"/>
      <c r="L1463" s="12"/>
      <c r="M1463" s="12"/>
      <c r="N1463" s="12"/>
      <c r="O1463" s="12"/>
      <c r="P1463" s="12"/>
      <c r="Q1463" s="12"/>
      <c r="R1463" s="12"/>
      <c r="S1463" s="12"/>
      <c r="T1463" s="12"/>
      <c r="U1463" s="12"/>
      <c r="V1463" s="12"/>
      <c r="W1463" s="12"/>
      <c r="X1463" s="12"/>
      <c r="Y1463" s="12"/>
      <c r="Z1463" s="12"/>
      <c r="AA1463" s="12"/>
    </row>
    <row r="1464" ht="26.25" customHeight="1">
      <c r="A1464" s="26" t="s">
        <v>2932</v>
      </c>
      <c r="B1464" s="26" t="s">
        <v>2933</v>
      </c>
      <c r="C1464" s="14">
        <v>2.0</v>
      </c>
      <c r="D1464" s="23">
        <v>181.0</v>
      </c>
      <c r="E1464" s="23">
        <v>1.0</v>
      </c>
      <c r="F1464" s="27" t="str">
        <f t="array" ref="F1464">"https://www.google.com/maps/search/?api=1&amp;query=" &amp; A1464 &amp; "," &amp; B1464</f>
        <v>https://www.google.com/maps/search/?api=1&amp;query=-30.9011537573977,-55.53568847246110</v>
      </c>
      <c r="G1464" s="27" t="str">
        <f t="array" ref="G1464">"https://earth.google.com/web/search/" &amp; A1464 &amp; "," &amp; B1464</f>
        <v>https://earth.google.com/web/search/-30.9011537573977,-55.53568847246110</v>
      </c>
      <c r="H1464" s="12"/>
      <c r="I1464" s="12"/>
      <c r="J1464" s="12"/>
      <c r="K1464" s="12"/>
      <c r="L1464" s="12"/>
      <c r="M1464" s="12"/>
      <c r="N1464" s="12"/>
      <c r="O1464" s="12"/>
      <c r="P1464" s="12"/>
      <c r="Q1464" s="12"/>
      <c r="R1464" s="12"/>
      <c r="S1464" s="12"/>
      <c r="T1464" s="12"/>
      <c r="U1464" s="12"/>
      <c r="V1464" s="12"/>
      <c r="W1464" s="12"/>
      <c r="X1464" s="12"/>
      <c r="Y1464" s="12"/>
      <c r="Z1464" s="12"/>
      <c r="AA1464" s="12"/>
    </row>
    <row r="1465" ht="26.25" customHeight="1">
      <c r="A1465" s="26" t="s">
        <v>2934</v>
      </c>
      <c r="B1465" s="26" t="s">
        <v>2935</v>
      </c>
      <c r="C1465" s="14">
        <v>2.0</v>
      </c>
      <c r="D1465" s="23">
        <v>181.0</v>
      </c>
      <c r="E1465" s="23">
        <v>2.0</v>
      </c>
      <c r="F1465" s="27" t="str">
        <f t="array" ref="F1465">"https://www.google.com/maps/search/?api=1&amp;query=" &amp; A1465 &amp; "," &amp; B1465</f>
        <v>https://www.google.com/maps/search/?api=1&amp;query=-30.9011998513331,-55.53571539785280</v>
      </c>
      <c r="G1465" s="27" t="str">
        <f t="array" ref="G1465">"https://earth.google.com/web/search/" &amp; A1465 &amp; "," &amp; B1465</f>
        <v>https://earth.google.com/web/search/-30.9011998513331,-55.53571539785280</v>
      </c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/>
      <c r="S1465" s="12"/>
      <c r="T1465" s="12"/>
      <c r="U1465" s="12"/>
      <c r="V1465" s="12"/>
      <c r="W1465" s="12"/>
      <c r="X1465" s="12"/>
      <c r="Y1465" s="12"/>
      <c r="Z1465" s="12"/>
      <c r="AA1465" s="12"/>
    </row>
    <row r="1466" ht="26.25" customHeight="1">
      <c r="A1466" s="26" t="s">
        <v>2936</v>
      </c>
      <c r="B1466" s="26" t="s">
        <v>2937</v>
      </c>
      <c r="C1466" s="14">
        <v>2.0</v>
      </c>
      <c r="D1466" s="23">
        <v>181.0</v>
      </c>
      <c r="E1466" s="23">
        <v>3.0</v>
      </c>
      <c r="F1466" s="27" t="str">
        <f t="array" ref="F1466">"https://www.google.com/maps/search/?api=1&amp;query=" &amp; A1466 &amp; "," &amp; B1466</f>
        <v>https://www.google.com/maps/search/?api=1&amp;query=-30.9012744773496,-55.53577649040420</v>
      </c>
      <c r="G1466" s="27" t="str">
        <f t="array" ref="G1466">"https://earth.google.com/web/search/" &amp; A1466 &amp; "," &amp; B1466</f>
        <v>https://earth.google.com/web/search/-30.9012744773496,-55.53577649040420</v>
      </c>
      <c r="H1466" s="12"/>
      <c r="I1466" s="12"/>
      <c r="J1466" s="12"/>
      <c r="K1466" s="12"/>
      <c r="L1466" s="12"/>
      <c r="M1466" s="12"/>
      <c r="N1466" s="12"/>
      <c r="O1466" s="12"/>
      <c r="P1466" s="12"/>
      <c r="Q1466" s="12"/>
      <c r="R1466" s="12"/>
      <c r="S1466" s="12"/>
      <c r="T1466" s="12"/>
      <c r="U1466" s="12"/>
      <c r="V1466" s="12"/>
      <c r="W1466" s="12"/>
      <c r="X1466" s="12"/>
      <c r="Y1466" s="12"/>
      <c r="Z1466" s="12"/>
      <c r="AA1466" s="12"/>
    </row>
    <row r="1467" ht="26.25" customHeight="1">
      <c r="A1467" s="26" t="s">
        <v>2938</v>
      </c>
      <c r="B1467" s="26" t="s">
        <v>2939</v>
      </c>
      <c r="C1467" s="14">
        <v>2.0</v>
      </c>
      <c r="D1467" s="23">
        <v>181.0</v>
      </c>
      <c r="E1467" s="23">
        <v>4.0</v>
      </c>
      <c r="F1467" s="27" t="str">
        <f t="array" ref="F1467">"https://www.google.com/maps/search/?api=1&amp;query=" &amp; A1467 &amp; "," &amp; B1467</f>
        <v>https://www.google.com/maps/search/?api=1&amp;query=-30.9015504630374,-55.53597809669910</v>
      </c>
      <c r="G1467" s="27" t="str">
        <f t="array" ref="G1467">"https://earth.google.com/web/search/" &amp; A1467 &amp; "," &amp; B1467</f>
        <v>https://earth.google.com/web/search/-30.9015504630374,-55.53597809669910</v>
      </c>
      <c r="H1467" s="12"/>
      <c r="I1467" s="12"/>
      <c r="J1467" s="12"/>
      <c r="K1467" s="12"/>
      <c r="L1467" s="12"/>
      <c r="M1467" s="12"/>
      <c r="N1467" s="12"/>
      <c r="O1467" s="12"/>
      <c r="P1467" s="12"/>
      <c r="Q1467" s="12"/>
      <c r="R1467" s="12"/>
      <c r="S1467" s="12"/>
      <c r="T1467" s="12"/>
      <c r="U1467" s="12"/>
      <c r="V1467" s="12"/>
      <c r="W1467" s="12"/>
      <c r="X1467" s="12"/>
      <c r="Y1467" s="12"/>
      <c r="Z1467" s="12"/>
      <c r="AA1467" s="12"/>
    </row>
    <row r="1468" ht="26.25" customHeight="1">
      <c r="A1468" s="26" t="s">
        <v>2940</v>
      </c>
      <c r="B1468" s="26" t="s">
        <v>2941</v>
      </c>
      <c r="C1468" s="14">
        <v>2.0</v>
      </c>
      <c r="D1468" s="23">
        <v>181.0</v>
      </c>
      <c r="E1468" s="23">
        <v>5.0</v>
      </c>
      <c r="F1468" s="27" t="str">
        <f t="array" ref="F1468">"https://www.google.com/maps/search/?api=1&amp;query=" &amp; A1468 &amp; "," &amp; B1468</f>
        <v>https://www.google.com/maps/search/?api=1&amp;query=-30.9015983787743,-55.53601324819100</v>
      </c>
      <c r="G1468" s="27" t="str">
        <f t="array" ref="G1468">"https://earth.google.com/web/search/" &amp; A1468 &amp; "," &amp; B1468</f>
        <v>https://earth.google.com/web/search/-30.9015983787743,-55.53601324819100</v>
      </c>
      <c r="H1468" s="12"/>
      <c r="I1468" s="12"/>
      <c r="J1468" s="12"/>
      <c r="K1468" s="12"/>
      <c r="L1468" s="12"/>
      <c r="M1468" s="12"/>
      <c r="N1468" s="12"/>
      <c r="O1468" s="12"/>
      <c r="P1468" s="12"/>
      <c r="Q1468" s="12"/>
      <c r="R1468" s="12"/>
      <c r="S1468" s="12"/>
      <c r="T1468" s="12"/>
      <c r="U1468" s="12"/>
      <c r="V1468" s="12"/>
      <c r="W1468" s="12"/>
      <c r="X1468" s="12"/>
      <c r="Y1468" s="12"/>
      <c r="Z1468" s="12"/>
      <c r="AA1468" s="12"/>
    </row>
    <row r="1469" ht="26.25" customHeight="1">
      <c r="A1469" s="26" t="s">
        <v>2942</v>
      </c>
      <c r="B1469" s="26" t="s">
        <v>2943</v>
      </c>
      <c r="C1469" s="14">
        <v>2.0</v>
      </c>
      <c r="D1469" s="23">
        <v>181.0</v>
      </c>
      <c r="E1469" s="23">
        <v>6.0</v>
      </c>
      <c r="F1469" s="27" t="str">
        <f t="array" ref="F1469">"https://www.google.com/maps/search/?api=1&amp;query=" &amp; A1469 &amp; "," &amp; B1469</f>
        <v>https://www.google.com/maps/search/?api=1&amp;query=-30.9016604268627,-55.53606549369640</v>
      </c>
      <c r="G1469" s="27" t="str">
        <f t="array" ref="G1469">"https://earth.google.com/web/search/" &amp; A1469 &amp; "," &amp; B1469</f>
        <v>https://earth.google.com/web/search/-30.9016604268627,-55.53606549369640</v>
      </c>
      <c r="H1469" s="12"/>
      <c r="I1469" s="12"/>
      <c r="J1469" s="12"/>
      <c r="K1469" s="12"/>
      <c r="L1469" s="12"/>
      <c r="M1469" s="12"/>
      <c r="N1469" s="12"/>
      <c r="O1469" s="12"/>
      <c r="P1469" s="12"/>
      <c r="Q1469" s="12"/>
      <c r="R1469" s="12"/>
      <c r="S1469" s="12"/>
      <c r="T1469" s="12"/>
      <c r="U1469" s="12"/>
      <c r="V1469" s="12"/>
      <c r="W1469" s="12"/>
      <c r="X1469" s="12"/>
      <c r="Y1469" s="12"/>
      <c r="Z1469" s="12"/>
      <c r="AA1469" s="12"/>
    </row>
    <row r="1470" ht="26.25" customHeight="1">
      <c r="A1470" s="26" t="s">
        <v>2944</v>
      </c>
      <c r="B1470" s="26" t="s">
        <v>2945</v>
      </c>
      <c r="C1470" s="14">
        <v>2.0</v>
      </c>
      <c r="D1470" s="23">
        <v>181.0</v>
      </c>
      <c r="E1470" s="23">
        <v>7.0</v>
      </c>
      <c r="F1470" s="27" t="str">
        <f t="array" ref="F1470">"https://www.google.com/maps/search/?api=1&amp;query=" &amp; A1470 &amp; "," &amp; B1470</f>
        <v>https://www.google.com/maps/search/?api=1&amp;query=-30.9017621457535,-55.53613767593530</v>
      </c>
      <c r="G1470" s="27" t="str">
        <f t="array" ref="G1470">"https://earth.google.com/web/search/" &amp; A1470 &amp; "," &amp; B1470</f>
        <v>https://earth.google.com/web/search/-30.9017621457535,-55.53613767593530</v>
      </c>
      <c r="H1470" s="12"/>
      <c r="I1470" s="12"/>
      <c r="J1470" s="12"/>
      <c r="K1470" s="12"/>
      <c r="L1470" s="12"/>
      <c r="M1470" s="12"/>
      <c r="N1470" s="12"/>
      <c r="O1470" s="12"/>
      <c r="P1470" s="12"/>
      <c r="Q1470" s="12"/>
      <c r="R1470" s="12"/>
      <c r="S1470" s="12"/>
      <c r="T1470" s="12"/>
      <c r="U1470" s="12"/>
      <c r="V1470" s="12"/>
      <c r="W1470" s="12"/>
      <c r="X1470" s="12"/>
      <c r="Y1470" s="12"/>
      <c r="Z1470" s="12"/>
      <c r="AA1470" s="12"/>
    </row>
    <row r="1471" ht="26.25" customHeight="1">
      <c r="A1471" s="26" t="s">
        <v>2946</v>
      </c>
      <c r="B1471" s="26" t="s">
        <v>2947</v>
      </c>
      <c r="C1471" s="14">
        <v>2.0</v>
      </c>
      <c r="D1471" s="23">
        <v>181.0</v>
      </c>
      <c r="E1471" s="23">
        <v>8.0</v>
      </c>
      <c r="F1471" s="27" t="str">
        <f t="array" ref="F1471">"https://www.google.com/maps/search/?api=1&amp;query=" &amp; A1471 &amp; "," &amp; B1471</f>
        <v>https://www.google.com/maps/search/?api=1&amp;query=-30.9018794039102,-55.53610317446100</v>
      </c>
      <c r="G1471" s="27" t="str">
        <f t="array" ref="G1471">"https://earth.google.com/web/search/" &amp; A1471 &amp; "," &amp; B1471</f>
        <v>https://earth.google.com/web/search/-30.9018794039102,-55.53610317446100</v>
      </c>
      <c r="H1471" s="12"/>
      <c r="I1471" s="12"/>
      <c r="J1471" s="12"/>
      <c r="K1471" s="12"/>
      <c r="L1471" s="12"/>
      <c r="M1471" s="12"/>
      <c r="N1471" s="12"/>
      <c r="O1471" s="12"/>
      <c r="P1471" s="12"/>
      <c r="Q1471" s="12"/>
      <c r="R1471" s="12"/>
      <c r="S1471" s="12"/>
      <c r="T1471" s="12"/>
      <c r="U1471" s="12"/>
      <c r="V1471" s="12"/>
      <c r="W1471" s="12"/>
      <c r="X1471" s="12"/>
      <c r="Y1471" s="12"/>
      <c r="Z1471" s="12"/>
      <c r="AA1471" s="12"/>
    </row>
    <row r="1472" ht="26.25" customHeight="1">
      <c r="A1472" s="26" t="s">
        <v>2948</v>
      </c>
      <c r="B1472" s="26" t="s">
        <v>2949</v>
      </c>
      <c r="C1472" s="14">
        <v>2.0</v>
      </c>
      <c r="D1472" s="23">
        <v>181.0</v>
      </c>
      <c r="E1472" s="23">
        <v>9.0</v>
      </c>
      <c r="F1472" s="27" t="str">
        <f t="array" ref="F1472">"https://www.google.com/maps/search/?api=1&amp;query=" &amp; A1472 &amp; "," &amp; B1472</f>
        <v>https://www.google.com/maps/search/?api=1&amp;query=-30.9019416617857,-5.55359534170244</v>
      </c>
      <c r="G1472" s="27" t="str">
        <f t="array" ref="G1472">"https://earth.google.com/web/search/" &amp; A1472 &amp; "," &amp; B1472</f>
        <v>https://earth.google.com/web/search/-30.9019416617857,-5.55359534170244</v>
      </c>
      <c r="H1472" s="12"/>
      <c r="I1472" s="12"/>
      <c r="J1472" s="12"/>
      <c r="K1472" s="12"/>
      <c r="L1472" s="12"/>
      <c r="M1472" s="12"/>
      <c r="N1472" s="12"/>
      <c r="O1472" s="12"/>
      <c r="P1472" s="12"/>
      <c r="Q1472" s="12"/>
      <c r="R1472" s="12"/>
      <c r="S1472" s="12"/>
      <c r="T1472" s="12"/>
      <c r="U1472" s="12"/>
      <c r="V1472" s="12"/>
      <c r="W1472" s="12"/>
      <c r="X1472" s="12"/>
      <c r="Y1472" s="12"/>
      <c r="Z1472" s="12"/>
      <c r="AA1472" s="12"/>
    </row>
    <row r="1473" ht="26.25" customHeight="1">
      <c r="A1473" s="26" t="s">
        <v>2950</v>
      </c>
      <c r="B1473" s="26" t="s">
        <v>2951</v>
      </c>
      <c r="C1473" s="14">
        <v>2.0</v>
      </c>
      <c r="D1473" s="23">
        <v>181.0</v>
      </c>
      <c r="E1473" s="23">
        <v>10.0</v>
      </c>
      <c r="F1473" s="27" t="str">
        <f t="array" ref="F1473">"https://www.google.com/maps/search/?api=1&amp;query=" &amp; A1473 &amp; "," &amp; B1473</f>
        <v>https://www.google.com/maps/search/?api=1&amp;query=-30.9019824326505,-55.53588066760430</v>
      </c>
      <c r="G1473" s="27" t="str">
        <f t="array" ref="G1473">"https://earth.google.com/web/search/" &amp; A1473 &amp; "," &amp; B1473</f>
        <v>https://earth.google.com/web/search/-30.9019824326505,-55.53588066760430</v>
      </c>
      <c r="H1473" s="12"/>
      <c r="I1473" s="12"/>
      <c r="J1473" s="12"/>
      <c r="K1473" s="12"/>
      <c r="L1473" s="12"/>
      <c r="M1473" s="12"/>
      <c r="N1473" s="12"/>
      <c r="O1473" s="12"/>
      <c r="P1473" s="12"/>
      <c r="Q1473" s="12"/>
      <c r="R1473" s="12"/>
      <c r="S1473" s="12"/>
      <c r="T1473" s="12"/>
      <c r="U1473" s="12"/>
      <c r="V1473" s="12"/>
      <c r="W1473" s="12"/>
      <c r="X1473" s="12"/>
      <c r="Y1473" s="12"/>
      <c r="Z1473" s="12"/>
      <c r="AA1473" s="12"/>
    </row>
    <row r="1474" ht="26.25" customHeight="1">
      <c r="A1474" s="26" t="s">
        <v>2952</v>
      </c>
      <c r="B1474" s="26" t="s">
        <v>2953</v>
      </c>
      <c r="C1474" s="14">
        <v>2.0</v>
      </c>
      <c r="D1474" s="23">
        <v>181.0</v>
      </c>
      <c r="E1474" s="23">
        <v>11.0</v>
      </c>
      <c r="F1474" s="27" t="str">
        <f t="array" ref="F1474">"https://www.google.com/maps/search/?api=1&amp;query=" &amp; A1474 &amp; "," &amp; B1474</f>
        <v>https://www.google.com/maps/search/?api=1&amp;query=-30.9020121287085,-55.53583869968080</v>
      </c>
      <c r="G1474" s="27" t="str">
        <f t="array" ref="G1474">"https://earth.google.com/web/search/" &amp; A1474 &amp; "," &amp; B1474</f>
        <v>https://earth.google.com/web/search/-30.9020121287085,-55.53583869968080</v>
      </c>
      <c r="H1474" s="12"/>
      <c r="I1474" s="12"/>
      <c r="J1474" s="12"/>
      <c r="K1474" s="12"/>
      <c r="L1474" s="12"/>
      <c r="M1474" s="12"/>
      <c r="N1474" s="12"/>
      <c r="O1474" s="12"/>
      <c r="P1474" s="12"/>
      <c r="Q1474" s="12"/>
      <c r="R1474" s="12"/>
      <c r="S1474" s="12"/>
      <c r="T1474" s="12"/>
      <c r="U1474" s="12"/>
      <c r="V1474" s="12"/>
      <c r="W1474" s="12"/>
      <c r="X1474" s="12"/>
      <c r="Y1474" s="12"/>
      <c r="Z1474" s="12"/>
      <c r="AA1474" s="12"/>
    </row>
    <row r="1475" ht="26.25" customHeight="1">
      <c r="A1475" s="26" t="s">
        <v>2954</v>
      </c>
      <c r="B1475" s="26" t="s">
        <v>2955</v>
      </c>
      <c r="C1475" s="14">
        <v>2.0</v>
      </c>
      <c r="D1475" s="23">
        <v>181.0</v>
      </c>
      <c r="E1475" s="23">
        <v>12.0</v>
      </c>
      <c r="F1475" s="27" t="str">
        <f t="array" ref="F1475">"https://www.google.com/maps/search/?api=1&amp;query=" &amp; A1475 &amp; "," &amp; B1475</f>
        <v>https://www.google.com/maps/search/?api=1&amp;query=-30.9020318989179,-55.53577853122810</v>
      </c>
      <c r="G1475" s="27" t="str">
        <f t="array" ref="G1475">"https://earth.google.com/web/search/" &amp; A1475 &amp; "," &amp; B1475</f>
        <v>https://earth.google.com/web/search/-30.9020318989179,-55.53577853122810</v>
      </c>
      <c r="H1475" s="12"/>
      <c r="I1475" s="12"/>
      <c r="J1475" s="12"/>
      <c r="K1475" s="12"/>
      <c r="L1475" s="12"/>
      <c r="M1475" s="12"/>
      <c r="N1475" s="12"/>
      <c r="O1475" s="12"/>
      <c r="P1475" s="12"/>
      <c r="Q1475" s="12"/>
      <c r="R1475" s="12"/>
      <c r="S1475" s="12"/>
      <c r="T1475" s="12"/>
      <c r="U1475" s="12"/>
      <c r="V1475" s="12"/>
      <c r="W1475" s="12"/>
      <c r="X1475" s="12"/>
      <c r="Y1475" s="12"/>
      <c r="Z1475" s="12"/>
      <c r="AA1475" s="12"/>
    </row>
    <row r="1476" ht="26.25" customHeight="1">
      <c r="A1476" s="26" t="s">
        <v>2956</v>
      </c>
      <c r="B1476" s="26" t="s">
        <v>2957</v>
      </c>
      <c r="C1476" s="14">
        <v>2.0</v>
      </c>
      <c r="D1476" s="23">
        <v>181.0</v>
      </c>
      <c r="E1476" s="23">
        <v>13.0</v>
      </c>
      <c r="F1476" s="27" t="str">
        <f t="array" ref="F1476">"https://www.google.com/maps/search/?api=1&amp;query=" &amp; A1476 &amp; "," &amp; B1476</f>
        <v>https://www.google.com/maps/search/?api=1&amp;query=-30.9021461468448,-55.53560646434550</v>
      </c>
      <c r="G1476" s="27" t="str">
        <f t="array" ref="G1476">"https://earth.google.com/web/search/" &amp; A1476 &amp; "," &amp; B1476</f>
        <v>https://earth.google.com/web/search/-30.9021461468448,-55.53560646434550</v>
      </c>
      <c r="H1476" s="12"/>
      <c r="I1476" s="12"/>
      <c r="J1476" s="12"/>
      <c r="K1476" s="12"/>
      <c r="L1476" s="12"/>
      <c r="M1476" s="12"/>
      <c r="N1476" s="12"/>
      <c r="O1476" s="12"/>
      <c r="P1476" s="12"/>
      <c r="Q1476" s="12"/>
      <c r="R1476" s="12"/>
      <c r="S1476" s="12"/>
      <c r="T1476" s="12"/>
      <c r="U1476" s="12"/>
      <c r="V1476" s="12"/>
      <c r="W1476" s="12"/>
      <c r="X1476" s="12"/>
      <c r="Y1476" s="12"/>
      <c r="Z1476" s="12"/>
      <c r="AA1476" s="12"/>
    </row>
    <row r="1477" ht="26.25" customHeight="1">
      <c r="A1477" s="26" t="s">
        <v>2958</v>
      </c>
      <c r="B1477" s="26" t="s">
        <v>2959</v>
      </c>
      <c r="C1477" s="14">
        <v>2.0</v>
      </c>
      <c r="D1477" s="23">
        <v>181.0</v>
      </c>
      <c r="E1477" s="23">
        <v>14.0</v>
      </c>
      <c r="F1477" s="27" t="str">
        <f t="array" ref="F1477">"https://www.google.com/maps/search/?api=1&amp;query=" &amp; A1477 &amp; "," &amp; B1477</f>
        <v>https://www.google.com/maps/search/?api=1&amp;query=-30.9021832147054,-55.53551989949640</v>
      </c>
      <c r="G1477" s="27" t="str">
        <f t="array" ref="G1477">"https://earth.google.com/web/search/" &amp; A1477 &amp; "," &amp; B1477</f>
        <v>https://earth.google.com/web/search/-30.9021832147054,-55.53551989949640</v>
      </c>
      <c r="H1477" s="12"/>
      <c r="I1477" s="12"/>
      <c r="J1477" s="12"/>
      <c r="K1477" s="12"/>
      <c r="L1477" s="12"/>
      <c r="M1477" s="12"/>
      <c r="N1477" s="12"/>
      <c r="O1477" s="12"/>
      <c r="P1477" s="12"/>
      <c r="Q1477" s="12"/>
      <c r="R1477" s="12"/>
      <c r="S1477" s="12"/>
      <c r="T1477" s="12"/>
      <c r="U1477" s="12"/>
      <c r="V1477" s="12"/>
      <c r="W1477" s="12"/>
      <c r="X1477" s="12"/>
      <c r="Y1477" s="12"/>
      <c r="Z1477" s="12"/>
      <c r="AA1477" s="12"/>
    </row>
    <row r="1478" ht="26.25" customHeight="1">
      <c r="A1478" s="26" t="s">
        <v>2960</v>
      </c>
      <c r="B1478" s="26" t="s">
        <v>2961</v>
      </c>
      <c r="C1478" s="14">
        <v>2.0</v>
      </c>
      <c r="D1478" s="23">
        <v>181.0</v>
      </c>
      <c r="E1478" s="23">
        <v>15.0</v>
      </c>
      <c r="F1478" s="27" t="str">
        <f t="array" ref="F1478">"https://www.google.com/maps/search/?api=1&amp;query=" &amp; A1478 &amp; "," &amp; B1478</f>
        <v>https://www.google.com/maps/search/?api=1&amp;query=-30.9019233794942,-55.53511426525970</v>
      </c>
      <c r="G1478" s="27" t="str">
        <f t="array" ref="G1478">"https://earth.google.com/web/search/" &amp; A1478 &amp; "," &amp; B1478</f>
        <v>https://earth.google.com/web/search/-30.9019233794942,-55.53511426525970</v>
      </c>
      <c r="H1478" s="12"/>
      <c r="I1478" s="12"/>
      <c r="J1478" s="12"/>
      <c r="K1478" s="12"/>
      <c r="L1478" s="12"/>
      <c r="M1478" s="12"/>
      <c r="N1478" s="12"/>
      <c r="O1478" s="12"/>
      <c r="P1478" s="12"/>
      <c r="Q1478" s="12"/>
      <c r="R1478" s="12"/>
      <c r="S1478" s="12"/>
      <c r="T1478" s="12"/>
      <c r="U1478" s="12"/>
      <c r="V1478" s="12"/>
      <c r="W1478" s="12"/>
      <c r="X1478" s="12"/>
      <c r="Y1478" s="12"/>
      <c r="Z1478" s="12"/>
      <c r="AA1478" s="12"/>
    </row>
    <row r="1479" ht="26.25" customHeight="1">
      <c r="A1479" s="26" t="s">
        <v>2962</v>
      </c>
      <c r="B1479" s="26" t="s">
        <v>2963</v>
      </c>
      <c r="C1479" s="14">
        <v>2.0</v>
      </c>
      <c r="D1479" s="23">
        <v>181.0</v>
      </c>
      <c r="E1479" s="23">
        <v>16.0</v>
      </c>
      <c r="F1479" s="27" t="str">
        <f t="array" ref="F1479">"https://www.google.com/maps/search/?api=1&amp;query=" &amp; A1479 &amp; "," &amp; B1479</f>
        <v>https://www.google.com/maps/search/?api=1&amp;query=-30.9013348864798,-55.53527134872260</v>
      </c>
      <c r="G1479" s="27" t="str">
        <f t="array" ref="G1479">"https://earth.google.com/web/search/" &amp; A1479 &amp; "," &amp; B1479</f>
        <v>https://earth.google.com/web/search/-30.9013348864798,-55.53527134872260</v>
      </c>
      <c r="H1479" s="12"/>
      <c r="I1479" s="12"/>
      <c r="J1479" s="12"/>
      <c r="K1479" s="12"/>
      <c r="L1479" s="12"/>
      <c r="M1479" s="12"/>
      <c r="N1479" s="12"/>
      <c r="O1479" s="12"/>
      <c r="P1479" s="12"/>
      <c r="Q1479" s="12"/>
      <c r="R1479" s="12"/>
      <c r="S1479" s="12"/>
      <c r="T1479" s="12"/>
      <c r="U1479" s="12"/>
      <c r="V1479" s="12"/>
      <c r="W1479" s="12"/>
      <c r="X1479" s="12"/>
      <c r="Y1479" s="12"/>
      <c r="Z1479" s="12"/>
      <c r="AA1479" s="12"/>
    </row>
    <row r="1480" ht="26.25" customHeight="1">
      <c r="A1480" s="26" t="s">
        <v>2964</v>
      </c>
      <c r="B1480" s="26" t="s">
        <v>2965</v>
      </c>
      <c r="C1480" s="14">
        <v>2.0</v>
      </c>
      <c r="D1480" s="23">
        <v>182.0</v>
      </c>
      <c r="E1480" s="23">
        <v>1.0</v>
      </c>
      <c r="F1480" s="27" t="str">
        <f t="array" ref="F1480">"https://www.google.com/maps/search/?api=1&amp;query=" &amp; A1480 &amp; "," &amp; B1480</f>
        <v>https://www.google.com/maps/search/?api=1&amp;query=-30.9016337834650,-5.55347908389955</v>
      </c>
      <c r="G1480" s="27" t="str">
        <f t="array" ref="G1480">"https://earth.google.com/web/search/" &amp; A1480 &amp; "," &amp; B1480</f>
        <v>https://earth.google.com/web/search/-30.9016337834650,-5.55347908389955</v>
      </c>
      <c r="H1480" s="12"/>
      <c r="I1480" s="12"/>
      <c r="J1480" s="12"/>
      <c r="K1480" s="12"/>
      <c r="L1480" s="12"/>
      <c r="M1480" s="12"/>
      <c r="N1480" s="12"/>
      <c r="O1480" s="12"/>
      <c r="P1480" s="12"/>
      <c r="Q1480" s="12"/>
      <c r="R1480" s="12"/>
      <c r="S1480" s="12"/>
      <c r="T1480" s="12"/>
      <c r="U1480" s="12"/>
      <c r="V1480" s="12"/>
      <c r="W1480" s="12"/>
      <c r="X1480" s="12"/>
      <c r="Y1480" s="12"/>
      <c r="Z1480" s="12"/>
      <c r="AA1480" s="12"/>
    </row>
    <row r="1481" ht="26.25" customHeight="1">
      <c r="A1481" s="26" t="s">
        <v>2966</v>
      </c>
      <c r="B1481" s="26" t="s">
        <v>2967</v>
      </c>
      <c r="C1481" s="14">
        <v>2.0</v>
      </c>
      <c r="D1481" s="23">
        <v>182.0</v>
      </c>
      <c r="E1481" s="23">
        <v>2.0</v>
      </c>
      <c r="F1481" s="27" t="str">
        <f t="array" ref="F1481">"https://www.google.com/maps/search/?api=1&amp;query=" &amp; A1481 &amp; "," &amp; B1481</f>
        <v>https://www.google.com/maps/search/?api=1&amp;query=-30.9017183432981,-55.53484632143340</v>
      </c>
      <c r="G1481" s="27" t="str">
        <f t="array" ref="G1481">"https://earth.google.com/web/search/" &amp; A1481 &amp; "," &amp; B1481</f>
        <v>https://earth.google.com/web/search/-30.9017183432981,-55.53484632143340</v>
      </c>
      <c r="H1481" s="12"/>
      <c r="I1481" s="12"/>
      <c r="J1481" s="12"/>
      <c r="K1481" s="12"/>
      <c r="L1481" s="12"/>
      <c r="M1481" s="12"/>
      <c r="N1481" s="12"/>
      <c r="O1481" s="12"/>
      <c r="P1481" s="12"/>
      <c r="Q1481" s="12"/>
      <c r="R1481" s="12"/>
      <c r="S1481" s="12"/>
      <c r="T1481" s="12"/>
      <c r="U1481" s="12"/>
      <c r="V1481" s="12"/>
      <c r="W1481" s="12"/>
      <c r="X1481" s="12"/>
      <c r="Y1481" s="12"/>
      <c r="Z1481" s="12"/>
      <c r="AA1481" s="12"/>
    </row>
    <row r="1482" ht="26.25" customHeight="1">
      <c r="A1482" s="26" t="s">
        <v>2968</v>
      </c>
      <c r="B1482" s="26" t="s">
        <v>2969</v>
      </c>
      <c r="C1482" s="14">
        <v>2.0</v>
      </c>
      <c r="D1482" s="23">
        <v>182.0</v>
      </c>
      <c r="E1482" s="23">
        <v>3.0</v>
      </c>
      <c r="F1482" s="27" t="str">
        <f t="array" ref="F1482">"https://www.google.com/maps/search/?api=1&amp;query=" &amp; A1482 &amp; "," &amp; B1482</f>
        <v>https://www.google.com/maps/search/?api=1&amp;query=-30.9019512599652,-55.53501077069720</v>
      </c>
      <c r="G1482" s="27" t="str">
        <f t="array" ref="G1482">"https://earth.google.com/web/search/" &amp; A1482 &amp; "," &amp; B1482</f>
        <v>https://earth.google.com/web/search/-30.9019512599652,-55.53501077069720</v>
      </c>
      <c r="H1482" s="12"/>
      <c r="I1482" s="12"/>
      <c r="J1482" s="12"/>
      <c r="K1482" s="12"/>
      <c r="L1482" s="12"/>
      <c r="M1482" s="12"/>
      <c r="N1482" s="12"/>
      <c r="O1482" s="12"/>
      <c r="P1482" s="12"/>
      <c r="Q1482" s="12"/>
      <c r="R1482" s="12"/>
      <c r="S1482" s="12"/>
      <c r="T1482" s="12"/>
      <c r="U1482" s="12"/>
      <c r="V1482" s="12"/>
      <c r="W1482" s="12"/>
      <c r="X1482" s="12"/>
      <c r="Y1482" s="12"/>
      <c r="Z1482" s="12"/>
      <c r="AA1482" s="12"/>
    </row>
    <row r="1483" ht="26.25" customHeight="1">
      <c r="A1483" s="26" t="s">
        <v>2970</v>
      </c>
      <c r="B1483" s="26" t="s">
        <v>2971</v>
      </c>
      <c r="C1483" s="14">
        <v>2.0</v>
      </c>
      <c r="D1483" s="23">
        <v>182.0</v>
      </c>
      <c r="E1483" s="23">
        <v>4.0</v>
      </c>
      <c r="F1483" s="27" t="str">
        <f t="array" ref="F1483">"https://www.google.com/maps/search/?api=1&amp;query=" &amp; A1483 &amp; "," &amp; B1483</f>
        <v>https://www.google.com/maps/search/?api=1&amp;query=-30.9020286836222,-55.53506747210950</v>
      </c>
      <c r="G1483" s="27" t="str">
        <f t="array" ref="G1483">"https://earth.google.com/web/search/" &amp; A1483 &amp; "," &amp; B1483</f>
        <v>https://earth.google.com/web/search/-30.9020286836222,-55.53506747210950</v>
      </c>
      <c r="H1483" s="12"/>
      <c r="I1483" s="12"/>
      <c r="J1483" s="12"/>
      <c r="K1483" s="12"/>
      <c r="L1483" s="12"/>
      <c r="M1483" s="12"/>
      <c r="N1483" s="12"/>
      <c r="O1483" s="12"/>
      <c r="P1483" s="12"/>
      <c r="Q1483" s="12"/>
      <c r="R1483" s="12"/>
      <c r="S1483" s="12"/>
      <c r="T1483" s="12"/>
      <c r="U1483" s="12"/>
      <c r="V1483" s="12"/>
      <c r="W1483" s="12"/>
      <c r="X1483" s="12"/>
      <c r="Y1483" s="12"/>
      <c r="Z1483" s="12"/>
      <c r="AA1483" s="12"/>
    </row>
    <row r="1484" ht="26.25" customHeight="1">
      <c r="A1484" s="26" t="s">
        <v>2972</v>
      </c>
      <c r="B1484" s="26" t="s">
        <v>2973</v>
      </c>
      <c r="C1484" s="14">
        <v>2.0</v>
      </c>
      <c r="D1484" s="23">
        <v>182.0</v>
      </c>
      <c r="E1484" s="23">
        <v>5.0</v>
      </c>
      <c r="F1484" s="27" t="str">
        <f t="array" ref="F1484">"https://www.google.com/maps/search/?api=1&amp;query=" &amp; A1484 &amp; "," &amp; B1484</f>
        <v>https://www.google.com/maps/search/?api=1&amp;query=-30.9024387235591,-55.53501294043720</v>
      </c>
      <c r="G1484" s="27" t="str">
        <f t="array" ref="G1484">"https://earth.google.com/web/search/" &amp; A1484 &amp; "," &amp; B1484</f>
        <v>https://earth.google.com/web/search/-30.9024387235591,-55.53501294043720</v>
      </c>
      <c r="H1484" s="12"/>
      <c r="I1484" s="12"/>
      <c r="J1484" s="12"/>
      <c r="K1484" s="12"/>
      <c r="L1484" s="12"/>
      <c r="M1484" s="12"/>
      <c r="N1484" s="12"/>
      <c r="O1484" s="12"/>
      <c r="P1484" s="12"/>
      <c r="Q1484" s="12"/>
      <c r="R1484" s="12"/>
      <c r="S1484" s="12"/>
      <c r="T1484" s="12"/>
      <c r="U1484" s="12"/>
      <c r="V1484" s="12"/>
      <c r="W1484" s="12"/>
      <c r="X1484" s="12"/>
      <c r="Y1484" s="12"/>
      <c r="Z1484" s="12"/>
      <c r="AA1484" s="12"/>
    </row>
    <row r="1485" ht="26.25" customHeight="1">
      <c r="A1485" s="26" t="s">
        <v>2974</v>
      </c>
      <c r="B1485" s="26" t="s">
        <v>2975</v>
      </c>
      <c r="C1485" s="14">
        <v>2.0</v>
      </c>
      <c r="D1485" s="23">
        <v>181.0</v>
      </c>
      <c r="E1485" s="23">
        <v>6.0</v>
      </c>
      <c r="F1485" s="27" t="str">
        <f t="array" ref="F1485">"https://www.google.com/maps/search/?api=1&amp;query=" &amp; A1485 &amp; "," &amp; B1485</f>
        <v>https://www.google.com/maps/search/?api=1&amp;query=-30.9026524100417,-55.53462852236140</v>
      </c>
      <c r="G1485" s="27" t="str">
        <f t="array" ref="G1485">"https://earth.google.com/web/search/" &amp; A1485 &amp; "," &amp; B1485</f>
        <v>https://earth.google.com/web/search/-30.9026524100417,-55.53462852236140</v>
      </c>
      <c r="H1485" s="12"/>
      <c r="I1485" s="12"/>
      <c r="J1485" s="12"/>
      <c r="K1485" s="12"/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/>
    </row>
    <row r="1486" ht="26.25" customHeight="1">
      <c r="A1486" s="26" t="s">
        <v>2976</v>
      </c>
      <c r="B1486" s="26" t="s">
        <v>2977</v>
      </c>
      <c r="C1486" s="14">
        <v>2.0</v>
      </c>
      <c r="D1486" s="23">
        <v>182.0</v>
      </c>
      <c r="E1486" s="23">
        <v>7.0</v>
      </c>
      <c r="F1486" s="27" t="str">
        <f t="array" ref="F1486">"https://www.google.com/maps/search/?api=1&amp;query=" &amp; A1486 &amp; "," &amp; B1486</f>
        <v>https://www.google.com/maps/search/?api=1&amp;query=-30.9027208070647,-55.53442133625630</v>
      </c>
      <c r="G1486" s="27" t="str">
        <f t="array" ref="G1486">"https://earth.google.com/web/search/" &amp; A1486 &amp; "," &amp; B1486</f>
        <v>https://earth.google.com/web/search/-30.9027208070647,-55.53442133625630</v>
      </c>
      <c r="H1486" s="12"/>
      <c r="I1486" s="12"/>
      <c r="J1486" s="12"/>
      <c r="K1486" s="12"/>
      <c r="L1486" s="12"/>
      <c r="M1486" s="12"/>
      <c r="N1486" s="12"/>
      <c r="O1486" s="12"/>
      <c r="P1486" s="12"/>
      <c r="Q1486" s="12"/>
      <c r="R1486" s="12"/>
      <c r="S1486" s="12"/>
      <c r="T1486" s="12"/>
      <c r="U1486" s="12"/>
      <c r="V1486" s="12"/>
      <c r="W1486" s="12"/>
      <c r="X1486" s="12"/>
      <c r="Y1486" s="12"/>
      <c r="Z1486" s="12"/>
      <c r="AA1486" s="12"/>
    </row>
    <row r="1487" ht="26.25" customHeight="1">
      <c r="A1487" s="26" t="s">
        <v>2978</v>
      </c>
      <c r="B1487" s="26" t="s">
        <v>2979</v>
      </c>
      <c r="C1487" s="14">
        <v>2.0</v>
      </c>
      <c r="D1487" s="23">
        <v>182.0</v>
      </c>
      <c r="E1487" s="23">
        <v>8.0</v>
      </c>
      <c r="F1487" s="27" t="str">
        <f t="array" ref="F1487">"https://www.google.com/maps/search/?api=1&amp;query=" &amp; A1487 &amp; "," &amp; B1487</f>
        <v>https://www.google.com/maps/search/?api=1&amp;query=-30.9026608109494,-55.53437083613030</v>
      </c>
      <c r="G1487" s="27" t="str">
        <f t="array" ref="G1487">"https://earth.google.com/web/search/" &amp; A1487 &amp; "," &amp; B1487</f>
        <v>https://earth.google.com/web/search/-30.9026608109494,-55.53437083613030</v>
      </c>
      <c r="H1487" s="12"/>
      <c r="I1487" s="12"/>
      <c r="J1487" s="12"/>
      <c r="K1487" s="12"/>
      <c r="L1487" s="12"/>
      <c r="M1487" s="12"/>
      <c r="N1487" s="12"/>
      <c r="O1487" s="12"/>
      <c r="P1487" s="12"/>
      <c r="Q1487" s="12"/>
      <c r="R1487" s="12"/>
      <c r="S1487" s="12"/>
      <c r="T1487" s="12"/>
      <c r="U1487" s="12"/>
      <c r="V1487" s="12"/>
      <c r="W1487" s="12"/>
      <c r="X1487" s="12"/>
      <c r="Y1487" s="12"/>
      <c r="Z1487" s="12"/>
      <c r="AA1487" s="12"/>
    </row>
    <row r="1488" ht="26.25" customHeight="1">
      <c r="A1488" s="26" t="s">
        <v>2980</v>
      </c>
      <c r="B1488" s="26" t="s">
        <v>2981</v>
      </c>
      <c r="C1488" s="14">
        <v>2.0</v>
      </c>
      <c r="D1488" s="23">
        <v>182.0</v>
      </c>
      <c r="E1488" s="23">
        <v>9.0</v>
      </c>
      <c r="F1488" s="27" t="str">
        <f t="array" ref="F1488">"https://www.google.com/maps/search/?api=1&amp;query=" &amp; A1488 &amp; "," &amp; B1488</f>
        <v>https://www.google.com/maps/search/?api=1&amp;query=-30.9024764083451,-55.53424692912650</v>
      </c>
      <c r="G1488" s="27" t="str">
        <f t="array" ref="G1488">"https://earth.google.com/web/search/" &amp; A1488 &amp; "," &amp; B1488</f>
        <v>https://earth.google.com/web/search/-30.9024764083451,-55.53424692912650</v>
      </c>
      <c r="H1488" s="12"/>
      <c r="I1488" s="12"/>
      <c r="J1488" s="12"/>
      <c r="K1488" s="12"/>
      <c r="L1488" s="12"/>
      <c r="M1488" s="12"/>
      <c r="N1488" s="12"/>
      <c r="O1488" s="12"/>
      <c r="P1488" s="12"/>
      <c r="Q1488" s="12"/>
      <c r="R1488" s="12"/>
      <c r="S1488" s="12"/>
      <c r="T1488" s="12"/>
      <c r="U1488" s="12"/>
      <c r="V1488" s="12"/>
      <c r="W1488" s="12"/>
      <c r="X1488" s="12"/>
      <c r="Y1488" s="12"/>
      <c r="Z1488" s="12"/>
      <c r="AA1488" s="12"/>
    </row>
    <row r="1489" ht="26.25" customHeight="1">
      <c r="A1489" s="26" t="s">
        <v>2982</v>
      </c>
      <c r="B1489" s="26" t="s">
        <v>2983</v>
      </c>
      <c r="C1489" s="14">
        <v>2.0</v>
      </c>
      <c r="D1489" s="23">
        <v>182.0</v>
      </c>
      <c r="E1489" s="23">
        <v>10.0</v>
      </c>
      <c r="F1489" s="27" t="str">
        <f t="array" ref="F1489">"https://www.google.com/maps/search/?api=1&amp;query=" &amp; A1489 &amp; "," &amp; B1489</f>
        <v>https://www.google.com/maps/search/?api=1&amp;query=-30.9020978667264,-55.53397429728030</v>
      </c>
      <c r="G1489" s="27" t="str">
        <f t="array" ref="G1489">"https://earth.google.com/web/search/" &amp; A1489 &amp; "," &amp; B1489</f>
        <v>https://earth.google.com/web/search/-30.9020978667264,-55.53397429728030</v>
      </c>
      <c r="H1489" s="12"/>
      <c r="I1489" s="12"/>
      <c r="J1489" s="12"/>
      <c r="K1489" s="12"/>
      <c r="L1489" s="12"/>
      <c r="M1489" s="12"/>
      <c r="N1489" s="12"/>
      <c r="O1489" s="12"/>
      <c r="P1489" s="12"/>
      <c r="Q1489" s="12"/>
      <c r="R1489" s="12"/>
      <c r="S1489" s="12"/>
      <c r="T1489" s="12"/>
      <c r="U1489" s="12"/>
      <c r="V1489" s="12"/>
      <c r="W1489" s="12"/>
      <c r="X1489" s="12"/>
      <c r="Y1489" s="12"/>
      <c r="Z1489" s="12"/>
      <c r="AA1489" s="12"/>
    </row>
    <row r="1490" ht="26.25" customHeight="1">
      <c r="A1490" s="26" t="s">
        <v>2984</v>
      </c>
      <c r="B1490" s="26" t="s">
        <v>2985</v>
      </c>
      <c r="C1490" s="14">
        <v>2.0</v>
      </c>
      <c r="D1490" s="23">
        <v>182.0</v>
      </c>
      <c r="E1490" s="23">
        <v>11.0</v>
      </c>
      <c r="F1490" s="27" t="str">
        <f t="array" ref="F1490">"https://www.google.com/maps/search/?api=1&amp;query=" &amp; A1490 &amp; "," &amp; B1490</f>
        <v>https://www.google.com/maps/search/?api=1&amp;query=-30.9017964483805,-55.53438204858730</v>
      </c>
      <c r="G1490" s="27" t="str">
        <f t="array" ref="G1490">"https://earth.google.com/web/search/" &amp; A1490 &amp; "," &amp; B1490</f>
        <v>https://earth.google.com/web/search/-30.9017964483805,-55.53438204858730</v>
      </c>
      <c r="H1490" s="12"/>
      <c r="I1490" s="12"/>
      <c r="J1490" s="12"/>
      <c r="K1490" s="12"/>
      <c r="L1490" s="12"/>
      <c r="M1490" s="12"/>
      <c r="N1490" s="12"/>
      <c r="O1490" s="12"/>
      <c r="P1490" s="12"/>
      <c r="Q1490" s="12"/>
      <c r="R1490" s="12"/>
      <c r="S1490" s="12"/>
      <c r="T1490" s="12"/>
      <c r="U1490" s="12"/>
      <c r="V1490" s="12"/>
      <c r="W1490" s="12"/>
      <c r="X1490" s="12"/>
      <c r="Y1490" s="12"/>
      <c r="Z1490" s="12"/>
      <c r="AA1490" s="12"/>
    </row>
    <row r="1491" ht="26.25" customHeight="1">
      <c r="A1491" s="26" t="s">
        <v>2986</v>
      </c>
      <c r="B1491" s="26" t="s">
        <v>2987</v>
      </c>
      <c r="C1491" s="14">
        <v>2.0</v>
      </c>
      <c r="D1491" s="23">
        <v>182.0</v>
      </c>
      <c r="E1491" s="23">
        <v>12.0</v>
      </c>
      <c r="F1491" s="27" t="str">
        <f t="array" ref="F1491">"https://www.google.com/maps/search/?api=1&amp;query=" &amp; A1491 &amp; "," &amp; B1491</f>
        <v>https://www.google.com/maps/search/?api=1&amp;query=-30.9017591752035,-55.53446543215670</v>
      </c>
      <c r="G1491" s="27" t="str">
        <f t="array" ref="G1491">"https://earth.google.com/web/search/" &amp; A1491 &amp; "," &amp; B1491</f>
        <v>https://earth.google.com/web/search/-30.9017591752035,-55.53446543215670</v>
      </c>
      <c r="H1491" s="12"/>
      <c r="I1491" s="12"/>
      <c r="J1491" s="12"/>
      <c r="K1491" s="12"/>
      <c r="L1491" s="12"/>
      <c r="M1491" s="12"/>
      <c r="N1491" s="12"/>
      <c r="O1491" s="12"/>
      <c r="P1491" s="12"/>
      <c r="Q1491" s="12"/>
      <c r="R1491" s="12"/>
      <c r="S1491" s="12"/>
      <c r="T1491" s="12"/>
      <c r="U1491" s="12"/>
      <c r="V1491" s="12"/>
      <c r="W1491" s="12"/>
      <c r="X1491" s="12"/>
      <c r="Y1491" s="12"/>
      <c r="Z1491" s="12"/>
      <c r="AA1491" s="12"/>
    </row>
    <row r="1492" ht="26.25" customHeight="1">
      <c r="A1492" s="26" t="s">
        <v>2988</v>
      </c>
      <c r="B1492" s="26" t="s">
        <v>2989</v>
      </c>
      <c r="C1492" s="14">
        <v>2.0</v>
      </c>
      <c r="D1492" s="23">
        <v>182.0</v>
      </c>
      <c r="E1492" s="23">
        <v>13.0</v>
      </c>
      <c r="F1492" s="27" t="str">
        <f t="array" ref="F1492">"https://www.google.com/maps/search/?api=1&amp;query=" &amp; A1492 &amp; "," &amp; B1492</f>
        <v>https://www.google.com/maps/search/?api=1&amp;query=-30.9016947045508,-55.53457434041340</v>
      </c>
      <c r="G1492" s="27" t="str">
        <f t="array" ref="G1492">"https://earth.google.com/web/search/" &amp; A1492 &amp; "," &amp; B1492</f>
        <v>https://earth.google.com/web/search/-30.9016947045508,-55.53457434041340</v>
      </c>
      <c r="H1492" s="12"/>
      <c r="I1492" s="12"/>
      <c r="J1492" s="12"/>
      <c r="K1492" s="12"/>
      <c r="L1492" s="12"/>
      <c r="M1492" s="12"/>
      <c r="N1492" s="12"/>
      <c r="O1492" s="12"/>
      <c r="P1492" s="12"/>
      <c r="Q1492" s="12"/>
      <c r="R1492" s="12"/>
      <c r="S1492" s="12"/>
      <c r="T1492" s="12"/>
      <c r="U1492" s="12"/>
      <c r="V1492" s="12"/>
      <c r="W1492" s="12"/>
      <c r="X1492" s="12"/>
      <c r="Y1492" s="12"/>
      <c r="Z1492" s="12"/>
      <c r="AA1492" s="12"/>
    </row>
    <row r="1493" ht="26.25" customHeight="1">
      <c r="A1493" s="26" t="s">
        <v>2990</v>
      </c>
      <c r="B1493" s="26" t="s">
        <v>2991</v>
      </c>
      <c r="C1493" s="14">
        <v>2.0</v>
      </c>
      <c r="D1493" s="23">
        <v>502.0</v>
      </c>
      <c r="E1493" s="23">
        <v>1.0</v>
      </c>
      <c r="F1493" s="27" t="str">
        <f t="array" ref="F1493">"https://www.google.com/maps/search/?api=1&amp;query=" &amp; A1493 &amp; "," &amp; B1493</f>
        <v>https://www.google.com/maps/search/?api=1&amp;query=-30.9022922300580,-55.53399797490750</v>
      </c>
      <c r="G1493" s="27" t="str">
        <f t="array" ref="G1493">"https://earth.google.com/web/search/" &amp; A1493 &amp; "," &amp; B1493</f>
        <v>https://earth.google.com/web/search/-30.9022922300580,-55.53399797490750</v>
      </c>
      <c r="H1493" s="12"/>
      <c r="I1493" s="12"/>
      <c r="J1493" s="12"/>
      <c r="K1493" s="12"/>
      <c r="L1493" s="12"/>
      <c r="M1493" s="12"/>
      <c r="N1493" s="12"/>
      <c r="O1493" s="12"/>
      <c r="P1493" s="12"/>
      <c r="Q1493" s="12"/>
      <c r="R1493" s="12"/>
      <c r="S1493" s="12"/>
      <c r="T1493" s="12"/>
      <c r="U1493" s="12"/>
      <c r="V1493" s="12"/>
      <c r="W1493" s="12"/>
      <c r="X1493" s="12"/>
      <c r="Y1493" s="12"/>
      <c r="Z1493" s="12"/>
      <c r="AA1493" s="12"/>
    </row>
    <row r="1494" ht="26.25" customHeight="1">
      <c r="A1494" s="26" t="s">
        <v>2992</v>
      </c>
      <c r="B1494" s="26" t="s">
        <v>2993</v>
      </c>
      <c r="C1494" s="14">
        <v>2.0</v>
      </c>
      <c r="D1494" s="23">
        <v>502.0</v>
      </c>
      <c r="E1494" s="23">
        <v>2.0</v>
      </c>
      <c r="F1494" s="27" t="str">
        <f t="array" ref="F1494">"https://www.google.com/maps/search/?api=1&amp;query=" &amp; A1494 &amp; "," &amp; B1494</f>
        <v>https://www.google.com/maps/search/?api=1&amp;query=-30.9023259943741,-55.53402020750110</v>
      </c>
      <c r="G1494" s="27" t="str">
        <f t="array" ref="G1494">"https://earth.google.com/web/search/" &amp; A1494 &amp; "," &amp; B1494</f>
        <v>https://earth.google.com/web/search/-30.9023259943741,-55.53402020750110</v>
      </c>
      <c r="H1494" s="12"/>
      <c r="I1494" s="12"/>
      <c r="J1494" s="12"/>
      <c r="K1494" s="12"/>
      <c r="L1494" s="12"/>
      <c r="M1494" s="12"/>
      <c r="N1494" s="12"/>
      <c r="O1494" s="12"/>
      <c r="P1494" s="12"/>
      <c r="Q1494" s="12"/>
      <c r="R1494" s="12"/>
      <c r="S1494" s="12"/>
      <c r="T1494" s="12"/>
      <c r="U1494" s="12"/>
      <c r="V1494" s="12"/>
      <c r="W1494" s="12"/>
      <c r="X1494" s="12"/>
      <c r="Y1494" s="12"/>
      <c r="Z1494" s="12"/>
      <c r="AA1494" s="12"/>
    </row>
    <row r="1495" ht="26.25" customHeight="1">
      <c r="A1495" s="26" t="s">
        <v>2994</v>
      </c>
      <c r="B1495" s="26" t="s">
        <v>2995</v>
      </c>
      <c r="C1495" s="14">
        <v>2.0</v>
      </c>
      <c r="D1495" s="23">
        <v>502.0</v>
      </c>
      <c r="E1495" s="23">
        <v>3.0</v>
      </c>
      <c r="F1495" s="27" t="str">
        <f t="array" ref="F1495">"https://www.google.com/maps/search/?api=1&amp;query=" &amp; A1495 &amp; "," &amp; B1495</f>
        <v>https://www.google.com/maps/search/?api=1&amp;query=-30.9023574902790,-55.53404447605070</v>
      </c>
      <c r="G1495" s="27" t="str">
        <f t="array" ref="G1495">"https://earth.google.com/web/search/" &amp; A1495 &amp; "," &amp; B1495</f>
        <v>https://earth.google.com/web/search/-30.9023574902790,-55.53404447605070</v>
      </c>
      <c r="H1495" s="12"/>
      <c r="I1495" s="12"/>
      <c r="J1495" s="12"/>
      <c r="K1495" s="12"/>
      <c r="L1495" s="12"/>
      <c r="M1495" s="12"/>
      <c r="N1495" s="12"/>
      <c r="O1495" s="12"/>
      <c r="P1495" s="12"/>
      <c r="Q1495" s="12"/>
      <c r="R1495" s="12"/>
      <c r="S1495" s="12"/>
      <c r="T1495" s="12"/>
      <c r="U1495" s="12"/>
      <c r="V1495" s="12"/>
      <c r="W1495" s="12"/>
      <c r="X1495" s="12"/>
      <c r="Y1495" s="12"/>
      <c r="Z1495" s="12"/>
      <c r="AA1495" s="12"/>
    </row>
    <row r="1496" ht="26.25" customHeight="1">
      <c r="A1496" s="26" t="s">
        <v>2996</v>
      </c>
      <c r="B1496" s="26" t="s">
        <v>2997</v>
      </c>
      <c r="C1496" s="14">
        <v>2.0</v>
      </c>
      <c r="D1496" s="23">
        <v>502.0</v>
      </c>
      <c r="E1496" s="23">
        <v>4.0</v>
      </c>
      <c r="F1496" s="27" t="str">
        <f t="array" ref="F1496">"https://www.google.com/maps/search/?api=1&amp;query=" &amp; A1496 &amp; "," &amp; B1496</f>
        <v>https://www.google.com/maps/search/?api=1&amp;query=-30.9026603000558,-5.55342567786747</v>
      </c>
      <c r="G1496" s="27" t="str">
        <f t="array" ref="G1496">"https://earth.google.com/web/search/" &amp; A1496 &amp; "," &amp; B1496</f>
        <v>https://earth.google.com/web/search/-30.9026603000558,-5.55342567786747</v>
      </c>
      <c r="H1496" s="12"/>
      <c r="I1496" s="12"/>
      <c r="J1496" s="12"/>
      <c r="K1496" s="12"/>
      <c r="L1496" s="12"/>
      <c r="M1496" s="12"/>
      <c r="N1496" s="12"/>
      <c r="O1496" s="12"/>
      <c r="P1496" s="12"/>
      <c r="Q1496" s="12"/>
      <c r="R1496" s="12"/>
      <c r="S1496" s="12"/>
      <c r="T1496" s="12"/>
      <c r="U1496" s="12"/>
      <c r="V1496" s="12"/>
      <c r="W1496" s="12"/>
      <c r="X1496" s="12"/>
      <c r="Y1496" s="12"/>
      <c r="Z1496" s="12"/>
      <c r="AA1496" s="12"/>
    </row>
    <row r="1497" ht="26.25" customHeight="1">
      <c r="A1497" s="26" t="s">
        <v>2998</v>
      </c>
      <c r="B1497" s="26" t="s">
        <v>2999</v>
      </c>
      <c r="C1497" s="14">
        <v>2.0</v>
      </c>
      <c r="D1497" s="23">
        <v>502.0</v>
      </c>
      <c r="E1497" s="23">
        <v>5.0</v>
      </c>
      <c r="F1497" s="27" t="str">
        <f t="array" ref="F1497">"https://www.google.com/maps/search/?api=1&amp;query=" &amp; A1497 &amp; "," &amp; B1497</f>
        <v>https://www.google.com/maps/search/?api=1&amp;query=-30.9027187882233,-55.53430192913010</v>
      </c>
      <c r="G1497" s="27" t="str">
        <f t="array" ref="G1497">"https://earth.google.com/web/search/" &amp; A1497 &amp; "," &amp; B1497</f>
        <v>https://earth.google.com/web/search/-30.9027187882233,-55.53430192913010</v>
      </c>
      <c r="H1497" s="12"/>
      <c r="I1497" s="12"/>
      <c r="J1497" s="12"/>
      <c r="K1497" s="12"/>
      <c r="L1497" s="12"/>
      <c r="M1497" s="12"/>
      <c r="N1497" s="12"/>
      <c r="O1497" s="12"/>
      <c r="P1497" s="12"/>
      <c r="Q1497" s="12"/>
      <c r="R1497" s="12"/>
      <c r="S1497" s="12"/>
      <c r="T1497" s="12"/>
      <c r="U1497" s="12"/>
      <c r="V1497" s="12"/>
      <c r="W1497" s="12"/>
      <c r="X1497" s="12"/>
      <c r="Y1497" s="12"/>
      <c r="Z1497" s="12"/>
      <c r="AA1497" s="12"/>
    </row>
    <row r="1498" ht="26.25" customHeight="1">
      <c r="A1498" s="26" t="s">
        <v>3000</v>
      </c>
      <c r="B1498" s="26" t="s">
        <v>3001</v>
      </c>
      <c r="C1498" s="14">
        <v>2.0</v>
      </c>
      <c r="D1498" s="23">
        <v>502.0</v>
      </c>
      <c r="E1498" s="23">
        <v>6.0</v>
      </c>
      <c r="F1498" s="27" t="str">
        <f t="array" ref="F1498">"https://www.google.com/maps/search/?api=1&amp;query=" &amp; A1498 &amp; "," &amp; B1498</f>
        <v>https://www.google.com/maps/search/?api=1&amp;query=-30.9029209091265,-55.53414220176360</v>
      </c>
      <c r="G1498" s="27" t="str">
        <f t="array" ref="G1498">"https://earth.google.com/web/search/" &amp; A1498 &amp; "," &amp; B1498</f>
        <v>https://earth.google.com/web/search/-30.9029209091265,-55.53414220176360</v>
      </c>
      <c r="H1498" s="12"/>
      <c r="I1498" s="12"/>
      <c r="J1498" s="12"/>
      <c r="K1498" s="12"/>
      <c r="L1498" s="12"/>
      <c r="M1498" s="12"/>
      <c r="N1498" s="12"/>
      <c r="O1498" s="12"/>
      <c r="P1498" s="12"/>
      <c r="Q1498" s="12"/>
      <c r="R1498" s="12"/>
      <c r="S1498" s="12"/>
      <c r="T1498" s="12"/>
      <c r="U1498" s="12"/>
      <c r="V1498" s="12"/>
      <c r="W1498" s="12"/>
      <c r="X1498" s="12"/>
      <c r="Y1498" s="12"/>
      <c r="Z1498" s="12"/>
      <c r="AA1498" s="12"/>
    </row>
    <row r="1499" ht="26.25" customHeight="1">
      <c r="A1499" s="26" t="s">
        <v>3002</v>
      </c>
      <c r="B1499" s="26" t="s">
        <v>3003</v>
      </c>
      <c r="C1499" s="14">
        <v>2.0</v>
      </c>
      <c r="D1499" s="23">
        <v>502.0</v>
      </c>
      <c r="E1499" s="23">
        <v>7.0</v>
      </c>
      <c r="F1499" s="27" t="str">
        <f t="array" ref="F1499">"https://www.google.com/maps/search/?api=1&amp;query=" &amp; A1499 &amp; "," &amp; B1499</f>
        <v>https://www.google.com/maps/search/?api=1&amp;query=-30.9029749704165,-55.53404885647680</v>
      </c>
      <c r="G1499" s="27" t="str">
        <f t="array" ref="G1499">"https://earth.google.com/web/search/" &amp; A1499 &amp; "," &amp; B1499</f>
        <v>https://earth.google.com/web/search/-30.9029749704165,-55.53404885647680</v>
      </c>
      <c r="H1499" s="12"/>
      <c r="I1499" s="12"/>
      <c r="J1499" s="12"/>
      <c r="K1499" s="12"/>
      <c r="L1499" s="12"/>
      <c r="M1499" s="12"/>
      <c r="N1499" s="12"/>
      <c r="O1499" s="12"/>
      <c r="P1499" s="12"/>
      <c r="Q1499" s="12"/>
      <c r="R1499" s="12"/>
      <c r="S1499" s="12"/>
      <c r="T1499" s="12"/>
      <c r="U1499" s="12"/>
      <c r="V1499" s="12"/>
      <c r="W1499" s="12"/>
      <c r="X1499" s="12"/>
      <c r="Y1499" s="12"/>
      <c r="Z1499" s="12"/>
      <c r="AA1499" s="12"/>
    </row>
    <row r="1500" ht="26.25" customHeight="1">
      <c r="A1500" s="26" t="s">
        <v>3004</v>
      </c>
      <c r="B1500" s="26" t="s">
        <v>3005</v>
      </c>
      <c r="C1500" s="14">
        <v>2.0</v>
      </c>
      <c r="D1500" s="23">
        <v>502.0</v>
      </c>
      <c r="E1500" s="23">
        <v>8.0</v>
      </c>
      <c r="F1500" s="27" t="str">
        <f t="array" ref="F1500">"https://www.google.com/maps/search/?api=1&amp;query=" &amp; A1500 &amp; "," &amp; B1500</f>
        <v>https://www.google.com/maps/search/?api=1&amp;query=-30.9030428449553,-55.53400337699240</v>
      </c>
      <c r="G1500" s="27" t="str">
        <f t="array" ref="G1500">"https://earth.google.com/web/search/" &amp; A1500 &amp; "," &amp; B1500</f>
        <v>https://earth.google.com/web/search/-30.9030428449553,-55.53400337699240</v>
      </c>
      <c r="H1500" s="12"/>
      <c r="I1500" s="12"/>
      <c r="J1500" s="12"/>
      <c r="K1500" s="12"/>
      <c r="L1500" s="12"/>
      <c r="M1500" s="12"/>
      <c r="N1500" s="12"/>
      <c r="O1500" s="12"/>
      <c r="P1500" s="12"/>
      <c r="Q1500" s="12"/>
      <c r="R1500" s="12"/>
      <c r="S1500" s="12"/>
      <c r="T1500" s="12"/>
      <c r="U1500" s="12"/>
      <c r="V1500" s="12"/>
      <c r="W1500" s="12"/>
      <c r="X1500" s="12"/>
      <c r="Y1500" s="12"/>
      <c r="Z1500" s="12"/>
      <c r="AA1500" s="12"/>
    </row>
    <row r="1501" ht="26.25" customHeight="1">
      <c r="A1501" s="26" t="s">
        <v>3006</v>
      </c>
      <c r="B1501" s="26" t="s">
        <v>3007</v>
      </c>
      <c r="C1501" s="14">
        <v>2.0</v>
      </c>
      <c r="D1501" s="23">
        <v>502.0</v>
      </c>
      <c r="E1501" s="23">
        <v>9.0</v>
      </c>
      <c r="F1501" s="27" t="str">
        <f t="array" ref="F1501">"https://www.google.com/maps/search/?api=1&amp;query=" &amp; A1501 &amp; "," &amp; B1501</f>
        <v>https://www.google.com/maps/search/?api=1&amp;query=-30.9030233921981,-55.53388558018760</v>
      </c>
      <c r="G1501" s="27" t="str">
        <f t="array" ref="G1501">"https://earth.google.com/web/search/" &amp; A1501 &amp; "," &amp; B1501</f>
        <v>https://earth.google.com/web/search/-30.9030233921981,-55.53388558018760</v>
      </c>
      <c r="H1501" s="12"/>
      <c r="I1501" s="12"/>
      <c r="J1501" s="12"/>
      <c r="K1501" s="12"/>
      <c r="L1501" s="12"/>
      <c r="M1501" s="12"/>
      <c r="N1501" s="12"/>
      <c r="O1501" s="12"/>
      <c r="P1501" s="12"/>
      <c r="Q1501" s="12"/>
      <c r="R1501" s="12"/>
      <c r="S1501" s="12"/>
      <c r="T1501" s="12"/>
      <c r="U1501" s="12"/>
      <c r="V1501" s="12"/>
      <c r="W1501" s="12"/>
      <c r="X1501" s="12"/>
      <c r="Y1501" s="12"/>
      <c r="Z1501" s="12"/>
      <c r="AA1501" s="12"/>
    </row>
    <row r="1502" ht="26.25" customHeight="1">
      <c r="A1502" s="26" t="s">
        <v>3008</v>
      </c>
      <c r="B1502" s="26" t="s">
        <v>3009</v>
      </c>
      <c r="C1502" s="14">
        <v>2.0</v>
      </c>
      <c r="D1502" s="23">
        <v>502.0</v>
      </c>
      <c r="E1502" s="23">
        <v>10.0</v>
      </c>
      <c r="F1502" s="27" t="str">
        <f t="array" ref="F1502">"https://www.google.com/maps/search/?api=1&amp;query=" &amp; A1502 &amp; "," &amp; B1502</f>
        <v>https://www.google.com/maps/search/?api=1&amp;query=-30.9030743513230,-55.53383797962180</v>
      </c>
      <c r="G1502" s="27" t="str">
        <f t="array" ref="G1502">"https://earth.google.com/web/search/" &amp; A1502 &amp; "," &amp; B1502</f>
        <v>https://earth.google.com/web/search/-30.9030743513230,-55.53383797962180</v>
      </c>
      <c r="H1502" s="12"/>
      <c r="I1502" s="12"/>
      <c r="J1502" s="12"/>
      <c r="K1502" s="12"/>
      <c r="L1502" s="12"/>
      <c r="M1502" s="12"/>
      <c r="N1502" s="12"/>
      <c r="O1502" s="12"/>
      <c r="P1502" s="12"/>
      <c r="Q1502" s="12"/>
      <c r="R1502" s="12"/>
      <c r="S1502" s="12"/>
      <c r="T1502" s="12"/>
      <c r="U1502" s="12"/>
      <c r="V1502" s="12"/>
      <c r="W1502" s="12"/>
      <c r="X1502" s="12"/>
      <c r="Y1502" s="12"/>
      <c r="Z1502" s="12"/>
      <c r="AA1502" s="12"/>
    </row>
    <row r="1503" ht="26.25" customHeight="1">
      <c r="A1503" s="26" t="s">
        <v>3010</v>
      </c>
      <c r="B1503" s="26" t="s">
        <v>3011</v>
      </c>
      <c r="C1503" s="14">
        <v>2.0</v>
      </c>
      <c r="D1503" s="23">
        <v>502.0</v>
      </c>
      <c r="E1503" s="23">
        <v>11.0</v>
      </c>
      <c r="F1503" s="27" t="str">
        <f t="array" ref="F1503">"https://www.google.com/maps/search/?api=1&amp;query=" &amp; A1503 &amp; "," &amp; B1503</f>
        <v>https://www.google.com/maps/search/?api=1&amp;query=-30.9032420009391,-55.53332801370990</v>
      </c>
      <c r="G1503" s="27" t="str">
        <f t="array" ref="G1503">"https://earth.google.com/web/search/" &amp; A1503 &amp; "," &amp; B1503</f>
        <v>https://earth.google.com/web/search/-30.9032420009391,-55.53332801370990</v>
      </c>
      <c r="H1503" s="12"/>
      <c r="I1503" s="12"/>
      <c r="J1503" s="12"/>
      <c r="K1503" s="12"/>
      <c r="L1503" s="12"/>
      <c r="M1503" s="12"/>
      <c r="N1503" s="12"/>
      <c r="O1503" s="12"/>
      <c r="P1503" s="12"/>
      <c r="Q1503" s="12"/>
      <c r="R1503" s="12"/>
      <c r="S1503" s="12"/>
      <c r="T1503" s="12"/>
      <c r="U1503" s="12"/>
      <c r="V1503" s="12"/>
      <c r="W1503" s="12"/>
      <c r="X1503" s="12"/>
      <c r="Y1503" s="12"/>
      <c r="Z1503" s="12"/>
      <c r="AA1503" s="12"/>
    </row>
    <row r="1504" ht="26.25" customHeight="1">
      <c r="A1504" s="26" t="s">
        <v>3012</v>
      </c>
      <c r="B1504" s="26" t="s">
        <v>3013</v>
      </c>
      <c r="C1504" s="14">
        <v>2.0</v>
      </c>
      <c r="D1504" s="23">
        <v>502.0</v>
      </c>
      <c r="E1504" s="23">
        <v>12.0</v>
      </c>
      <c r="F1504" s="27" t="str">
        <f t="array" ref="F1504">"https://www.google.com/maps/search/?api=1&amp;query=" &amp; A1504 &amp; "," &amp; B1504</f>
        <v>https://www.google.com/maps/search/?api=1&amp;query=-30.9031174308100,-55.53337564820180</v>
      </c>
      <c r="G1504" s="27" t="str">
        <f t="array" ref="G1504">"https://earth.google.com/web/search/" &amp; A1504 &amp; "," &amp; B1504</f>
        <v>https://earth.google.com/web/search/-30.9031174308100,-55.53337564820180</v>
      </c>
      <c r="H1504" s="12"/>
      <c r="I1504" s="12"/>
      <c r="J1504" s="12"/>
      <c r="K1504" s="12"/>
      <c r="L1504" s="12"/>
      <c r="M1504" s="12"/>
      <c r="N1504" s="12"/>
      <c r="O1504" s="12"/>
      <c r="P1504" s="12"/>
      <c r="Q1504" s="12"/>
      <c r="R1504" s="12"/>
      <c r="S1504" s="12"/>
      <c r="T1504" s="12"/>
      <c r="U1504" s="12"/>
      <c r="V1504" s="12"/>
      <c r="W1504" s="12"/>
      <c r="X1504" s="12"/>
      <c r="Y1504" s="12"/>
      <c r="Z1504" s="12"/>
      <c r="AA1504" s="12"/>
    </row>
    <row r="1505" ht="26.25" customHeight="1">
      <c r="A1505" s="26" t="s">
        <v>3014</v>
      </c>
      <c r="B1505" s="26" t="s">
        <v>3015</v>
      </c>
      <c r="C1505" s="14">
        <v>2.0</v>
      </c>
      <c r="D1505" s="23">
        <v>502.0</v>
      </c>
      <c r="E1505" s="23">
        <v>13.0</v>
      </c>
      <c r="F1505" s="27" t="str">
        <f t="array" ref="F1505">"https://www.google.com/maps/search/?api=1&amp;query=" &amp; A1505 &amp; "," &amp; B1505</f>
        <v>https://www.google.com/maps/search/?api=1&amp;query=-0.0309029533331,-55.53337630573540</v>
      </c>
      <c r="G1505" s="27" t="str">
        <f t="array" ref="G1505">"https://earth.google.com/web/search/" &amp; A1505 &amp; "," &amp; B1505</f>
        <v>https://earth.google.com/web/search/-0.0309029533331,-55.53337630573540</v>
      </c>
      <c r="H1505" s="12"/>
      <c r="I1505" s="12"/>
      <c r="J1505" s="12"/>
      <c r="K1505" s="12"/>
      <c r="L1505" s="12"/>
      <c r="M1505" s="12"/>
      <c r="N1505" s="12"/>
      <c r="O1505" s="12"/>
      <c r="P1505" s="12"/>
      <c r="Q1505" s="12"/>
      <c r="R1505" s="12"/>
      <c r="S1505" s="12"/>
      <c r="T1505" s="12"/>
      <c r="U1505" s="12"/>
      <c r="V1505" s="12"/>
      <c r="W1505" s="12"/>
      <c r="X1505" s="12"/>
      <c r="Y1505" s="12"/>
      <c r="Z1505" s="12"/>
      <c r="AA1505" s="12"/>
    </row>
    <row r="1506" ht="26.25" customHeight="1">
      <c r="A1506" s="26" t="s">
        <v>3016</v>
      </c>
      <c r="B1506" s="26" t="s">
        <v>3017</v>
      </c>
      <c r="C1506" s="14">
        <v>2.0</v>
      </c>
      <c r="D1506" s="23">
        <v>502.0</v>
      </c>
      <c r="E1506" s="23">
        <v>14.0</v>
      </c>
      <c r="F1506" s="27" t="str">
        <f t="array" ref="F1506">"https://www.google.com/maps/search/?api=1&amp;query=" &amp; A1506 &amp; "," &amp; B1506</f>
        <v>https://www.google.com/maps/search/?api=1&amp;query=-30.9028932470433,-55.53341380530570</v>
      </c>
      <c r="G1506" s="27" t="str">
        <f t="array" ref="G1506">"https://earth.google.com/web/search/" &amp; A1506 &amp; "," &amp; B1506</f>
        <v>https://earth.google.com/web/search/-30.9028932470433,-55.53341380530570</v>
      </c>
      <c r="H1506" s="12"/>
      <c r="I1506" s="12"/>
      <c r="J1506" s="12"/>
      <c r="K1506" s="12"/>
      <c r="L1506" s="12"/>
      <c r="M1506" s="12"/>
      <c r="N1506" s="12"/>
      <c r="O1506" s="12"/>
      <c r="P1506" s="12"/>
      <c r="Q1506" s="12"/>
      <c r="R1506" s="12"/>
      <c r="S1506" s="12"/>
      <c r="T1506" s="12"/>
      <c r="U1506" s="12"/>
      <c r="V1506" s="12"/>
      <c r="W1506" s="12"/>
      <c r="X1506" s="12"/>
      <c r="Y1506" s="12"/>
      <c r="Z1506" s="12"/>
      <c r="AA1506" s="12"/>
    </row>
    <row r="1507" ht="26.25" customHeight="1">
      <c r="A1507" s="26" t="s">
        <v>3018</v>
      </c>
      <c r="B1507" s="26" t="s">
        <v>3019</v>
      </c>
      <c r="C1507" s="14">
        <v>2.0</v>
      </c>
      <c r="D1507" s="23">
        <v>502.0</v>
      </c>
      <c r="E1507" s="23">
        <v>15.0</v>
      </c>
      <c r="F1507" s="27" t="str">
        <f t="array" ref="F1507">"https://www.google.com/maps/search/?api=1&amp;query=" &amp; A1507 &amp; "," &amp; B1507</f>
        <v>https://www.google.com/maps/search/?api=1&amp;query=-30.9028436991991,-55.53333999183560</v>
      </c>
      <c r="G1507" s="27" t="str">
        <f t="array" ref="G1507">"https://earth.google.com/web/search/" &amp; A1507 &amp; "," &amp; B1507</f>
        <v>https://earth.google.com/web/search/-30.9028436991991,-55.53333999183560</v>
      </c>
      <c r="H1507" s="12"/>
      <c r="I1507" s="12"/>
      <c r="J1507" s="12"/>
      <c r="K1507" s="12"/>
      <c r="L1507" s="12"/>
      <c r="M1507" s="12"/>
      <c r="N1507" s="12"/>
      <c r="O1507" s="12"/>
      <c r="P1507" s="12"/>
      <c r="Q1507" s="12"/>
      <c r="R1507" s="12"/>
      <c r="S1507" s="12"/>
      <c r="T1507" s="12"/>
      <c r="U1507" s="12"/>
      <c r="V1507" s="12"/>
      <c r="W1507" s="12"/>
      <c r="X1507" s="12"/>
      <c r="Y1507" s="12"/>
      <c r="Z1507" s="12"/>
      <c r="AA1507" s="12"/>
    </row>
    <row r="1508" ht="26.25" customHeight="1">
      <c r="A1508" s="26" t="s">
        <v>3020</v>
      </c>
      <c r="B1508" s="26" t="s">
        <v>3021</v>
      </c>
      <c r="C1508" s="14">
        <v>2.0</v>
      </c>
      <c r="D1508" s="23">
        <v>502.0</v>
      </c>
      <c r="E1508" s="23">
        <v>16.0</v>
      </c>
      <c r="F1508" s="27" t="str">
        <f t="array" ref="F1508">"https://www.google.com/maps/search/?api=1&amp;query=" &amp; A1508 &amp; "," &amp; B1508</f>
        <v>https://www.google.com/maps/search/?api=1&amp;query=-30.9027590263292,-55.53332204280720</v>
      </c>
      <c r="G1508" s="27" t="str">
        <f t="array" ref="G1508">"https://earth.google.com/web/search/" &amp; A1508 &amp; "," &amp; B1508</f>
        <v>https://earth.google.com/web/search/-30.9027590263292,-55.53332204280720</v>
      </c>
      <c r="H1508" s="12"/>
      <c r="I1508" s="12"/>
      <c r="J1508" s="12"/>
      <c r="K1508" s="12"/>
      <c r="L1508" s="12"/>
      <c r="M1508" s="12"/>
      <c r="N1508" s="12"/>
      <c r="O1508" s="12"/>
      <c r="P1508" s="12"/>
      <c r="Q1508" s="12"/>
      <c r="R1508" s="12"/>
      <c r="S1508" s="12"/>
      <c r="T1508" s="12"/>
      <c r="U1508" s="12"/>
      <c r="V1508" s="12"/>
      <c r="W1508" s="12"/>
      <c r="X1508" s="12"/>
      <c r="Y1508" s="12"/>
      <c r="Z1508" s="12"/>
      <c r="AA1508" s="12"/>
    </row>
    <row r="1509" ht="26.25" customHeight="1">
      <c r="A1509" s="26" t="s">
        <v>3022</v>
      </c>
      <c r="B1509" s="26" t="s">
        <v>3023</v>
      </c>
      <c r="C1509" s="14">
        <v>2.0</v>
      </c>
      <c r="D1509" s="23">
        <v>502.0</v>
      </c>
      <c r="E1509" s="23">
        <v>17.0</v>
      </c>
      <c r="F1509" s="27" t="str">
        <f t="array" ref="F1509">"https://www.google.com/maps/search/?api=1&amp;query=" &amp; A1509 &amp; "," &amp; B1509</f>
        <v>https://www.google.com/maps/search/?api=1&amp;query=-30.9027047487311,-55.53330423300720</v>
      </c>
      <c r="G1509" s="27" t="str">
        <f t="array" ref="G1509">"https://earth.google.com/web/search/" &amp; A1509 &amp; "," &amp; B1509</f>
        <v>https://earth.google.com/web/search/-30.9027047487311,-55.53330423300720</v>
      </c>
      <c r="H1509" s="12"/>
      <c r="I1509" s="12"/>
      <c r="J1509" s="12"/>
      <c r="K1509" s="12"/>
      <c r="L1509" s="12"/>
      <c r="M1509" s="12"/>
      <c r="N1509" s="12"/>
      <c r="O1509" s="12"/>
      <c r="P1509" s="12"/>
      <c r="Q1509" s="12"/>
      <c r="R1509" s="12"/>
      <c r="S1509" s="12"/>
      <c r="T1509" s="12"/>
      <c r="U1509" s="12"/>
      <c r="V1509" s="12"/>
      <c r="W1509" s="12"/>
      <c r="X1509" s="12"/>
      <c r="Y1509" s="12"/>
      <c r="Z1509" s="12"/>
      <c r="AA1509" s="12"/>
    </row>
    <row r="1510" ht="26.25" customHeight="1">
      <c r="A1510" s="26" t="s">
        <v>3024</v>
      </c>
      <c r="B1510" s="26" t="s">
        <v>3025</v>
      </c>
      <c r="C1510" s="14">
        <v>2.0</v>
      </c>
      <c r="D1510" s="23">
        <v>502.0</v>
      </c>
      <c r="E1510" s="23">
        <v>18.0</v>
      </c>
      <c r="F1510" s="27" t="str">
        <f t="array" ref="F1510">"https://www.google.com/maps/search/?api=1&amp;query=" &amp; A1510 &amp; "," &amp; B1510</f>
        <v>https://www.google.com/maps/search/?api=1&amp;query=-30.9026638255105,-55.53327588667680</v>
      </c>
      <c r="G1510" s="27" t="str">
        <f t="array" ref="G1510">"https://earth.google.com/web/search/" &amp; A1510 &amp; "," &amp; B1510</f>
        <v>https://earth.google.com/web/search/-30.9026638255105,-55.53327588667680</v>
      </c>
      <c r="H1510" s="12"/>
      <c r="I1510" s="12"/>
      <c r="J1510" s="12"/>
      <c r="K1510" s="12"/>
      <c r="L1510" s="12"/>
      <c r="M1510" s="12"/>
      <c r="N1510" s="12"/>
      <c r="O1510" s="12"/>
      <c r="P1510" s="12"/>
      <c r="Q1510" s="12"/>
      <c r="R1510" s="12"/>
      <c r="S1510" s="12"/>
      <c r="T1510" s="12"/>
      <c r="U1510" s="12"/>
      <c r="V1510" s="12"/>
      <c r="W1510" s="12"/>
      <c r="X1510" s="12"/>
      <c r="Y1510" s="12"/>
      <c r="Z1510" s="12"/>
      <c r="AA1510" s="12"/>
    </row>
    <row r="1511" ht="26.25" customHeight="1">
      <c r="A1511" s="26" t="s">
        <v>3026</v>
      </c>
      <c r="B1511" s="26" t="s">
        <v>3027</v>
      </c>
      <c r="C1511" s="14">
        <v>2.0</v>
      </c>
      <c r="D1511" s="23">
        <v>502.0</v>
      </c>
      <c r="E1511" s="23">
        <v>19.0</v>
      </c>
      <c r="F1511" s="27" t="str">
        <f t="array" ref="F1511">"https://www.google.com/maps/search/?api=1&amp;query=" &amp; A1511 &amp; "," &amp; B1511</f>
        <v>https://www.google.com/maps/search/?api=1&amp;query=-30.9026035546457,-55.53323288296810</v>
      </c>
      <c r="G1511" s="27" t="str">
        <f t="array" ref="G1511">"https://earth.google.com/web/search/" &amp; A1511 &amp; "," &amp; B1511</f>
        <v>https://earth.google.com/web/search/-30.9026035546457,-55.53323288296810</v>
      </c>
      <c r="H1511" s="12"/>
      <c r="I1511" s="12"/>
      <c r="J1511" s="12"/>
      <c r="K1511" s="12"/>
      <c r="L1511" s="12"/>
      <c r="M1511" s="12"/>
      <c r="N1511" s="12"/>
      <c r="O1511" s="12"/>
      <c r="P1511" s="12"/>
      <c r="Q1511" s="12"/>
      <c r="R1511" s="12"/>
      <c r="S1511" s="12"/>
      <c r="T1511" s="12"/>
      <c r="U1511" s="12"/>
      <c r="V1511" s="12"/>
      <c r="W1511" s="12"/>
      <c r="X1511" s="12"/>
      <c r="Y1511" s="12"/>
      <c r="Z1511" s="12"/>
      <c r="AA1511" s="12"/>
    </row>
    <row r="1512" ht="26.25" customHeight="1">
      <c r="A1512" s="26" t="s">
        <v>3028</v>
      </c>
      <c r="B1512" s="26" t="s">
        <v>3029</v>
      </c>
      <c r="C1512" s="14">
        <v>2.0</v>
      </c>
      <c r="D1512" s="23">
        <v>184.0</v>
      </c>
      <c r="E1512" s="23">
        <v>1.0</v>
      </c>
      <c r="F1512" s="27" t="str">
        <f t="array" ref="F1512">"https://www.google.com/maps/search/?api=1&amp;query=" &amp; A1512 &amp; "," &amp; B1512</f>
        <v>https://www.google.com/maps/search/?api=1&amp;query=-30.9019236039818,-55.53625067600470</v>
      </c>
      <c r="G1512" s="27" t="str">
        <f t="array" ref="G1512">"https://earth.google.com/web/search/" &amp; A1512 &amp; "," &amp; B1512</f>
        <v>https://earth.google.com/web/search/-30.9019236039818,-55.53625067600470</v>
      </c>
      <c r="H1512" s="12"/>
      <c r="I1512" s="12"/>
      <c r="J1512" s="12"/>
      <c r="K1512" s="12"/>
      <c r="L1512" s="12"/>
      <c r="M1512" s="12"/>
      <c r="N1512" s="12"/>
      <c r="O1512" s="12"/>
      <c r="P1512" s="12"/>
      <c r="Q1512" s="12"/>
      <c r="R1512" s="12"/>
      <c r="S1512" s="12"/>
      <c r="T1512" s="12"/>
      <c r="U1512" s="12"/>
      <c r="V1512" s="12"/>
      <c r="W1512" s="12"/>
      <c r="X1512" s="12"/>
      <c r="Y1512" s="12"/>
      <c r="Z1512" s="12"/>
      <c r="AA1512" s="12"/>
    </row>
    <row r="1513" ht="26.25" customHeight="1">
      <c r="A1513" s="26" t="s">
        <v>3030</v>
      </c>
      <c r="B1513" s="26" t="s">
        <v>3031</v>
      </c>
      <c r="C1513" s="14">
        <v>2.0</v>
      </c>
      <c r="D1513" s="23">
        <v>184.0</v>
      </c>
      <c r="E1513" s="23">
        <v>2.0</v>
      </c>
      <c r="F1513" s="27" t="str">
        <f t="array" ref="F1513">"https://www.google.com/maps/search/?api=1&amp;query=" &amp; A1513 &amp; "," &amp; B1513</f>
        <v>https://www.google.com/maps/search/?api=1&amp;query=-30.9019803376194,-5.55362647719311</v>
      </c>
      <c r="G1513" s="27" t="str">
        <f t="array" ref="G1513">"https://earth.google.com/web/search/" &amp; A1513 &amp; "," &amp; B1513</f>
        <v>https://earth.google.com/web/search/-30.9019803376194,-5.55362647719311</v>
      </c>
      <c r="H1513" s="12"/>
      <c r="I1513" s="12"/>
      <c r="J1513" s="12"/>
      <c r="K1513" s="12"/>
      <c r="L1513" s="12"/>
      <c r="M1513" s="12"/>
      <c r="N1513" s="12"/>
      <c r="O1513" s="12"/>
      <c r="P1513" s="12"/>
      <c r="Q1513" s="12"/>
      <c r="R1513" s="12"/>
      <c r="S1513" s="12"/>
      <c r="T1513" s="12"/>
      <c r="U1513" s="12"/>
      <c r="V1513" s="12"/>
      <c r="W1513" s="12"/>
      <c r="X1513" s="12"/>
      <c r="Y1513" s="12"/>
      <c r="Z1513" s="12"/>
      <c r="AA1513" s="12"/>
    </row>
    <row r="1514" ht="26.25" customHeight="1">
      <c r="A1514" s="26" t="s">
        <v>3032</v>
      </c>
      <c r="B1514" s="26" t="s">
        <v>3033</v>
      </c>
      <c r="C1514" s="14">
        <v>2.0</v>
      </c>
      <c r="D1514" s="23">
        <v>184.0</v>
      </c>
      <c r="E1514" s="23">
        <v>3.0</v>
      </c>
      <c r="F1514" s="27" t="str">
        <f t="array" ref="F1514">"https://www.google.com/maps/search/?api=1&amp;query=" &amp; A1514 &amp; "," &amp; B1514</f>
        <v>https://www.google.com/maps/search/?api=1&amp;query=-30.9020209948050,-55.53628855679810</v>
      </c>
      <c r="G1514" s="27" t="str">
        <f t="array" ref="G1514">"https://earth.google.com/web/search/" &amp; A1514 &amp; "," &amp; B1514</f>
        <v>https://earth.google.com/web/search/-30.9020209948050,-55.53628855679810</v>
      </c>
      <c r="H1514" s="12"/>
      <c r="I1514" s="12"/>
      <c r="J1514" s="12"/>
      <c r="K1514" s="12"/>
      <c r="L1514" s="12"/>
      <c r="M1514" s="12"/>
      <c r="N1514" s="12"/>
      <c r="O1514" s="12"/>
      <c r="P1514" s="12"/>
      <c r="Q1514" s="12"/>
      <c r="R1514" s="12"/>
      <c r="S1514" s="12"/>
      <c r="T1514" s="12"/>
      <c r="U1514" s="12"/>
      <c r="V1514" s="12"/>
      <c r="W1514" s="12"/>
      <c r="X1514" s="12"/>
      <c r="Y1514" s="12"/>
      <c r="Z1514" s="12"/>
      <c r="AA1514" s="12"/>
    </row>
    <row r="1515" ht="26.25" customHeight="1">
      <c r="A1515" s="26" t="s">
        <v>3034</v>
      </c>
      <c r="B1515" s="26" t="s">
        <v>3035</v>
      </c>
      <c r="C1515" s="14">
        <v>2.0</v>
      </c>
      <c r="D1515" s="23">
        <v>184.0</v>
      </c>
      <c r="E1515" s="23">
        <v>4.0</v>
      </c>
      <c r="F1515" s="27" t="str">
        <f t="array" ref="F1515">"https://www.google.com/maps/search/?api=1&amp;query=" &amp; A1515 &amp; "," &amp; B1515</f>
        <v>https://www.google.com/maps/search/?api=1&amp;query=-30.9020594594968,-55.53632976897470</v>
      </c>
      <c r="G1515" s="27" t="str">
        <f t="array" ref="G1515">"https://earth.google.com/web/search/" &amp; A1515 &amp; "," &amp; B1515</f>
        <v>https://earth.google.com/web/search/-30.9020594594968,-55.53632976897470</v>
      </c>
      <c r="H1515" s="12"/>
      <c r="I1515" s="12"/>
      <c r="J1515" s="12"/>
      <c r="K1515" s="12"/>
      <c r="L1515" s="12"/>
      <c r="M1515" s="12"/>
      <c r="N1515" s="12"/>
      <c r="O1515" s="12"/>
      <c r="P1515" s="12"/>
      <c r="Q1515" s="12"/>
      <c r="R1515" s="12"/>
      <c r="S1515" s="12"/>
      <c r="T1515" s="12"/>
      <c r="U1515" s="12"/>
      <c r="V1515" s="12"/>
      <c r="W1515" s="12"/>
      <c r="X1515" s="12"/>
      <c r="Y1515" s="12"/>
      <c r="Z1515" s="12"/>
      <c r="AA1515" s="12"/>
    </row>
    <row r="1516" ht="26.25" customHeight="1">
      <c r="A1516" s="26" t="s">
        <v>3036</v>
      </c>
      <c r="B1516" s="26" t="s">
        <v>3037</v>
      </c>
      <c r="C1516" s="14">
        <v>2.0</v>
      </c>
      <c r="D1516" s="23">
        <v>184.0</v>
      </c>
      <c r="E1516" s="23">
        <v>5.0</v>
      </c>
      <c r="F1516" s="27" t="str">
        <f t="array" ref="F1516">"https://www.google.com/maps/search/?api=1&amp;query=" &amp; A1516 &amp; "," &amp; B1516</f>
        <v>https://www.google.com/maps/search/?api=1&amp;query=-30.9021025899540,-55.53634910314220</v>
      </c>
      <c r="G1516" s="27" t="str">
        <f t="array" ref="G1516">"https://earth.google.com/web/search/" &amp; A1516 &amp; "," &amp; B1516</f>
        <v>https://earth.google.com/web/search/-30.9021025899540,-55.53634910314220</v>
      </c>
      <c r="H1516" s="12"/>
      <c r="I1516" s="12"/>
      <c r="J1516" s="12"/>
      <c r="K1516" s="12"/>
      <c r="L1516" s="12"/>
      <c r="M1516" s="12"/>
      <c r="N1516" s="12"/>
      <c r="O1516" s="12"/>
      <c r="P1516" s="12"/>
      <c r="Q1516" s="12"/>
      <c r="R1516" s="12"/>
      <c r="S1516" s="12"/>
      <c r="T1516" s="12"/>
      <c r="U1516" s="12"/>
      <c r="V1516" s="12"/>
      <c r="W1516" s="12"/>
      <c r="X1516" s="12"/>
      <c r="Y1516" s="12"/>
      <c r="Z1516" s="12"/>
      <c r="AA1516" s="12"/>
    </row>
    <row r="1517" ht="26.25" customHeight="1">
      <c r="A1517" s="26" t="s">
        <v>3038</v>
      </c>
      <c r="B1517" s="26" t="s">
        <v>3039</v>
      </c>
      <c r="C1517" s="14">
        <v>2.0</v>
      </c>
      <c r="D1517" s="23">
        <v>184.0</v>
      </c>
      <c r="E1517" s="23">
        <v>6.0</v>
      </c>
      <c r="F1517" s="27" t="str">
        <f t="array" ref="F1517">"https://www.google.com/maps/search/?api=1&amp;query=" &amp; A1517 &amp; "," &amp; B1517</f>
        <v>https://www.google.com/maps/search/?api=1&amp;query=-30.9026381674408,-55.53666514156840</v>
      </c>
      <c r="G1517" s="27" t="str">
        <f t="array" ref="G1517">"https://earth.google.com/web/search/" &amp; A1517 &amp; "," &amp; B1517</f>
        <v>https://earth.google.com/web/search/-30.9026381674408,-55.53666514156840</v>
      </c>
      <c r="H1517" s="12"/>
      <c r="I1517" s="12"/>
      <c r="J1517" s="12"/>
      <c r="K1517" s="12"/>
      <c r="L1517" s="12"/>
      <c r="M1517" s="12"/>
      <c r="N1517" s="12"/>
      <c r="O1517" s="12"/>
      <c r="P1517" s="12"/>
      <c r="Q1517" s="12"/>
      <c r="R1517" s="12"/>
      <c r="S1517" s="12"/>
      <c r="T1517" s="12"/>
      <c r="U1517" s="12"/>
      <c r="V1517" s="12"/>
      <c r="W1517" s="12"/>
      <c r="X1517" s="12"/>
      <c r="Y1517" s="12"/>
      <c r="Z1517" s="12"/>
      <c r="AA1517" s="12"/>
    </row>
    <row r="1518" ht="26.25" customHeight="1">
      <c r="A1518" s="26" t="s">
        <v>3040</v>
      </c>
      <c r="B1518" s="26" t="s">
        <v>3041</v>
      </c>
      <c r="C1518" s="14">
        <v>2.0</v>
      </c>
      <c r="D1518" s="23">
        <v>184.0</v>
      </c>
      <c r="E1518" s="23">
        <v>7.0</v>
      </c>
      <c r="F1518" s="27" t="str">
        <f t="array" ref="F1518">"https://www.google.com/maps/search/?api=1&amp;query=" &amp; A1518 &amp; "," &amp; B1518</f>
        <v>https://www.google.com/maps/search/?api=1&amp;query=-30.9027605688917,-55.53653341181320</v>
      </c>
      <c r="G1518" s="27" t="str">
        <f t="array" ref="G1518">"https://earth.google.com/web/search/" &amp; A1518 &amp; "," &amp; B1518</f>
        <v>https://earth.google.com/web/search/-30.9027605688917,-55.53653341181320</v>
      </c>
      <c r="H1518" s="12"/>
      <c r="I1518" s="12"/>
      <c r="J1518" s="12"/>
      <c r="K1518" s="12"/>
      <c r="L1518" s="12"/>
      <c r="M1518" s="12"/>
      <c r="N1518" s="12"/>
      <c r="O1518" s="12"/>
      <c r="P1518" s="12"/>
      <c r="Q1518" s="12"/>
      <c r="R1518" s="12"/>
      <c r="S1518" s="12"/>
      <c r="T1518" s="12"/>
      <c r="U1518" s="12"/>
      <c r="V1518" s="12"/>
      <c r="W1518" s="12"/>
      <c r="X1518" s="12"/>
      <c r="Y1518" s="12"/>
      <c r="Z1518" s="12"/>
      <c r="AA1518" s="12"/>
    </row>
    <row r="1519" ht="26.25" customHeight="1">
      <c r="A1519" s="26" t="s">
        <v>3042</v>
      </c>
      <c r="B1519" s="26" t="s">
        <v>3043</v>
      </c>
      <c r="C1519" s="14">
        <v>2.0</v>
      </c>
      <c r="D1519" s="23">
        <v>184.0</v>
      </c>
      <c r="E1519" s="23">
        <v>8.0</v>
      </c>
      <c r="F1519" s="27" t="str">
        <f t="array" ref="F1519">"https://www.google.com/maps/search/?api=1&amp;query=" &amp; A1519 &amp; "," &amp; B1519</f>
        <v>https://www.google.com/maps/search/?api=1&amp;query=-30.9028189841485,-55.53635467129450</v>
      </c>
      <c r="G1519" s="27" t="str">
        <f t="array" ref="G1519">"https://earth.google.com/web/search/" &amp; A1519 &amp; "," &amp; B1519</f>
        <v>https://earth.google.com/web/search/-30.9028189841485,-55.53635467129450</v>
      </c>
      <c r="H1519" s="12"/>
      <c r="I1519" s="12"/>
      <c r="J1519" s="12"/>
      <c r="K1519" s="12"/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/>
    </row>
    <row r="1520" ht="26.25" customHeight="1">
      <c r="A1520" s="26" t="s">
        <v>3044</v>
      </c>
      <c r="B1520" s="26" t="s">
        <v>3045</v>
      </c>
      <c r="C1520" s="14">
        <v>2.0</v>
      </c>
      <c r="D1520" s="23">
        <v>184.0</v>
      </c>
      <c r="E1520" s="23">
        <v>9.0</v>
      </c>
      <c r="F1520" s="27" t="str">
        <f t="array" ref="F1520">"https://www.google.com/maps/search/?api=1&amp;query=" &amp; A1520 &amp; "," &amp; B1520</f>
        <v>https://www.google.com/maps/search/?api=1&amp;query=-30.9028827184038,-55.53624512219990</v>
      </c>
      <c r="G1520" s="27" t="str">
        <f t="array" ref="G1520">"https://earth.google.com/web/search/" &amp; A1520 &amp; "," &amp; B1520</f>
        <v>https://earth.google.com/web/search/-30.9028827184038,-55.53624512219990</v>
      </c>
      <c r="H1520" s="12"/>
      <c r="I1520" s="12"/>
      <c r="J1520" s="12"/>
      <c r="K1520" s="12"/>
      <c r="L1520" s="12"/>
      <c r="M1520" s="12"/>
      <c r="N1520" s="12"/>
      <c r="O1520" s="12"/>
      <c r="P1520" s="12"/>
      <c r="Q1520" s="12"/>
      <c r="R1520" s="12"/>
      <c r="S1520" s="12"/>
      <c r="T1520" s="12"/>
      <c r="U1520" s="12"/>
      <c r="V1520" s="12"/>
      <c r="W1520" s="12"/>
      <c r="X1520" s="12"/>
      <c r="Y1520" s="12"/>
      <c r="Z1520" s="12"/>
      <c r="AA1520" s="12"/>
    </row>
    <row r="1521" ht="26.25" customHeight="1">
      <c r="A1521" s="26" t="s">
        <v>3046</v>
      </c>
      <c r="B1521" s="26" t="s">
        <v>3047</v>
      </c>
      <c r="C1521" s="14">
        <v>2.0</v>
      </c>
      <c r="D1521" s="23">
        <v>184.0</v>
      </c>
      <c r="E1521" s="23">
        <v>10.0</v>
      </c>
      <c r="F1521" s="27" t="str">
        <f t="array" ref="F1521">"https://www.google.com/maps/search/?api=1&amp;query=" &amp; A1521 &amp; "," &amp; B1521</f>
        <v>https://www.google.com/maps/search/?api=1&amp;query=-30.9029108330423,-55.53612825585370</v>
      </c>
      <c r="G1521" s="27" t="str">
        <f t="array" ref="G1521">"https://earth.google.com/web/search/" &amp; A1521 &amp; "," &amp; B1521</f>
        <v>https://earth.google.com/web/search/-30.9029108330423,-55.53612825585370</v>
      </c>
      <c r="H1521" s="12"/>
      <c r="I1521" s="12"/>
      <c r="J1521" s="12"/>
      <c r="K1521" s="12"/>
      <c r="L1521" s="12"/>
      <c r="M1521" s="12"/>
      <c r="N1521" s="12"/>
      <c r="O1521" s="12"/>
      <c r="P1521" s="12"/>
      <c r="Q1521" s="12"/>
      <c r="R1521" s="12"/>
      <c r="S1521" s="12"/>
      <c r="T1521" s="12"/>
      <c r="U1521" s="12"/>
      <c r="V1521" s="12"/>
      <c r="W1521" s="12"/>
      <c r="X1521" s="12"/>
      <c r="Y1521" s="12"/>
      <c r="Z1521" s="12"/>
      <c r="AA1521" s="12"/>
    </row>
    <row r="1522" ht="26.25" customHeight="1">
      <c r="A1522" s="26" t="s">
        <v>3048</v>
      </c>
      <c r="B1522" s="26" t="s">
        <v>3049</v>
      </c>
      <c r="C1522" s="14">
        <v>2.0</v>
      </c>
      <c r="D1522" s="23">
        <v>184.0</v>
      </c>
      <c r="E1522" s="23">
        <v>11.0</v>
      </c>
      <c r="F1522" s="27" t="str">
        <f t="array" ref="F1522">"https://www.google.com/maps/search/?api=1&amp;query=" &amp; A1522 &amp; "," &amp; B1522</f>
        <v>https://www.google.com/maps/search/?api=1&amp;query=-30.9029449918188,-55.53607855045880</v>
      </c>
      <c r="G1522" s="27" t="str">
        <f t="array" ref="G1522">"https://earth.google.com/web/search/" &amp; A1522 &amp; "," &amp; B1522</f>
        <v>https://earth.google.com/web/search/-30.9029449918188,-55.53607855045880</v>
      </c>
      <c r="H1522" s="12"/>
      <c r="I1522" s="12"/>
      <c r="J1522" s="12"/>
      <c r="K1522" s="12"/>
      <c r="L1522" s="12"/>
      <c r="M1522" s="12"/>
      <c r="N1522" s="12"/>
      <c r="O1522" s="12"/>
      <c r="P1522" s="12"/>
      <c r="Q1522" s="12"/>
      <c r="R1522" s="12"/>
      <c r="S1522" s="12"/>
      <c r="T1522" s="12"/>
      <c r="U1522" s="12"/>
      <c r="V1522" s="12"/>
      <c r="W1522" s="12"/>
      <c r="X1522" s="12"/>
      <c r="Y1522" s="12"/>
      <c r="Z1522" s="12"/>
      <c r="AA1522" s="12"/>
    </row>
    <row r="1523" ht="26.25" customHeight="1">
      <c r="A1523" s="26" t="s">
        <v>3050</v>
      </c>
      <c r="B1523" s="26" t="s">
        <v>3051</v>
      </c>
      <c r="C1523" s="14">
        <v>2.0</v>
      </c>
      <c r="D1523" s="23">
        <v>184.0</v>
      </c>
      <c r="E1523" s="23">
        <v>12.0</v>
      </c>
      <c r="F1523" s="27" t="str">
        <f t="array" ref="F1523">"https://www.google.com/maps/search/?api=1&amp;query=" &amp; A1523 &amp; "," &amp; B1523</f>
        <v>https://www.google.com/maps/search/?api=1&amp;query=-30.9029765237334,-55.53603434408990</v>
      </c>
      <c r="G1523" s="27" t="str">
        <f t="array" ref="G1523">"https://earth.google.com/web/search/" &amp; A1523 &amp; "," &amp; B1523</f>
        <v>https://earth.google.com/web/search/-30.9029765237334,-55.53603434408990</v>
      </c>
      <c r="H1523" s="12"/>
      <c r="I1523" s="12"/>
      <c r="J1523" s="12"/>
      <c r="K1523" s="12"/>
      <c r="L1523" s="12"/>
      <c r="M1523" s="12"/>
      <c r="N1523" s="12"/>
      <c r="O1523" s="12"/>
      <c r="P1523" s="12"/>
      <c r="Q1523" s="12"/>
      <c r="R1523" s="12"/>
      <c r="S1523" s="12"/>
      <c r="T1523" s="12"/>
      <c r="U1523" s="12"/>
      <c r="V1523" s="12"/>
      <c r="W1523" s="12"/>
      <c r="X1523" s="12"/>
      <c r="Y1523" s="12"/>
      <c r="Z1523" s="12"/>
      <c r="AA1523" s="12"/>
    </row>
    <row r="1524" ht="26.25" customHeight="1">
      <c r="A1524" s="26" t="s">
        <v>3052</v>
      </c>
      <c r="B1524" s="26" t="s">
        <v>3053</v>
      </c>
      <c r="C1524" s="14">
        <v>2.0</v>
      </c>
      <c r="D1524" s="23">
        <v>184.0</v>
      </c>
      <c r="E1524" s="23">
        <v>13.0</v>
      </c>
      <c r="F1524" s="27" t="str">
        <f t="array" ref="F1524">"https://www.google.com/maps/search/?api=1&amp;query=" &amp; A1524 &amp; "," &amp; B1524</f>
        <v>https://www.google.com/maps/search/?api=1&amp;query=-30.9030172025173,-55.53596918141870</v>
      </c>
      <c r="G1524" s="27" t="str">
        <f t="array" ref="G1524">"https://earth.google.com/web/search/" &amp; A1524 &amp; "," &amp; B1524</f>
        <v>https://earth.google.com/web/search/-30.9030172025173,-55.53596918141870</v>
      </c>
      <c r="H1524" s="12"/>
      <c r="I1524" s="12"/>
      <c r="J1524" s="12"/>
      <c r="K1524" s="12"/>
      <c r="L1524" s="12"/>
      <c r="M1524" s="12"/>
      <c r="N1524" s="12"/>
      <c r="O1524" s="12"/>
      <c r="P1524" s="12"/>
      <c r="Q1524" s="12"/>
      <c r="R1524" s="12"/>
      <c r="S1524" s="12"/>
      <c r="T1524" s="12"/>
      <c r="U1524" s="12"/>
      <c r="V1524" s="12"/>
      <c r="W1524" s="12"/>
      <c r="X1524" s="12"/>
      <c r="Y1524" s="12"/>
      <c r="Z1524" s="12"/>
      <c r="AA1524" s="12"/>
    </row>
    <row r="1525" ht="26.25" customHeight="1">
      <c r="A1525" s="26" t="s">
        <v>3054</v>
      </c>
      <c r="B1525" s="26" t="s">
        <v>3055</v>
      </c>
      <c r="C1525" s="14">
        <v>2.0</v>
      </c>
      <c r="D1525" s="23">
        <v>184.0</v>
      </c>
      <c r="E1525" s="23">
        <v>14.0</v>
      </c>
      <c r="F1525" s="27" t="str">
        <f t="array" ref="F1525">"https://www.google.com/maps/search/?api=1&amp;query=" &amp; A1525 &amp; "," &amp; B1525</f>
        <v>https://www.google.com/maps/search/?api=1&amp;query=-3.0902849207616,-5.55358374682701</v>
      </c>
      <c r="G1525" s="27" t="str">
        <f t="array" ref="G1525">"https://earth.google.com/web/search/" &amp; A1525 &amp; "," &amp; B1525</f>
        <v>https://earth.google.com/web/search/-3.0902849207616,-5.55358374682701</v>
      </c>
      <c r="H1525" s="12"/>
      <c r="I1525" s="12"/>
      <c r="J1525" s="12"/>
      <c r="K1525" s="12"/>
      <c r="L1525" s="12"/>
      <c r="M1525" s="12"/>
      <c r="N1525" s="12"/>
      <c r="O1525" s="12"/>
      <c r="P1525" s="12"/>
      <c r="Q1525" s="12"/>
      <c r="R1525" s="12"/>
      <c r="S1525" s="12"/>
      <c r="T1525" s="12"/>
      <c r="U1525" s="12"/>
      <c r="V1525" s="12"/>
      <c r="W1525" s="12"/>
      <c r="X1525" s="12"/>
      <c r="Y1525" s="12"/>
      <c r="Z1525" s="12"/>
      <c r="AA1525" s="12"/>
    </row>
    <row r="1526" ht="26.25" customHeight="1">
      <c r="A1526" s="26" t="s">
        <v>3056</v>
      </c>
      <c r="B1526" s="26" t="s">
        <v>3057</v>
      </c>
      <c r="C1526" s="14">
        <v>2.0</v>
      </c>
      <c r="D1526" s="23">
        <v>184.0</v>
      </c>
      <c r="E1526" s="23">
        <v>15.0</v>
      </c>
      <c r="F1526" s="27" t="str">
        <f t="array" ref="F1526">"https://www.google.com/maps/search/?api=1&amp;query=" &amp; A1526 &amp; "," &amp; B1526</f>
        <v>https://www.google.com/maps/search/?api=1&amp;query=-30.9027879033912,-5.55357907860375</v>
      </c>
      <c r="G1526" s="27" t="str">
        <f t="array" ref="G1526">"https://earth.google.com/web/search/" &amp; A1526 &amp; "," &amp; B1526</f>
        <v>https://earth.google.com/web/search/-30.9027879033912,-5.55357907860375</v>
      </c>
      <c r="H1526" s="12"/>
      <c r="I1526" s="12"/>
      <c r="J1526" s="12"/>
      <c r="K1526" s="12"/>
      <c r="L1526" s="12"/>
      <c r="M1526" s="12"/>
      <c r="N1526" s="12"/>
      <c r="O1526" s="12"/>
      <c r="P1526" s="12"/>
      <c r="Q1526" s="12"/>
      <c r="R1526" s="12"/>
      <c r="S1526" s="12"/>
      <c r="T1526" s="12"/>
      <c r="U1526" s="12"/>
      <c r="V1526" s="12"/>
      <c r="W1526" s="12"/>
      <c r="X1526" s="12"/>
      <c r="Y1526" s="12"/>
      <c r="Z1526" s="12"/>
      <c r="AA1526" s="12"/>
    </row>
    <row r="1527" ht="26.25" customHeight="1">
      <c r="A1527" s="26" t="s">
        <v>3058</v>
      </c>
      <c r="B1527" s="26" t="s">
        <v>3059</v>
      </c>
      <c r="C1527" s="14">
        <v>2.0</v>
      </c>
      <c r="D1527" s="23">
        <v>184.0</v>
      </c>
      <c r="E1527" s="23">
        <v>16.0</v>
      </c>
      <c r="F1527" s="27" t="str">
        <f t="array" ref="F1527">"https://www.google.com/maps/search/?api=1&amp;query=" &amp; A1527 &amp; "," &amp; B1527</f>
        <v>https://www.google.com/maps/search/?api=1&amp;query=-30.9027169164131,-5.55357231541004</v>
      </c>
      <c r="G1527" s="27" t="str">
        <f t="array" ref="G1527">"https://earth.google.com/web/search/" &amp; A1527 &amp; "," &amp; B1527</f>
        <v>https://earth.google.com/web/search/-30.9027169164131,-5.55357231541004</v>
      </c>
      <c r="H1527" s="12"/>
      <c r="I1527" s="12"/>
      <c r="J1527" s="12"/>
      <c r="K1527" s="12"/>
      <c r="L1527" s="12"/>
      <c r="M1527" s="12"/>
      <c r="N1527" s="12"/>
      <c r="O1527" s="12"/>
      <c r="P1527" s="12"/>
      <c r="Q1527" s="12"/>
      <c r="R1527" s="12"/>
      <c r="S1527" s="12"/>
      <c r="T1527" s="12"/>
      <c r="U1527" s="12"/>
      <c r="V1527" s="12"/>
      <c r="W1527" s="12"/>
      <c r="X1527" s="12"/>
      <c r="Y1527" s="12"/>
      <c r="Z1527" s="12"/>
      <c r="AA1527" s="12"/>
    </row>
    <row r="1528" ht="26.25" customHeight="1">
      <c r="A1528" s="26" t="s">
        <v>3060</v>
      </c>
      <c r="B1528" s="26" t="s">
        <v>3061</v>
      </c>
      <c r="C1528" s="14">
        <v>2.0</v>
      </c>
      <c r="D1528" s="23">
        <v>184.0</v>
      </c>
      <c r="E1528" s="23">
        <v>17.0</v>
      </c>
      <c r="F1528" s="27" t="str">
        <f t="array" ref="F1528">"https://www.google.com/maps/search/?api=1&amp;query=" &amp; A1528 &amp; "," &amp; B1528</f>
        <v>https://www.google.com/maps/search/?api=1&amp;query=-30.9024391503168,-55.53547100815390</v>
      </c>
      <c r="G1528" s="27" t="str">
        <f t="array" ref="G1528">"https://earth.google.com/web/search/" &amp; A1528 &amp; "," &amp; B1528</f>
        <v>https://earth.google.com/web/search/-30.9024391503168,-55.53547100815390</v>
      </c>
      <c r="H1528" s="12"/>
      <c r="I1528" s="12"/>
      <c r="J1528" s="12"/>
      <c r="K1528" s="12"/>
      <c r="L1528" s="12"/>
      <c r="M1528" s="12"/>
      <c r="N1528" s="12"/>
      <c r="O1528" s="12"/>
      <c r="P1528" s="12"/>
      <c r="Q1528" s="12"/>
      <c r="R1528" s="12"/>
      <c r="S1528" s="12"/>
      <c r="T1528" s="12"/>
      <c r="U1528" s="12"/>
      <c r="V1528" s="12"/>
      <c r="W1528" s="12"/>
      <c r="X1528" s="12"/>
      <c r="Y1528" s="12"/>
      <c r="Z1528" s="12"/>
      <c r="AA1528" s="12"/>
    </row>
    <row r="1529" ht="26.25" customHeight="1">
      <c r="A1529" s="26" t="s">
        <v>3062</v>
      </c>
      <c r="B1529" s="26" t="s">
        <v>3063</v>
      </c>
      <c r="C1529" s="14">
        <v>2.0</v>
      </c>
      <c r="D1529" s="23">
        <v>183.0</v>
      </c>
      <c r="E1529" s="23">
        <v>1.0</v>
      </c>
      <c r="F1529" s="27" t="str">
        <f t="array" ref="F1529">"https://www.google.com/maps/search/?api=1&amp;query=" &amp; A1529 &amp; "," &amp; B1529</f>
        <v>https://www.google.com/maps/search/?api=1&amp;query=-30.9023892570341,-55.53533953076450</v>
      </c>
      <c r="G1529" s="27" t="str">
        <f t="array" ref="G1529">"https://earth.google.com/web/search/" &amp; A1529 &amp; "," &amp; B1529</f>
        <v>https://earth.google.com/web/search/-30.9023892570341,-55.53533953076450</v>
      </c>
      <c r="H1529" s="12"/>
      <c r="I1529" s="12"/>
      <c r="J1529" s="12"/>
      <c r="K1529" s="12"/>
      <c r="L1529" s="12"/>
      <c r="M1529" s="12"/>
      <c r="N1529" s="12"/>
      <c r="O1529" s="12"/>
      <c r="P1529" s="12"/>
      <c r="Q1529" s="12"/>
      <c r="R1529" s="12"/>
      <c r="S1529" s="12"/>
      <c r="T1529" s="12"/>
      <c r="U1529" s="12"/>
      <c r="V1529" s="12"/>
      <c r="W1529" s="12"/>
      <c r="X1529" s="12"/>
      <c r="Y1529" s="12"/>
      <c r="Z1529" s="12"/>
      <c r="AA1529" s="12"/>
    </row>
    <row r="1530" ht="26.25" customHeight="1">
      <c r="A1530" s="26" t="s">
        <v>3064</v>
      </c>
      <c r="B1530" s="26" t="s">
        <v>3065</v>
      </c>
      <c r="C1530" s="14">
        <v>2.0</v>
      </c>
      <c r="D1530" s="23">
        <v>183.0</v>
      </c>
      <c r="E1530" s="23">
        <v>2.0</v>
      </c>
      <c r="F1530" s="27" t="str">
        <f t="array" ref="F1530">"https://www.google.com/maps/search/?api=1&amp;query=" &amp; A1530 &amp; "," &amp; B1530</f>
        <v>https://www.google.com/maps/search/?api=1&amp;query=-30.9025159598769,-55.53540393841230</v>
      </c>
      <c r="G1530" s="27" t="str">
        <f t="array" ref="G1530">"https://earth.google.com/web/search/" &amp; A1530 &amp; "," &amp; B1530</f>
        <v>https://earth.google.com/web/search/-30.9025159598769,-55.53540393841230</v>
      </c>
      <c r="H1530" s="12"/>
      <c r="I1530" s="12"/>
      <c r="J1530" s="12"/>
      <c r="K1530" s="12"/>
      <c r="L1530" s="12"/>
      <c r="M1530" s="12"/>
      <c r="N1530" s="12"/>
      <c r="O1530" s="12"/>
      <c r="P1530" s="12"/>
      <c r="Q1530" s="12"/>
      <c r="R1530" s="12"/>
      <c r="S1530" s="12"/>
      <c r="T1530" s="12"/>
      <c r="U1530" s="12"/>
      <c r="V1530" s="12"/>
      <c r="W1530" s="12"/>
      <c r="X1530" s="12"/>
      <c r="Y1530" s="12"/>
      <c r="Z1530" s="12"/>
      <c r="AA1530" s="12"/>
    </row>
    <row r="1531" ht="26.25" customHeight="1">
      <c r="A1531" s="26" t="s">
        <v>3066</v>
      </c>
      <c r="B1531" s="26" t="s">
        <v>3067</v>
      </c>
      <c r="C1531" s="14">
        <v>2.0</v>
      </c>
      <c r="D1531" s="23">
        <v>183.0</v>
      </c>
      <c r="E1531" s="23">
        <v>3.0</v>
      </c>
      <c r="F1531" s="27" t="str">
        <f t="array" ref="F1531">"https://www.google.com/maps/search/?api=1&amp;query=" &amp; A1531 &amp; "," &amp; B1531</f>
        <v>https://www.google.com/maps/search/?api=1&amp;query=-30.9025591646103,-55.53543096156330</v>
      </c>
      <c r="G1531" s="27" t="str">
        <f t="array" ref="G1531">"https://earth.google.com/web/search/" &amp; A1531 &amp; "," &amp; B1531</f>
        <v>https://earth.google.com/web/search/-30.9025591646103,-55.53543096156330</v>
      </c>
      <c r="H1531" s="12"/>
      <c r="I1531" s="12"/>
      <c r="J1531" s="12"/>
      <c r="K1531" s="12"/>
      <c r="L1531" s="12"/>
      <c r="M1531" s="12"/>
      <c r="N1531" s="12"/>
      <c r="O1531" s="12"/>
      <c r="P1531" s="12"/>
      <c r="Q1531" s="12"/>
      <c r="R1531" s="12"/>
      <c r="S1531" s="12"/>
      <c r="T1531" s="12"/>
      <c r="U1531" s="12"/>
      <c r="V1531" s="12"/>
      <c r="W1531" s="12"/>
      <c r="X1531" s="12"/>
      <c r="Y1531" s="12"/>
      <c r="Z1531" s="12"/>
      <c r="AA1531" s="12"/>
    </row>
    <row r="1532" ht="26.25" customHeight="1">
      <c r="A1532" s="26" t="s">
        <v>3068</v>
      </c>
      <c r="B1532" s="26" t="s">
        <v>3069</v>
      </c>
      <c r="C1532" s="14">
        <v>2.0</v>
      </c>
      <c r="D1532" s="23">
        <v>183.0</v>
      </c>
      <c r="E1532" s="23">
        <v>4.0</v>
      </c>
      <c r="F1532" s="27" t="str">
        <f t="array" ref="F1532">"https://www.google.com/maps/search/?api=1&amp;query=" &amp; A1532 &amp; "," &amp; B1532</f>
        <v>https://www.google.com/maps/search/?api=1&amp;query=-30.9026066734707,-5.55354700539401</v>
      </c>
      <c r="G1532" s="27" t="str">
        <f t="array" ref="G1532">"https://earth.google.com/web/search/" &amp; A1532 &amp; "," &amp; B1532</f>
        <v>https://earth.google.com/web/search/-30.9026066734707,-5.55354700539401</v>
      </c>
      <c r="H1532" s="12"/>
      <c r="I1532" s="12"/>
      <c r="J1532" s="12"/>
      <c r="K1532" s="12"/>
      <c r="L1532" s="12"/>
      <c r="M1532" s="12"/>
      <c r="N1532" s="12"/>
      <c r="O1532" s="12"/>
      <c r="P1532" s="12"/>
      <c r="Q1532" s="12"/>
      <c r="R1532" s="12"/>
      <c r="S1532" s="12"/>
      <c r="T1532" s="12"/>
      <c r="U1532" s="12"/>
      <c r="V1532" s="12"/>
      <c r="W1532" s="12"/>
      <c r="X1532" s="12"/>
      <c r="Y1532" s="12"/>
      <c r="Z1532" s="12"/>
      <c r="AA1532" s="12"/>
    </row>
    <row r="1533" ht="26.25" customHeight="1">
      <c r="A1533" s="26" t="s">
        <v>3070</v>
      </c>
      <c r="B1533" s="26" t="s">
        <v>3071</v>
      </c>
      <c r="C1533" s="14">
        <v>2.0</v>
      </c>
      <c r="D1533" s="23">
        <v>183.0</v>
      </c>
      <c r="E1533" s="23">
        <v>5.0</v>
      </c>
      <c r="F1533" s="27" t="str">
        <f t="array" ref="F1533">"https://www.google.com/maps/search/?api=1&amp;query=" &amp; A1533 &amp; "," &amp; B1533</f>
        <v>https://www.google.com/maps/search/?api=1&amp;query=-30.9029986963538,-55.53576525297650</v>
      </c>
      <c r="G1533" s="27" t="str">
        <f t="array" ref="G1533">"https://earth.google.com/web/search/" &amp; A1533 &amp; "," &amp; B1533</f>
        <v>https://earth.google.com/web/search/-30.9029986963538,-55.53576525297650</v>
      </c>
      <c r="H1533" s="12"/>
      <c r="I1533" s="12"/>
      <c r="J1533" s="12"/>
      <c r="K1533" s="12"/>
      <c r="L1533" s="12"/>
      <c r="M1533" s="12"/>
      <c r="N1533" s="12"/>
      <c r="O1533" s="12"/>
      <c r="P1533" s="12"/>
      <c r="Q1533" s="12"/>
      <c r="R1533" s="12"/>
      <c r="S1533" s="12"/>
      <c r="T1533" s="12"/>
      <c r="U1533" s="12"/>
      <c r="V1533" s="12"/>
      <c r="W1533" s="12"/>
      <c r="X1533" s="12"/>
      <c r="Y1533" s="12"/>
      <c r="Z1533" s="12"/>
      <c r="AA1533" s="12"/>
    </row>
    <row r="1534" ht="26.25" customHeight="1">
      <c r="A1534" s="26" t="s">
        <v>3072</v>
      </c>
      <c r="B1534" s="26" t="s">
        <v>3073</v>
      </c>
      <c r="C1534" s="14">
        <v>2.0</v>
      </c>
      <c r="D1534" s="23">
        <v>183.0</v>
      </c>
      <c r="E1534" s="23">
        <v>6.0</v>
      </c>
      <c r="F1534" s="27" t="str">
        <f t="array" ref="F1534">"https://www.google.com/maps/search/?api=1&amp;query=" &amp; A1534 &amp; "," &amp; B1534</f>
        <v>https://www.google.com/maps/search/?api=1&amp;query=-30.9031459544548,-55.53575499422810</v>
      </c>
      <c r="G1534" s="27" t="str">
        <f t="array" ref="G1534">"https://earth.google.com/web/search/" &amp; A1534 &amp; "," &amp; B1534</f>
        <v>https://earth.google.com/web/search/-30.9031459544548,-55.53575499422810</v>
      </c>
      <c r="H1534" s="12"/>
      <c r="I1534" s="12"/>
      <c r="J1534" s="12"/>
      <c r="K1534" s="12"/>
      <c r="L1534" s="12"/>
      <c r="M1534" s="12"/>
      <c r="N1534" s="12"/>
      <c r="O1534" s="12"/>
      <c r="P1534" s="12"/>
      <c r="Q1534" s="12"/>
      <c r="R1534" s="12"/>
      <c r="S1534" s="12"/>
      <c r="T1534" s="12"/>
      <c r="U1534" s="12"/>
      <c r="V1534" s="12"/>
      <c r="W1534" s="12"/>
      <c r="X1534" s="12"/>
      <c r="Y1534" s="12"/>
      <c r="Z1534" s="12"/>
      <c r="AA1534" s="12"/>
    </row>
    <row r="1535" ht="26.25" customHeight="1">
      <c r="A1535" s="26" t="s">
        <v>3074</v>
      </c>
      <c r="B1535" s="26" t="s">
        <v>3075</v>
      </c>
      <c r="C1535" s="14">
        <v>2.0</v>
      </c>
      <c r="D1535" s="23">
        <v>183.0</v>
      </c>
      <c r="E1535" s="23">
        <v>7.0</v>
      </c>
      <c r="F1535" s="27" t="str">
        <f t="array" ref="F1535">"https://www.google.com/maps/search/?api=1&amp;query=" &amp; A1535 &amp; "," &amp; B1535</f>
        <v>https://www.google.com/maps/search/?api=1&amp;query=-30.9031701799341,-55.53570545239730</v>
      </c>
      <c r="G1535" s="27" t="str">
        <f t="array" ref="G1535">"https://earth.google.com/web/search/" &amp; A1535 &amp; "," &amp; B1535</f>
        <v>https://earth.google.com/web/search/-30.9031701799341,-55.53570545239730</v>
      </c>
      <c r="H1535" s="12"/>
      <c r="I1535" s="12"/>
      <c r="J1535" s="12"/>
      <c r="K1535" s="12"/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/>
    </row>
    <row r="1536" ht="26.25" customHeight="1">
      <c r="A1536" s="26" t="s">
        <v>3076</v>
      </c>
      <c r="B1536" s="26" t="s">
        <v>3077</v>
      </c>
      <c r="C1536" s="14">
        <v>2.0</v>
      </c>
      <c r="D1536" s="23">
        <v>183.0</v>
      </c>
      <c r="E1536" s="23">
        <v>8.0</v>
      </c>
      <c r="F1536" s="27" t="str">
        <f t="array" ref="F1536">"https://www.google.com/maps/search/?api=1&amp;query=" &amp; A1536 &amp; "," &amp; B1536</f>
        <v>https://www.google.com/maps/search/?api=1&amp;query=-30.9028763875403,-5.55345470259584</v>
      </c>
      <c r="G1536" s="27" t="str">
        <f t="array" ref="G1536">"https://earth.google.com/web/search/" &amp; A1536 &amp; "," &amp; B1536</f>
        <v>https://earth.google.com/web/search/-30.9028763875403,-5.55345470259584</v>
      </c>
      <c r="H1536" s="12"/>
      <c r="I1536" s="12"/>
      <c r="J1536" s="12"/>
      <c r="K1536" s="12"/>
      <c r="L1536" s="12"/>
      <c r="M1536" s="12"/>
      <c r="N1536" s="12"/>
      <c r="O1536" s="12"/>
      <c r="P1536" s="12"/>
      <c r="Q1536" s="12"/>
      <c r="R1536" s="12"/>
      <c r="S1536" s="12"/>
      <c r="T1536" s="12"/>
      <c r="U1536" s="12"/>
      <c r="V1536" s="12"/>
      <c r="W1536" s="12"/>
      <c r="X1536" s="12"/>
      <c r="Y1536" s="12"/>
      <c r="Z1536" s="12"/>
      <c r="AA1536" s="12"/>
    </row>
    <row r="1537" ht="26.25" customHeight="1">
      <c r="A1537" s="26" t="s">
        <v>3078</v>
      </c>
      <c r="B1537" s="26" t="s">
        <v>3079</v>
      </c>
      <c r="C1537" s="14">
        <v>2.0</v>
      </c>
      <c r="D1537" s="23">
        <v>183.0</v>
      </c>
      <c r="E1537" s="23">
        <v>9.0</v>
      </c>
      <c r="F1537" s="27" t="str">
        <f t="array" ref="F1537">"https://www.google.com/maps/search/?api=1&amp;query=" &amp; A1537 &amp; "," &amp; B1537</f>
        <v>https://www.google.com/maps/search/?api=1&amp;query=-30.9027743410903,-55.53459939348760</v>
      </c>
      <c r="G1537" s="27" t="str">
        <f t="array" ref="G1537">"https://earth.google.com/web/search/" &amp; A1537 &amp; "," &amp; B1537</f>
        <v>https://earth.google.com/web/search/-30.9027743410903,-55.53459939348760</v>
      </c>
      <c r="H1537" s="12"/>
      <c r="I1537" s="12"/>
      <c r="J1537" s="12"/>
      <c r="K1537" s="12"/>
      <c r="L1537" s="12"/>
      <c r="M1537" s="12"/>
      <c r="N1537" s="12"/>
      <c r="O1537" s="12"/>
      <c r="P1537" s="12"/>
      <c r="Q1537" s="12"/>
      <c r="R1537" s="12"/>
      <c r="S1537" s="12"/>
      <c r="T1537" s="12"/>
      <c r="U1537" s="12"/>
      <c r="V1537" s="12"/>
      <c r="W1537" s="12"/>
      <c r="X1537" s="12"/>
      <c r="Y1537" s="12"/>
      <c r="Z1537" s="12"/>
      <c r="AA1537" s="12"/>
    </row>
    <row r="1538" ht="26.25" customHeight="1">
      <c r="A1538" s="26" t="s">
        <v>3080</v>
      </c>
      <c r="B1538" s="26" t="s">
        <v>3081</v>
      </c>
      <c r="C1538" s="14">
        <v>2.0</v>
      </c>
      <c r="D1538" s="23">
        <v>183.0</v>
      </c>
      <c r="E1538" s="23">
        <v>10.0</v>
      </c>
      <c r="F1538" s="27" t="str">
        <f t="array" ref="F1538">"https://www.google.com/maps/search/?api=1&amp;query=" &amp; A1538 &amp; "," &amp; B1538</f>
        <v>https://www.google.com/maps/search/?api=1&amp;query=-30.9025353449701,-55.53504289452810</v>
      </c>
      <c r="G1538" s="27" t="str">
        <f t="array" ref="G1538">"https://earth.google.com/web/search/" &amp; A1538 &amp; "," &amp; B1538</f>
        <v>https://earth.google.com/web/search/-30.9025353449701,-55.53504289452810</v>
      </c>
      <c r="H1538" s="12"/>
      <c r="I1538" s="12"/>
      <c r="J1538" s="12"/>
      <c r="K1538" s="12"/>
      <c r="L1538" s="12"/>
      <c r="M1538" s="12"/>
      <c r="N1538" s="12"/>
      <c r="O1538" s="12"/>
      <c r="P1538" s="12"/>
      <c r="Q1538" s="12"/>
      <c r="R1538" s="12"/>
      <c r="S1538" s="12"/>
      <c r="T1538" s="12"/>
      <c r="U1538" s="12"/>
      <c r="V1538" s="12"/>
      <c r="W1538" s="12"/>
      <c r="X1538" s="12"/>
      <c r="Y1538" s="12"/>
      <c r="Z1538" s="12"/>
      <c r="AA1538" s="12"/>
    </row>
    <row r="1539" ht="26.25" customHeight="1">
      <c r="A1539" s="26" t="s">
        <v>3082</v>
      </c>
      <c r="B1539" s="26" t="s">
        <v>3083</v>
      </c>
      <c r="C1539" s="14">
        <v>2.0</v>
      </c>
      <c r="D1539" s="23">
        <v>183.0</v>
      </c>
      <c r="E1539" s="23">
        <v>11.0</v>
      </c>
      <c r="F1539" s="27" t="str">
        <f t="array" ref="F1539">"https://www.google.com/maps/search/?api=1&amp;query=" &amp; A1539 &amp; "," &amp; B1539</f>
        <v>https://www.google.com/maps/search/?api=1&amp;query=-30.9024372115612,-55.53522806624330</v>
      </c>
      <c r="G1539" s="27" t="str">
        <f t="array" ref="G1539">"https://earth.google.com/web/search/" &amp; A1539 &amp; "," &amp; B1539</f>
        <v>https://earth.google.com/web/search/-30.9024372115612,-55.53522806624330</v>
      </c>
      <c r="H1539" s="12"/>
      <c r="I1539" s="12"/>
      <c r="J1539" s="12"/>
      <c r="K1539" s="12"/>
      <c r="L1539" s="12"/>
      <c r="M1539" s="12"/>
      <c r="N1539" s="12"/>
      <c r="O1539" s="12"/>
      <c r="P1539" s="12"/>
      <c r="Q1539" s="12"/>
      <c r="R1539" s="12"/>
      <c r="S1539" s="12"/>
      <c r="T1539" s="12"/>
      <c r="U1539" s="12"/>
      <c r="V1539" s="12"/>
      <c r="W1539" s="12"/>
      <c r="X1539" s="12"/>
      <c r="Y1539" s="12"/>
      <c r="Z1539" s="12"/>
      <c r="AA1539" s="12"/>
    </row>
    <row r="1540" ht="26.25" customHeight="1">
      <c r="A1540" s="26" t="s">
        <v>3084</v>
      </c>
      <c r="B1540" s="26" t="s">
        <v>3085</v>
      </c>
      <c r="C1540" s="14">
        <v>2.0</v>
      </c>
      <c r="D1540" s="23">
        <v>235.0</v>
      </c>
      <c r="E1540" s="23">
        <v>1.0</v>
      </c>
      <c r="F1540" s="27" t="str">
        <f t="array" ref="F1540">"https://www.google.com/maps/search/?api=1&amp;query=" &amp; A1540 &amp; "," &amp; B1540</f>
        <v>https://www.google.com/maps/search/?api=1&amp;query=-30.9041022839217,-55.53653403551330</v>
      </c>
      <c r="G1540" s="27" t="str">
        <f t="array" ref="G1540">"https://earth.google.com/web/search/" &amp; A1540 &amp; "," &amp; B1540</f>
        <v>https://earth.google.com/web/search/-30.9041022839217,-55.53653403551330</v>
      </c>
      <c r="H1540" s="12"/>
      <c r="I1540" s="12"/>
      <c r="J1540" s="12"/>
      <c r="K1540" s="12"/>
      <c r="L1540" s="12"/>
      <c r="M1540" s="12"/>
      <c r="N1540" s="12"/>
      <c r="O1540" s="12"/>
      <c r="P1540" s="12"/>
      <c r="Q1540" s="12"/>
      <c r="R1540" s="12"/>
      <c r="S1540" s="12"/>
      <c r="T1540" s="12"/>
      <c r="U1540" s="12"/>
      <c r="V1540" s="12"/>
      <c r="W1540" s="12"/>
      <c r="X1540" s="12"/>
      <c r="Y1540" s="12"/>
      <c r="Z1540" s="12"/>
      <c r="AA1540" s="12"/>
    </row>
    <row r="1541" ht="26.25" customHeight="1">
      <c r="A1541" s="26" t="s">
        <v>3086</v>
      </c>
      <c r="B1541" s="26" t="s">
        <v>3087</v>
      </c>
      <c r="C1541" s="14">
        <v>2.0</v>
      </c>
      <c r="D1541" s="23">
        <v>235.0</v>
      </c>
      <c r="E1541" s="23">
        <v>2.0</v>
      </c>
      <c r="F1541" s="27" t="str">
        <f t="array" ref="F1541">"https://www.google.com/maps/search/?api=1&amp;query=" &amp; A1541 &amp; "," &amp; B1541</f>
        <v>https://www.google.com/maps/search/?api=1&amp;query=-30.9041481986942,-55.53656116395940</v>
      </c>
      <c r="G1541" s="27" t="str">
        <f t="array" ref="G1541">"https://earth.google.com/web/search/" &amp; A1541 &amp; "," &amp; B1541</f>
        <v>https://earth.google.com/web/search/-30.9041481986942,-55.53656116395940</v>
      </c>
      <c r="H1541" s="12"/>
      <c r="I1541" s="12"/>
      <c r="J1541" s="12"/>
      <c r="K1541" s="12"/>
      <c r="L1541" s="12"/>
      <c r="M1541" s="12"/>
      <c r="N1541" s="12"/>
      <c r="O1541" s="12"/>
      <c r="P1541" s="12"/>
      <c r="Q1541" s="12"/>
      <c r="R1541" s="12"/>
      <c r="S1541" s="12"/>
      <c r="T1541" s="12"/>
      <c r="U1541" s="12"/>
      <c r="V1541" s="12"/>
      <c r="W1541" s="12"/>
      <c r="X1541" s="12"/>
      <c r="Y1541" s="12"/>
      <c r="Z1541" s="12"/>
      <c r="AA1541" s="12"/>
    </row>
    <row r="1542" ht="26.25" customHeight="1">
      <c r="A1542" s="26" t="s">
        <v>3088</v>
      </c>
      <c r="B1542" s="26" t="s">
        <v>3089</v>
      </c>
      <c r="C1542" s="14">
        <v>2.0</v>
      </c>
      <c r="D1542" s="23">
        <v>235.0</v>
      </c>
      <c r="E1542" s="23">
        <v>3.0</v>
      </c>
      <c r="F1542" s="27" t="str">
        <f t="array" ref="F1542">"https://www.google.com/maps/search/?api=1&amp;query=" &amp; A1542 &amp; "," &amp; B1542</f>
        <v>https://www.google.com/maps/search/?api=1&amp;query=-30.9041827711384,-55.53658401445800</v>
      </c>
      <c r="G1542" s="27" t="str">
        <f t="array" ref="G1542">"https://earth.google.com/web/search/" &amp; A1542 &amp; "," &amp; B1542</f>
        <v>https://earth.google.com/web/search/-30.9041827711384,-55.53658401445800</v>
      </c>
      <c r="H1542" s="12"/>
      <c r="I1542" s="12"/>
      <c r="J1542" s="12"/>
      <c r="K1542" s="12"/>
      <c r="L1542" s="12"/>
      <c r="M1542" s="12"/>
      <c r="N1542" s="12"/>
      <c r="O1542" s="12"/>
      <c r="P1542" s="12"/>
      <c r="Q1542" s="12"/>
      <c r="R1542" s="12"/>
      <c r="S1542" s="12"/>
      <c r="T1542" s="12"/>
      <c r="U1542" s="12"/>
      <c r="V1542" s="12"/>
      <c r="W1542" s="12"/>
      <c r="X1542" s="12"/>
      <c r="Y1542" s="12"/>
      <c r="Z1542" s="12"/>
      <c r="AA1542" s="12"/>
    </row>
    <row r="1543" ht="26.25" customHeight="1">
      <c r="A1543" s="26" t="s">
        <v>3090</v>
      </c>
      <c r="B1543" s="26" t="s">
        <v>3091</v>
      </c>
      <c r="C1543" s="14">
        <v>2.0</v>
      </c>
      <c r="D1543" s="23">
        <v>235.0</v>
      </c>
      <c r="E1543" s="23">
        <v>4.0</v>
      </c>
      <c r="F1543" s="27" t="str">
        <f t="array" ref="F1543">"https://www.google.com/maps/search/?api=1&amp;query=" &amp; A1543 &amp; "," &amp; B1543</f>
        <v>https://www.google.com/maps/search/?api=1&amp;query=-30.9042323630693,-55.53663000801660</v>
      </c>
      <c r="G1543" s="27" t="str">
        <f t="array" ref="G1543">"https://earth.google.com/web/search/" &amp; A1543 &amp; "," &amp; B1543</f>
        <v>https://earth.google.com/web/search/-30.9042323630693,-55.53663000801660</v>
      </c>
      <c r="H1543" s="12"/>
      <c r="I1543" s="12"/>
      <c r="J1543" s="12"/>
      <c r="K1543" s="12"/>
      <c r="L1543" s="12"/>
      <c r="M1543" s="12"/>
      <c r="N1543" s="12"/>
      <c r="O1543" s="12"/>
      <c r="P1543" s="12"/>
      <c r="Q1543" s="12"/>
      <c r="R1543" s="12"/>
      <c r="S1543" s="12"/>
      <c r="T1543" s="12"/>
      <c r="U1543" s="12"/>
      <c r="V1543" s="12"/>
      <c r="W1543" s="12"/>
      <c r="X1543" s="12"/>
      <c r="Y1543" s="12"/>
      <c r="Z1543" s="12"/>
      <c r="AA1543" s="12"/>
    </row>
    <row r="1544" ht="26.25" customHeight="1">
      <c r="A1544" s="26" t="s">
        <v>3092</v>
      </c>
      <c r="B1544" s="26" t="s">
        <v>3093</v>
      </c>
      <c r="C1544" s="14">
        <v>2.0</v>
      </c>
      <c r="D1544" s="23">
        <v>235.0</v>
      </c>
      <c r="E1544" s="23">
        <v>5.0</v>
      </c>
      <c r="F1544" s="27" t="str">
        <f t="array" ref="F1544">"https://www.google.com/maps/search/?api=1&amp;query=" &amp; A1544 &amp; "," &amp; B1544</f>
        <v>https://www.google.com/maps/search/?api=1&amp;query=-30.9042705864009,-55.53664683143940</v>
      </c>
      <c r="G1544" s="27" t="str">
        <f t="array" ref="G1544">"https://earth.google.com/web/search/" &amp; A1544 &amp; "," &amp; B1544</f>
        <v>https://earth.google.com/web/search/-30.9042705864009,-55.53664683143940</v>
      </c>
      <c r="H1544" s="12"/>
      <c r="I1544" s="12"/>
      <c r="J1544" s="12"/>
      <c r="K1544" s="12"/>
      <c r="L1544" s="12"/>
      <c r="M1544" s="12"/>
      <c r="N1544" s="12"/>
      <c r="O1544" s="12"/>
      <c r="P1544" s="12"/>
      <c r="Q1544" s="12"/>
      <c r="R1544" s="12"/>
      <c r="S1544" s="12"/>
      <c r="T1544" s="12"/>
      <c r="U1544" s="12"/>
      <c r="V1544" s="12"/>
      <c r="W1544" s="12"/>
      <c r="X1544" s="12"/>
      <c r="Y1544" s="12"/>
      <c r="Z1544" s="12"/>
      <c r="AA1544" s="12"/>
    </row>
    <row r="1545" ht="26.25" customHeight="1">
      <c r="A1545" s="26" t="s">
        <v>3094</v>
      </c>
      <c r="B1545" s="26" t="s">
        <v>3095</v>
      </c>
      <c r="C1545" s="14">
        <v>2.0</v>
      </c>
      <c r="D1545" s="23">
        <v>235.0</v>
      </c>
      <c r="E1545" s="23">
        <v>6.0</v>
      </c>
      <c r="F1545" s="27" t="str">
        <f t="array" ref="F1545">"https://www.google.com/maps/search/?api=1&amp;query=" &amp; A1545 &amp; "," &amp; B1545</f>
        <v>https://www.google.com/maps/search/?api=1&amp;query=-30.9043065477333,-55.53666561061610</v>
      </c>
      <c r="G1545" s="27" t="str">
        <f t="array" ref="G1545">"https://earth.google.com/web/search/" &amp; A1545 &amp; "," &amp; B1545</f>
        <v>https://earth.google.com/web/search/-30.9043065477333,-55.53666561061610</v>
      </c>
      <c r="H1545" s="12"/>
      <c r="I1545" s="12"/>
      <c r="J1545" s="12"/>
      <c r="K1545" s="12"/>
      <c r="L1545" s="12"/>
      <c r="M1545" s="12"/>
      <c r="N1545" s="12"/>
      <c r="O1545" s="12"/>
      <c r="P1545" s="12"/>
      <c r="Q1545" s="12"/>
      <c r="R1545" s="12"/>
      <c r="S1545" s="12"/>
      <c r="T1545" s="12"/>
      <c r="U1545" s="12"/>
      <c r="V1545" s="12"/>
      <c r="W1545" s="12"/>
      <c r="X1545" s="12"/>
      <c r="Y1545" s="12"/>
      <c r="Z1545" s="12"/>
      <c r="AA1545" s="12"/>
    </row>
    <row r="1546" ht="26.25" customHeight="1">
      <c r="A1546" s="26" t="s">
        <v>3096</v>
      </c>
      <c r="B1546" s="26" t="s">
        <v>3097</v>
      </c>
      <c r="C1546" s="14">
        <v>2.0</v>
      </c>
      <c r="D1546" s="23">
        <v>235.0</v>
      </c>
      <c r="E1546" s="23">
        <v>7.0</v>
      </c>
      <c r="F1546" s="27" t="str">
        <f t="array" ref="F1546">"https://www.google.com/maps/search/?api=1&amp;query=" &amp; A1546 &amp; "," &amp; B1546</f>
        <v>https://www.google.com/maps/search/?api=1&amp;query=-30.9044836641009,-55.53680875500530</v>
      </c>
      <c r="G1546" s="27" t="str">
        <f t="array" ref="G1546">"https://earth.google.com/web/search/" &amp; A1546 &amp; "," &amp; B1546</f>
        <v>https://earth.google.com/web/search/-30.9044836641009,-55.53680875500530</v>
      </c>
      <c r="H1546" s="12"/>
      <c r="I1546" s="12"/>
      <c r="J1546" s="12"/>
      <c r="K1546" s="12"/>
      <c r="L1546" s="12"/>
      <c r="M1546" s="12"/>
      <c r="N1546" s="12"/>
      <c r="O1546" s="12"/>
      <c r="P1546" s="12"/>
      <c r="Q1546" s="12"/>
      <c r="R1546" s="12"/>
      <c r="S1546" s="12"/>
      <c r="T1546" s="12"/>
      <c r="U1546" s="12"/>
      <c r="V1546" s="12"/>
      <c r="W1546" s="12"/>
      <c r="X1546" s="12"/>
      <c r="Y1546" s="12"/>
      <c r="Z1546" s="12"/>
      <c r="AA1546" s="12"/>
    </row>
    <row r="1547" ht="26.25" customHeight="1">
      <c r="A1547" s="26" t="s">
        <v>3098</v>
      </c>
      <c r="B1547" s="26" t="s">
        <v>3099</v>
      </c>
      <c r="C1547" s="14">
        <v>2.0</v>
      </c>
      <c r="D1547" s="23">
        <v>235.0</v>
      </c>
      <c r="E1547" s="23">
        <v>8.0</v>
      </c>
      <c r="F1547" s="27" t="str">
        <f t="array" ref="F1547">"https://www.google.com/maps/search/?api=1&amp;query=" &amp; A1547 &amp; "," &amp; B1547</f>
        <v>https://www.google.com/maps/search/?api=1&amp;query=-30.9045938355249,-5.55368804943153</v>
      </c>
      <c r="G1547" s="27" t="str">
        <f t="array" ref="G1547">"https://earth.google.com/web/search/" &amp; A1547 &amp; "," &amp; B1547</f>
        <v>https://earth.google.com/web/search/-30.9045938355249,-5.55368804943153</v>
      </c>
      <c r="H1547" s="12"/>
      <c r="I1547" s="12"/>
      <c r="J1547" s="12"/>
      <c r="K1547" s="12"/>
      <c r="L1547" s="12"/>
      <c r="M1547" s="12"/>
      <c r="N1547" s="12"/>
      <c r="O1547" s="12"/>
      <c r="P1547" s="12"/>
      <c r="Q1547" s="12"/>
      <c r="R1547" s="12"/>
      <c r="S1547" s="12"/>
      <c r="T1547" s="12"/>
      <c r="U1547" s="12"/>
      <c r="V1547" s="12"/>
      <c r="W1547" s="12"/>
      <c r="X1547" s="12"/>
      <c r="Y1547" s="12"/>
      <c r="Z1547" s="12"/>
      <c r="AA1547" s="12"/>
    </row>
    <row r="1548" ht="26.25" customHeight="1">
      <c r="A1548" s="26" t="s">
        <v>3100</v>
      </c>
      <c r="B1548" s="26" t="s">
        <v>3101</v>
      </c>
      <c r="C1548" s="14">
        <v>2.0</v>
      </c>
      <c r="D1548" s="23">
        <v>235.0</v>
      </c>
      <c r="E1548" s="23">
        <v>9.0</v>
      </c>
      <c r="F1548" s="27" t="str">
        <f t="array" ref="F1548">"https://www.google.com/maps/search/?api=1&amp;query=" &amp; A1548 &amp; "," &amp; B1548</f>
        <v>https://www.google.com/maps/search/?api=1&amp;query=-30.9050341234015,-55.53627782748810</v>
      </c>
      <c r="G1548" s="27" t="str">
        <f t="array" ref="G1548">"https://earth.google.com/web/search/" &amp; A1548 &amp; "," &amp; B1548</f>
        <v>https://earth.google.com/web/search/-30.9050341234015,-55.53627782748810</v>
      </c>
      <c r="H1548" s="12"/>
      <c r="I1548" s="12"/>
      <c r="J1548" s="12"/>
      <c r="K1548" s="12"/>
      <c r="L1548" s="12"/>
      <c r="M1548" s="12"/>
      <c r="N1548" s="12"/>
      <c r="O1548" s="12"/>
      <c r="P1548" s="12"/>
      <c r="Q1548" s="12"/>
      <c r="R1548" s="12"/>
      <c r="S1548" s="12"/>
      <c r="T1548" s="12"/>
      <c r="U1548" s="12"/>
      <c r="V1548" s="12"/>
      <c r="W1548" s="12"/>
      <c r="X1548" s="12"/>
      <c r="Y1548" s="12"/>
      <c r="Z1548" s="12"/>
      <c r="AA1548" s="12"/>
    </row>
    <row r="1549" ht="26.25" customHeight="1">
      <c r="A1549" s="26" t="s">
        <v>3102</v>
      </c>
      <c r="B1549" s="26" t="s">
        <v>3103</v>
      </c>
      <c r="C1549" s="14">
        <v>2.0</v>
      </c>
      <c r="D1549" s="23">
        <v>235.0</v>
      </c>
      <c r="E1549" s="23">
        <v>10.0</v>
      </c>
      <c r="F1549" s="27" t="str">
        <f t="array" ref="F1549">"https://www.google.com/maps/search/?api=1&amp;query=" &amp; A1549 &amp; "," &amp; B1549</f>
        <v>https://www.google.com/maps/search/?api=1&amp;query=-30.9046287790342,-55.53579647680090</v>
      </c>
      <c r="G1549" s="27" t="str">
        <f t="array" ref="G1549">"https://earth.google.com/web/search/" &amp; A1549 &amp; "," &amp; B1549</f>
        <v>https://earth.google.com/web/search/-30.9046287790342,-55.53579647680090</v>
      </c>
      <c r="H1549" s="12"/>
      <c r="I1549" s="12"/>
      <c r="J1549" s="12"/>
      <c r="K1549" s="12"/>
      <c r="L1549" s="12"/>
      <c r="M1549" s="12"/>
      <c r="N1549" s="12"/>
      <c r="O1549" s="12"/>
      <c r="P1549" s="12"/>
      <c r="Q1549" s="12"/>
      <c r="R1549" s="12"/>
      <c r="S1549" s="12"/>
      <c r="T1549" s="12"/>
      <c r="U1549" s="12"/>
      <c r="V1549" s="12"/>
      <c r="W1549" s="12"/>
      <c r="X1549" s="12"/>
      <c r="Y1549" s="12"/>
      <c r="Z1549" s="12"/>
      <c r="AA1549" s="12"/>
    </row>
    <row r="1550" ht="26.25" customHeight="1">
      <c r="A1550" s="26" t="s">
        <v>3104</v>
      </c>
      <c r="B1550" s="26" t="s">
        <v>3105</v>
      </c>
      <c r="C1550" s="14">
        <v>2.0</v>
      </c>
      <c r="D1550" s="23">
        <v>235.0</v>
      </c>
      <c r="E1550" s="23">
        <v>11.0</v>
      </c>
      <c r="F1550" s="27" t="str">
        <f t="array" ref="F1550">"https://www.google.com/maps/search/?api=1&amp;query=" &amp; A1550 &amp; "," &amp; B1550</f>
        <v>https://www.google.com/maps/search/?api=1&amp;query=-30.9045534120138,-55.53573483143410</v>
      </c>
      <c r="G1550" s="27" t="str">
        <f t="array" ref="G1550">"https://earth.google.com/web/search/" &amp; A1550 &amp; "," &amp; B1550</f>
        <v>https://earth.google.com/web/search/-30.9045534120138,-55.53573483143410</v>
      </c>
      <c r="H1550" s="12"/>
      <c r="I1550" s="12"/>
      <c r="J1550" s="12"/>
      <c r="K1550" s="12"/>
      <c r="L1550" s="12"/>
      <c r="M1550" s="12"/>
      <c r="N1550" s="12"/>
      <c r="O1550" s="12"/>
      <c r="P1550" s="12"/>
      <c r="Q1550" s="12"/>
      <c r="R1550" s="12"/>
      <c r="S1550" s="12"/>
      <c r="T1550" s="12"/>
      <c r="U1550" s="12"/>
      <c r="V1550" s="12"/>
      <c r="W1550" s="12"/>
      <c r="X1550" s="12"/>
      <c r="Y1550" s="12"/>
      <c r="Z1550" s="12"/>
      <c r="AA1550" s="12"/>
    </row>
    <row r="1551" ht="26.25" customHeight="1">
      <c r="A1551" s="26" t="s">
        <v>3106</v>
      </c>
      <c r="B1551" s="26" t="s">
        <v>3107</v>
      </c>
      <c r="C1551" s="14">
        <v>2.0</v>
      </c>
      <c r="D1551" s="23">
        <v>235.0</v>
      </c>
      <c r="E1551" s="23">
        <v>12.0</v>
      </c>
      <c r="F1551" s="27" t="str">
        <f t="array" ref="F1551">"https://www.google.com/maps/search/?api=1&amp;query=" &amp; A1551 &amp; "," &amp; B1551</f>
        <v>https://www.google.com/maps/search/?api=1&amp;query=-30.9039912835896,-55.53636263251740</v>
      </c>
      <c r="G1551" s="27" t="str">
        <f t="array" ref="G1551">"https://earth.google.com/web/search/" &amp; A1551 &amp; "," &amp; B1551</f>
        <v>https://earth.google.com/web/search/-30.9039912835896,-55.53636263251740</v>
      </c>
      <c r="H1551" s="12"/>
      <c r="I1551" s="12"/>
      <c r="J1551" s="12"/>
      <c r="K1551" s="12"/>
      <c r="L1551" s="12"/>
      <c r="M1551" s="12"/>
      <c r="N1551" s="12"/>
      <c r="O1551" s="12"/>
      <c r="P1551" s="12"/>
      <c r="Q1551" s="12"/>
      <c r="R1551" s="12"/>
      <c r="S1551" s="12"/>
      <c r="T1551" s="12"/>
      <c r="U1551" s="12"/>
      <c r="V1551" s="12"/>
      <c r="W1551" s="12"/>
      <c r="X1551" s="12"/>
      <c r="Y1551" s="12"/>
      <c r="Z1551" s="12"/>
      <c r="AA1551" s="12"/>
    </row>
    <row r="1552" ht="26.25" customHeight="1">
      <c r="A1552" s="26" t="s">
        <v>3108</v>
      </c>
      <c r="B1552" s="26" t="s">
        <v>3109</v>
      </c>
      <c r="C1552" s="14">
        <v>2.0</v>
      </c>
      <c r="D1552" s="23">
        <v>962.0</v>
      </c>
      <c r="E1552" s="23">
        <v>1.0</v>
      </c>
      <c r="F1552" s="27" t="str">
        <f t="array" ref="F1552">"https://www.google.com/maps/search/?api=1&amp;query=" &amp; A1552 &amp; "," &amp; B1552</f>
        <v>https://www.google.com/maps/search/?api=1&amp;query=-30.9039096622479,-55.53430359511810</v>
      </c>
      <c r="G1552" s="27" t="str">
        <f t="array" ref="G1552">"https://earth.google.com/web/search/" &amp; A1552 &amp; "," &amp; B1552</f>
        <v>https://earth.google.com/web/search/-30.9039096622479,-55.53430359511810</v>
      </c>
      <c r="H1552" s="12"/>
      <c r="I1552" s="12"/>
      <c r="J1552" s="12"/>
      <c r="K1552" s="12"/>
      <c r="L1552" s="12"/>
      <c r="M1552" s="12"/>
      <c r="N1552" s="12"/>
      <c r="O1552" s="12"/>
      <c r="P1552" s="12"/>
      <c r="Q1552" s="12"/>
      <c r="R1552" s="12"/>
      <c r="S1552" s="12"/>
      <c r="T1552" s="12"/>
      <c r="U1552" s="12"/>
      <c r="V1552" s="12"/>
      <c r="W1552" s="12"/>
      <c r="X1552" s="12"/>
      <c r="Y1552" s="12"/>
      <c r="Z1552" s="12"/>
      <c r="AA1552" s="12"/>
    </row>
    <row r="1553" ht="26.25" customHeight="1">
      <c r="A1553" s="26" t="s">
        <v>3110</v>
      </c>
      <c r="B1553" s="26" t="s">
        <v>3111</v>
      </c>
      <c r="C1553" s="14">
        <v>2.0</v>
      </c>
      <c r="D1553" s="23">
        <v>962.0</v>
      </c>
      <c r="E1553" s="23">
        <v>2.0</v>
      </c>
      <c r="F1553" s="27" t="str">
        <f t="array" ref="F1553">"https://www.google.com/maps/search/?api=1&amp;query=" &amp; A1553 &amp; "," &amp; B1553</f>
        <v>https://www.google.com/maps/search/?api=1&amp;query=-30.9039560144070,-55.53420735542380</v>
      </c>
      <c r="G1553" s="27" t="str">
        <f t="array" ref="G1553">"https://earth.google.com/web/search/" &amp; A1553 &amp; "," &amp; B1553</f>
        <v>https://earth.google.com/web/search/-30.9039560144070,-55.53420735542380</v>
      </c>
      <c r="H1553" s="12"/>
      <c r="I1553" s="12"/>
      <c r="J1553" s="12"/>
      <c r="K1553" s="12"/>
      <c r="L1553" s="12"/>
      <c r="M1553" s="12"/>
      <c r="N1553" s="12"/>
      <c r="O1553" s="12"/>
      <c r="P1553" s="12"/>
      <c r="Q1553" s="12"/>
      <c r="R1553" s="12"/>
      <c r="S1553" s="12"/>
      <c r="T1553" s="12"/>
      <c r="U1553" s="12"/>
      <c r="V1553" s="12"/>
      <c r="W1553" s="12"/>
      <c r="X1553" s="12"/>
      <c r="Y1553" s="12"/>
      <c r="Z1553" s="12"/>
      <c r="AA1553" s="12"/>
    </row>
    <row r="1554" ht="26.25" customHeight="1">
      <c r="A1554" s="26" t="s">
        <v>3112</v>
      </c>
      <c r="B1554" s="26" t="s">
        <v>3113</v>
      </c>
      <c r="C1554" s="14">
        <v>2.0</v>
      </c>
      <c r="D1554" s="23">
        <v>962.0</v>
      </c>
      <c r="E1554" s="23">
        <v>3.0</v>
      </c>
      <c r="F1554" s="27" t="str">
        <f t="array" ref="F1554">"https://www.google.com/maps/search/?api=1&amp;query=" &amp; A1554 &amp; "," &amp; B1554</f>
        <v>https://www.google.com/maps/search/?api=1&amp;query=-30.9040139945875,-55.53409130050760</v>
      </c>
      <c r="G1554" s="27" t="str">
        <f t="array" ref="G1554">"https://earth.google.com/web/search/" &amp; A1554 &amp; "," &amp; B1554</f>
        <v>https://earth.google.com/web/search/-30.9040139945875,-55.53409130050760</v>
      </c>
      <c r="H1554" s="12"/>
      <c r="I1554" s="12"/>
      <c r="J1554" s="12"/>
      <c r="K1554" s="12"/>
      <c r="L1554" s="12"/>
      <c r="M1554" s="12"/>
      <c r="N1554" s="12"/>
      <c r="O1554" s="12"/>
      <c r="P1554" s="12"/>
      <c r="Q1554" s="12"/>
      <c r="R1554" s="12"/>
      <c r="S1554" s="12"/>
      <c r="T1554" s="12"/>
      <c r="U1554" s="12"/>
      <c r="V1554" s="12"/>
      <c r="W1554" s="12"/>
      <c r="X1554" s="12"/>
      <c r="Y1554" s="12"/>
      <c r="Z1554" s="12"/>
      <c r="AA1554" s="12"/>
    </row>
    <row r="1555" ht="26.25" customHeight="1">
      <c r="A1555" s="26" t="s">
        <v>3114</v>
      </c>
      <c r="B1555" s="26" t="s">
        <v>3115</v>
      </c>
      <c r="C1555" s="14">
        <v>2.0</v>
      </c>
      <c r="D1555" s="23">
        <v>962.0</v>
      </c>
      <c r="E1555" s="23">
        <v>4.0</v>
      </c>
      <c r="F1555" s="27" t="str">
        <f t="array" ref="F1555">"https://www.google.com/maps/search/?api=1&amp;query=" &amp; A1555 &amp; "," &amp; B1555</f>
        <v>https://www.google.com/maps/search/?api=1&amp;query=-30.9040631825268,-55.53399749481480</v>
      </c>
      <c r="G1555" s="27" t="str">
        <f t="array" ref="G1555">"https://earth.google.com/web/search/" &amp; A1555 &amp; "," &amp; B1555</f>
        <v>https://earth.google.com/web/search/-30.9040631825268,-55.53399749481480</v>
      </c>
      <c r="H1555" s="12"/>
      <c r="I1555" s="12"/>
      <c r="J1555" s="12"/>
      <c r="K1555" s="12"/>
      <c r="L1555" s="12"/>
      <c r="M1555" s="12"/>
      <c r="N1555" s="12"/>
      <c r="O1555" s="12"/>
      <c r="P1555" s="12"/>
      <c r="Q1555" s="12"/>
      <c r="R1555" s="12"/>
      <c r="S1555" s="12"/>
      <c r="T1555" s="12"/>
      <c r="U1555" s="12"/>
      <c r="V1555" s="12"/>
      <c r="W1555" s="12"/>
      <c r="X1555" s="12"/>
      <c r="Y1555" s="12"/>
      <c r="Z1555" s="12"/>
      <c r="AA1555" s="12"/>
    </row>
    <row r="1556" ht="26.25" customHeight="1">
      <c r="A1556" s="26" t="s">
        <v>3116</v>
      </c>
      <c r="B1556" s="26" t="s">
        <v>3117</v>
      </c>
      <c r="C1556" s="14">
        <v>2.0</v>
      </c>
      <c r="D1556" s="23">
        <v>962.0</v>
      </c>
      <c r="E1556" s="23">
        <v>5.0</v>
      </c>
      <c r="F1556" s="27" t="str">
        <f t="array" ref="F1556">"https://www.google.com/maps/search/?api=1&amp;query=" &amp; A1556 &amp; "," &amp; B1556</f>
        <v>https://www.google.com/maps/search/?api=1&amp;query=-30.9034775340311,-55.53342620270240</v>
      </c>
      <c r="G1556" s="27" t="str">
        <f t="array" ref="G1556">"https://earth.google.com/web/search/" &amp; A1556 &amp; "," &amp; B1556</f>
        <v>https://earth.google.com/web/search/-30.9034775340311,-55.53342620270240</v>
      </c>
      <c r="H1556" s="12"/>
      <c r="I1556" s="12"/>
      <c r="J1556" s="12"/>
      <c r="K1556" s="12"/>
      <c r="L1556" s="12"/>
      <c r="M1556" s="12"/>
      <c r="N1556" s="12"/>
      <c r="O1556" s="12"/>
      <c r="P1556" s="12"/>
      <c r="Q1556" s="12"/>
      <c r="R1556" s="12"/>
      <c r="S1556" s="12"/>
      <c r="T1556" s="12"/>
      <c r="U1556" s="12"/>
      <c r="V1556" s="12"/>
      <c r="W1556" s="12"/>
      <c r="X1556" s="12"/>
      <c r="Y1556" s="12"/>
      <c r="Z1556" s="12"/>
      <c r="AA1556" s="12"/>
    </row>
    <row r="1557" ht="26.25" customHeight="1">
      <c r="A1557" s="26" t="s">
        <v>3118</v>
      </c>
      <c r="B1557" s="26" t="s">
        <v>3119</v>
      </c>
      <c r="C1557" s="14">
        <v>2.0</v>
      </c>
      <c r="D1557" s="23">
        <v>962.0</v>
      </c>
      <c r="E1557" s="23">
        <v>6.0</v>
      </c>
      <c r="F1557" s="27" t="str">
        <f t="array" ref="F1557">"https://www.google.com/maps/search/?api=1&amp;query=" &amp; A1557 &amp; "," &amp; B1557</f>
        <v>https://www.google.com/maps/search/?api=1&amp;query=-30.9033586133241,-55.53352338960580</v>
      </c>
      <c r="G1557" s="27" t="str">
        <f t="array" ref="G1557">"https://earth.google.com/web/search/" &amp; A1557 &amp; "," &amp; B1557</f>
        <v>https://earth.google.com/web/search/-30.9033586133241,-55.53352338960580</v>
      </c>
      <c r="H1557" s="12"/>
      <c r="I1557" s="12"/>
      <c r="J1557" s="12"/>
      <c r="K1557" s="12"/>
      <c r="L1557" s="12"/>
      <c r="M1557" s="12"/>
      <c r="N1557" s="12"/>
      <c r="O1557" s="12"/>
      <c r="P1557" s="12"/>
      <c r="Q1557" s="12"/>
      <c r="R1557" s="12"/>
      <c r="S1557" s="12"/>
      <c r="T1557" s="12"/>
      <c r="U1557" s="12"/>
      <c r="V1557" s="12"/>
      <c r="W1557" s="12"/>
      <c r="X1557" s="12"/>
      <c r="Y1557" s="12"/>
      <c r="Z1557" s="12"/>
      <c r="AA1557" s="12"/>
    </row>
    <row r="1558" ht="26.25" customHeight="1">
      <c r="A1558" s="26" t="s">
        <v>3120</v>
      </c>
      <c r="B1558" s="26" t="s">
        <v>3121</v>
      </c>
      <c r="C1558" s="14">
        <v>2.0</v>
      </c>
      <c r="D1558" s="23">
        <v>962.0</v>
      </c>
      <c r="E1558" s="23">
        <v>7.0</v>
      </c>
      <c r="F1558" s="27" t="str">
        <f t="array" ref="F1558">"https://www.google.com/maps/search/?api=1&amp;query=" &amp; A1558 &amp; "," &amp; B1558</f>
        <v>https://www.google.com/maps/search/?api=1&amp;query=-30.9030931738311,-55.53398125006620</v>
      </c>
      <c r="G1558" s="27" t="str">
        <f t="array" ref="G1558">"https://earth.google.com/web/search/" &amp; A1558 &amp; "," &amp; B1558</f>
        <v>https://earth.google.com/web/search/-30.9030931738311,-55.53398125006620</v>
      </c>
      <c r="H1558" s="12"/>
      <c r="I1558" s="12"/>
      <c r="J1558" s="12"/>
      <c r="K1558" s="12"/>
      <c r="L1558" s="12"/>
      <c r="M1558" s="12"/>
      <c r="N1558" s="12"/>
      <c r="O1558" s="12"/>
      <c r="P1558" s="12"/>
      <c r="Q1558" s="12"/>
      <c r="R1558" s="12"/>
      <c r="S1558" s="12"/>
      <c r="T1558" s="12"/>
      <c r="U1558" s="12"/>
      <c r="V1558" s="12"/>
      <c r="W1558" s="12"/>
      <c r="X1558" s="12"/>
      <c r="Y1558" s="12"/>
      <c r="Z1558" s="12"/>
      <c r="AA1558" s="12"/>
    </row>
    <row r="1559" ht="26.25" customHeight="1">
      <c r="A1559" s="26" t="s">
        <v>3122</v>
      </c>
      <c r="B1559" s="26" t="s">
        <v>3123</v>
      </c>
      <c r="C1559" s="14">
        <v>2.0</v>
      </c>
      <c r="D1559" s="23">
        <v>964.0</v>
      </c>
      <c r="E1559" s="23">
        <v>1.0</v>
      </c>
      <c r="F1559" s="27" t="str">
        <f t="array" ref="F1559">"https://www.google.com/maps/search/?api=1&amp;query=" &amp; A1559 &amp; "," &amp; B1559</f>
        <v>https://www.google.com/maps/search/?api=1&amp;query=-30.9037437140557,-55.53350935578970</v>
      </c>
      <c r="G1559" s="27" t="str">
        <f t="array" ref="G1559">"https://earth.google.com/web/search/" &amp; A1559 &amp; "," &amp; B1559</f>
        <v>https://earth.google.com/web/search/-30.9037437140557,-55.53350935578970</v>
      </c>
      <c r="H1559" s="12"/>
      <c r="I1559" s="12"/>
      <c r="J1559" s="12"/>
      <c r="K1559" s="12"/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/>
    </row>
    <row r="1560" ht="26.25" customHeight="1">
      <c r="A1560" s="26" t="s">
        <v>3124</v>
      </c>
      <c r="B1560" s="26" t="s">
        <v>3125</v>
      </c>
      <c r="C1560" s="14">
        <v>2.0</v>
      </c>
      <c r="D1560" s="23">
        <v>964.0</v>
      </c>
      <c r="E1560" s="23">
        <v>2.0</v>
      </c>
      <c r="F1560" s="27" t="str">
        <f t="array" ref="F1560">"https://www.google.com/maps/search/?api=1&amp;query=" &amp; A1560 &amp; "," &amp; B1560</f>
        <v>https://www.google.com/maps/search/?api=1&amp;query=-30.9037923809011,-55.53354822607980</v>
      </c>
      <c r="G1560" s="27" t="str">
        <f t="array" ref="G1560">"https://earth.google.com/web/search/" &amp; A1560 &amp; "," &amp; B1560</f>
        <v>https://earth.google.com/web/search/-30.9037923809011,-55.53354822607980</v>
      </c>
      <c r="H1560" s="12"/>
      <c r="I1560" s="12"/>
      <c r="J1560" s="12"/>
      <c r="K1560" s="12"/>
      <c r="L1560" s="12"/>
      <c r="M1560" s="12"/>
      <c r="N1560" s="12"/>
      <c r="O1560" s="12"/>
      <c r="P1560" s="12"/>
      <c r="Q1560" s="12"/>
      <c r="R1560" s="12"/>
      <c r="S1560" s="12"/>
      <c r="T1560" s="12"/>
      <c r="U1560" s="12"/>
      <c r="V1560" s="12"/>
      <c r="W1560" s="12"/>
      <c r="X1560" s="12"/>
      <c r="Y1560" s="12"/>
      <c r="Z1560" s="12"/>
      <c r="AA1560" s="12"/>
    </row>
    <row r="1561" ht="26.25" customHeight="1">
      <c r="A1561" s="26" t="s">
        <v>3126</v>
      </c>
      <c r="B1561" s="26" t="s">
        <v>3127</v>
      </c>
      <c r="C1561" s="14">
        <v>2.0</v>
      </c>
      <c r="D1561" s="23">
        <v>964.0</v>
      </c>
      <c r="E1561" s="23">
        <v>3.0</v>
      </c>
      <c r="F1561" s="27" t="str">
        <f t="array" ref="F1561">"https://www.google.com/maps/search/?api=1&amp;query=" &amp; A1561 &amp; "," &amp; B1561</f>
        <v>https://www.google.com/maps/search/?api=1&amp;query=-3.0903849010596,-55.53359508040600</v>
      </c>
      <c r="G1561" s="27" t="str">
        <f t="array" ref="G1561">"https://earth.google.com/web/search/" &amp; A1561 &amp; "," &amp; B1561</f>
        <v>https://earth.google.com/web/search/-3.0903849010596,-55.53359508040600</v>
      </c>
      <c r="H1561" s="12"/>
      <c r="I1561" s="12"/>
      <c r="J1561" s="12"/>
      <c r="K1561" s="12"/>
      <c r="L1561" s="12"/>
      <c r="M1561" s="12"/>
      <c r="N1561" s="12"/>
      <c r="O1561" s="12"/>
      <c r="P1561" s="12"/>
      <c r="Q1561" s="12"/>
      <c r="R1561" s="12"/>
      <c r="S1561" s="12"/>
      <c r="T1561" s="12"/>
      <c r="U1561" s="12"/>
      <c r="V1561" s="12"/>
      <c r="W1561" s="12"/>
      <c r="X1561" s="12"/>
      <c r="Y1561" s="12"/>
      <c r="Z1561" s="12"/>
      <c r="AA1561" s="12"/>
    </row>
    <row r="1562" ht="26.25" customHeight="1">
      <c r="A1562" s="26" t="s">
        <v>3128</v>
      </c>
      <c r="B1562" s="26" t="s">
        <v>3129</v>
      </c>
      <c r="C1562" s="14">
        <v>2.0</v>
      </c>
      <c r="D1562" s="23">
        <v>964.0</v>
      </c>
      <c r="E1562" s="23">
        <v>4.0</v>
      </c>
      <c r="F1562" s="27" t="str">
        <f t="array" ref="F1562">"https://www.google.com/maps/search/?api=1&amp;query=" &amp; A1562 &amp; "," &amp; B1562</f>
        <v>https://www.google.com/maps/search/?api=1&amp;query=-30.9039212058482,-55.53362678493340</v>
      </c>
      <c r="G1562" s="27" t="str">
        <f t="array" ref="G1562">"https://earth.google.com/web/search/" &amp; A1562 &amp; "," &amp; B1562</f>
        <v>https://earth.google.com/web/search/-30.9039212058482,-55.53362678493340</v>
      </c>
      <c r="H1562" s="12"/>
      <c r="I1562" s="12"/>
      <c r="J1562" s="12"/>
      <c r="K1562" s="12"/>
      <c r="L1562" s="12"/>
      <c r="M1562" s="12"/>
      <c r="N1562" s="12"/>
      <c r="O1562" s="12"/>
      <c r="P1562" s="12"/>
      <c r="Q1562" s="12"/>
      <c r="R1562" s="12"/>
      <c r="S1562" s="12"/>
      <c r="T1562" s="12"/>
      <c r="U1562" s="12"/>
      <c r="V1562" s="12"/>
      <c r="W1562" s="12"/>
      <c r="X1562" s="12"/>
      <c r="Y1562" s="12"/>
      <c r="Z1562" s="12"/>
      <c r="AA1562" s="12"/>
    </row>
    <row r="1563" ht="26.25" customHeight="1">
      <c r="A1563" s="26" t="s">
        <v>3130</v>
      </c>
      <c r="B1563" s="26" t="s">
        <v>3131</v>
      </c>
      <c r="C1563" s="14">
        <v>2.0</v>
      </c>
      <c r="D1563" s="23">
        <v>964.0</v>
      </c>
      <c r="E1563" s="23">
        <v>5.0</v>
      </c>
      <c r="F1563" s="27" t="str">
        <f t="array" ref="F1563">"https://www.google.com/maps/search/?api=1&amp;query=" &amp; A1563 &amp; "," &amp; B1563</f>
        <v>https://www.google.com/maps/search/?api=1&amp;query=-30.9040018083477,-55.53369428679040</v>
      </c>
      <c r="G1563" s="27" t="str">
        <f t="array" ref="G1563">"https://earth.google.com/web/search/" &amp; A1563 &amp; "," &amp; B1563</f>
        <v>https://earth.google.com/web/search/-30.9040018083477,-55.53369428679040</v>
      </c>
      <c r="H1563" s="12"/>
      <c r="I1563" s="12"/>
      <c r="J1563" s="12"/>
      <c r="K1563" s="12"/>
      <c r="L1563" s="12"/>
      <c r="M1563" s="12"/>
      <c r="N1563" s="12"/>
      <c r="O1563" s="12"/>
      <c r="P1563" s="12"/>
      <c r="Q1563" s="12"/>
      <c r="R1563" s="12"/>
      <c r="S1563" s="12"/>
      <c r="T1563" s="12"/>
      <c r="U1563" s="12"/>
      <c r="V1563" s="12"/>
      <c r="W1563" s="12"/>
      <c r="X1563" s="12"/>
      <c r="Y1563" s="12"/>
      <c r="Z1563" s="12"/>
      <c r="AA1563" s="12"/>
    </row>
    <row r="1564" ht="26.25" customHeight="1">
      <c r="A1564" s="26" t="s">
        <v>3132</v>
      </c>
      <c r="B1564" s="26" t="s">
        <v>3133</v>
      </c>
      <c r="C1564" s="14">
        <v>2.0</v>
      </c>
      <c r="D1564" s="23">
        <v>964.0</v>
      </c>
      <c r="E1564" s="23">
        <v>6.0</v>
      </c>
      <c r="F1564" s="27" t="str">
        <f t="array" ref="F1564">"https://www.google.com/maps/search/?api=1&amp;query=" &amp; A1564 &amp; "," &amp; B1564</f>
        <v>https://www.google.com/maps/search/?api=1&amp;query=-30.9045892875805,-55.53268843341240</v>
      </c>
      <c r="G1564" s="27" t="str">
        <f t="array" ref="G1564">"https://earth.google.com/web/search/" &amp; A1564 &amp; "," &amp; B1564</f>
        <v>https://earth.google.com/web/search/-30.9045892875805,-55.53268843341240</v>
      </c>
      <c r="H1564" s="12"/>
      <c r="I1564" s="12"/>
      <c r="J1564" s="12"/>
      <c r="K1564" s="12"/>
      <c r="L1564" s="12"/>
      <c r="M1564" s="12"/>
      <c r="N1564" s="12"/>
      <c r="O1564" s="12"/>
      <c r="P1564" s="12"/>
      <c r="Q1564" s="12"/>
      <c r="R1564" s="12"/>
      <c r="S1564" s="12"/>
      <c r="T1564" s="12"/>
      <c r="U1564" s="12"/>
      <c r="V1564" s="12"/>
      <c r="W1564" s="12"/>
      <c r="X1564" s="12"/>
      <c r="Y1564" s="12"/>
      <c r="Z1564" s="12"/>
      <c r="AA1564" s="12"/>
    </row>
    <row r="1565" ht="26.25" customHeight="1">
      <c r="A1565" s="26" t="s">
        <v>3134</v>
      </c>
      <c r="B1565" s="26" t="s">
        <v>3135</v>
      </c>
      <c r="C1565" s="14">
        <v>2.0</v>
      </c>
      <c r="D1565" s="23">
        <v>964.0</v>
      </c>
      <c r="E1565" s="23">
        <v>7.0</v>
      </c>
      <c r="F1565" s="27" t="str">
        <f t="array" ref="F1565">"https://www.google.com/maps/search/?api=1&amp;query=" &amp; A1565 &amp; "," &amp; B1565</f>
        <v>https://www.google.com/maps/search/?api=1&amp;query=-30.9044113484631,-55.53256575997640</v>
      </c>
      <c r="G1565" s="27" t="str">
        <f t="array" ref="G1565">"https://earth.google.com/web/search/" &amp; A1565 &amp; "," &amp; B1565</f>
        <v>https://earth.google.com/web/search/-30.9044113484631,-55.53256575997640</v>
      </c>
      <c r="H1565" s="12"/>
      <c r="I1565" s="12"/>
      <c r="J1565" s="12"/>
      <c r="K1565" s="12"/>
      <c r="L1565" s="12"/>
      <c r="M1565" s="12"/>
      <c r="N1565" s="12"/>
      <c r="O1565" s="12"/>
      <c r="P1565" s="12"/>
      <c r="Q1565" s="12"/>
      <c r="R1565" s="12"/>
      <c r="S1565" s="12"/>
      <c r="T1565" s="12"/>
      <c r="U1565" s="12"/>
      <c r="V1565" s="12"/>
      <c r="W1565" s="12"/>
      <c r="X1565" s="12"/>
      <c r="Y1565" s="12"/>
      <c r="Z1565" s="12"/>
      <c r="AA1565" s="12"/>
    </row>
    <row r="1566" ht="26.25" customHeight="1">
      <c r="A1566" s="26" t="s">
        <v>3136</v>
      </c>
      <c r="B1566" s="26" t="s">
        <v>3137</v>
      </c>
      <c r="C1566" s="14">
        <v>2.0</v>
      </c>
      <c r="D1566" s="23">
        <v>964.0</v>
      </c>
      <c r="E1566" s="23">
        <v>8.0</v>
      </c>
      <c r="F1566" s="27" t="str">
        <f t="array" ref="F1566">"https://www.google.com/maps/search/?api=1&amp;query=" &amp; A1566 &amp; "," &amp; B1566</f>
        <v>https://www.google.com/maps/search/?api=1&amp;query=-30.9041568265424,-55.53239852513870</v>
      </c>
      <c r="G1566" s="27" t="str">
        <f t="array" ref="G1566">"https://earth.google.com/web/search/" &amp; A1566 &amp; "," &amp; B1566</f>
        <v>https://earth.google.com/web/search/-30.9041568265424,-55.53239852513870</v>
      </c>
      <c r="H1566" s="12"/>
      <c r="I1566" s="12"/>
      <c r="J1566" s="12"/>
      <c r="K1566" s="12"/>
      <c r="L1566" s="12"/>
      <c r="M1566" s="12"/>
      <c r="N1566" s="12"/>
      <c r="O1566" s="12"/>
      <c r="P1566" s="12"/>
      <c r="Q1566" s="12"/>
      <c r="R1566" s="12"/>
      <c r="S1566" s="12"/>
      <c r="T1566" s="12"/>
      <c r="U1566" s="12"/>
      <c r="V1566" s="12"/>
      <c r="W1566" s="12"/>
      <c r="X1566" s="12"/>
      <c r="Y1566" s="12"/>
      <c r="Z1566" s="12"/>
      <c r="AA1566" s="12"/>
    </row>
    <row r="1567" ht="26.25" customHeight="1">
      <c r="A1567" s="26" t="s">
        <v>3138</v>
      </c>
      <c r="B1567" s="26" t="s">
        <v>3139</v>
      </c>
      <c r="C1567" s="14">
        <v>2.0</v>
      </c>
      <c r="D1567" s="23">
        <v>964.0</v>
      </c>
      <c r="E1567" s="23">
        <v>9.0</v>
      </c>
      <c r="F1567" s="27" t="str">
        <f t="array" ref="F1567">"https://www.google.com/maps/search/?api=1&amp;query=" &amp; A1567 &amp; "," &amp; B1567</f>
        <v>https://www.google.com/maps/search/?api=1&amp;query=-30.9039043584315,-55.53248290370850</v>
      </c>
      <c r="G1567" s="27" t="str">
        <f t="array" ref="G1567">"https://earth.google.com/web/search/" &amp; A1567 &amp; "," &amp; B1567</f>
        <v>https://earth.google.com/web/search/-30.9039043584315,-55.53248290370850</v>
      </c>
      <c r="H1567" s="12"/>
      <c r="I1567" s="12"/>
      <c r="J1567" s="12"/>
      <c r="K1567" s="12"/>
      <c r="L1567" s="12"/>
      <c r="M1567" s="12"/>
      <c r="N1567" s="12"/>
      <c r="O1567" s="12"/>
      <c r="P1567" s="12"/>
      <c r="Q1567" s="12"/>
      <c r="R1567" s="12"/>
      <c r="S1567" s="12"/>
      <c r="T1567" s="12"/>
      <c r="U1567" s="12"/>
      <c r="V1567" s="12"/>
      <c r="W1567" s="12"/>
      <c r="X1567" s="12"/>
      <c r="Y1567" s="12"/>
      <c r="Z1567" s="12"/>
      <c r="AA1567" s="12"/>
    </row>
    <row r="1568" ht="26.25" customHeight="1">
      <c r="A1568" s="26" t="s">
        <v>3140</v>
      </c>
      <c r="B1568" s="26" t="s">
        <v>3141</v>
      </c>
      <c r="C1568" s="14">
        <v>2.0</v>
      </c>
      <c r="D1568" s="23">
        <v>964.0</v>
      </c>
      <c r="E1568" s="23">
        <v>10.0</v>
      </c>
      <c r="F1568" s="27" t="str">
        <f t="array" ref="F1568">"https://www.google.com/maps/search/?api=1&amp;query=" &amp; A1568 &amp; "," &amp; B1568</f>
        <v>https://www.google.com/maps/search/?api=1&amp;query=-30.9036622806869,-55.53291198731870</v>
      </c>
      <c r="G1568" s="27" t="str">
        <f t="array" ref="G1568">"https://earth.google.com/web/search/" &amp; A1568 &amp; "," &amp; B1568</f>
        <v>https://earth.google.com/web/search/-30.9036622806869,-55.53291198731870</v>
      </c>
      <c r="H1568" s="12"/>
      <c r="I1568" s="12"/>
      <c r="J1568" s="12"/>
      <c r="K1568" s="12"/>
      <c r="L1568" s="12"/>
      <c r="M1568" s="12"/>
      <c r="N1568" s="12"/>
      <c r="O1568" s="12"/>
      <c r="P1568" s="12"/>
      <c r="Q1568" s="12"/>
      <c r="R1568" s="12"/>
      <c r="S1568" s="12"/>
      <c r="T1568" s="12"/>
      <c r="U1568" s="12"/>
      <c r="V1568" s="12"/>
      <c r="W1568" s="12"/>
      <c r="X1568" s="12"/>
      <c r="Y1568" s="12"/>
      <c r="Z1568" s="12"/>
      <c r="AA1568" s="12"/>
    </row>
    <row r="1569" ht="26.25" customHeight="1">
      <c r="A1569" s="26" t="s">
        <v>3142</v>
      </c>
      <c r="B1569" s="26" t="s">
        <v>3143</v>
      </c>
      <c r="C1569" s="14">
        <v>2.0</v>
      </c>
      <c r="D1569" s="23">
        <v>506.0</v>
      </c>
      <c r="E1569" s="23">
        <v>1.0</v>
      </c>
      <c r="F1569" s="27" t="str">
        <f t="array" ref="F1569">"https://www.google.com/maps/search/?api=1&amp;query=" &amp; A1569 &amp; "," &amp; B1569</f>
        <v>https://www.google.com/maps/search/?api=1&amp;query=-30.9040758302957,-55.53221067444760</v>
      </c>
      <c r="G1569" s="27" t="str">
        <f t="array" ref="G1569">"https://earth.google.com/web/search/" &amp; A1569 &amp; "," &amp; B1569</f>
        <v>https://earth.google.com/web/search/-30.9040758302957,-55.53221067444760</v>
      </c>
      <c r="H1569" s="12"/>
      <c r="I1569" s="12"/>
      <c r="J1569" s="12"/>
      <c r="K1569" s="12"/>
      <c r="L1569" s="12"/>
      <c r="M1569" s="12"/>
      <c r="N1569" s="12"/>
      <c r="O1569" s="12"/>
      <c r="P1569" s="12"/>
      <c r="Q1569" s="12"/>
      <c r="R1569" s="12"/>
      <c r="S1569" s="12"/>
      <c r="T1569" s="12"/>
      <c r="U1569" s="12"/>
      <c r="V1569" s="12"/>
      <c r="W1569" s="12"/>
      <c r="X1569" s="12"/>
      <c r="Y1569" s="12"/>
      <c r="Z1569" s="12"/>
      <c r="AA1569" s="12"/>
    </row>
    <row r="1570" ht="26.25" customHeight="1">
      <c r="A1570" s="26" t="s">
        <v>3144</v>
      </c>
      <c r="B1570" s="26" t="s">
        <v>3145</v>
      </c>
      <c r="C1570" s="14">
        <v>2.0</v>
      </c>
      <c r="D1570" s="23">
        <v>506.0</v>
      </c>
      <c r="E1570" s="23">
        <v>2.0</v>
      </c>
      <c r="F1570" s="27" t="str">
        <f t="array" ref="F1570">"https://www.google.com/maps/search/?api=1&amp;query=" &amp; A1570 &amp; "," &amp; B1570</f>
        <v>https://www.google.com/maps/search/?api=1&amp;query=-30.9042043990612,-55.53229614633870</v>
      </c>
      <c r="G1570" s="27" t="str">
        <f t="array" ref="G1570">"https://earth.google.com/web/search/" &amp; A1570 &amp; "," &amp; B1570</f>
        <v>https://earth.google.com/web/search/-30.9042043990612,-55.53229614633870</v>
      </c>
      <c r="H1570" s="12"/>
      <c r="I1570" s="12"/>
      <c r="J1570" s="12"/>
      <c r="K1570" s="12"/>
      <c r="L1570" s="12"/>
      <c r="M1570" s="12"/>
      <c r="N1570" s="12"/>
      <c r="O1570" s="12"/>
      <c r="P1570" s="12"/>
      <c r="Q1570" s="12"/>
      <c r="R1570" s="12"/>
      <c r="S1570" s="12"/>
      <c r="T1570" s="12"/>
      <c r="U1570" s="12"/>
      <c r="V1570" s="12"/>
      <c r="W1570" s="12"/>
      <c r="X1570" s="12"/>
      <c r="Y1570" s="12"/>
      <c r="Z1570" s="12"/>
      <c r="AA1570" s="12"/>
    </row>
    <row r="1571" ht="26.25" customHeight="1">
      <c r="A1571" s="26" t="s">
        <v>3146</v>
      </c>
      <c r="B1571" s="26" t="s">
        <v>3147</v>
      </c>
      <c r="C1571" s="14">
        <v>2.0</v>
      </c>
      <c r="D1571" s="23">
        <v>506.0</v>
      </c>
      <c r="E1571" s="23">
        <v>3.0</v>
      </c>
      <c r="F1571" s="27" t="str">
        <f t="array" ref="F1571">"https://www.google.com/maps/search/?api=1&amp;query=" &amp; A1571 &amp; "," &amp; B1571</f>
        <v>https://www.google.com/maps/search/?api=1&amp;query=-30.9042692521574,-5.55323442506737</v>
      </c>
      <c r="G1571" s="27" t="str">
        <f t="array" ref="G1571">"https://earth.google.com/web/search/" &amp; A1571 &amp; "," &amp; B1571</f>
        <v>https://earth.google.com/web/search/-30.9042692521574,-5.55323442506737</v>
      </c>
      <c r="H1571" s="12"/>
      <c r="I1571" s="12"/>
      <c r="J1571" s="12"/>
      <c r="K1571" s="12"/>
      <c r="L1571" s="12"/>
      <c r="M1571" s="12"/>
      <c r="N1571" s="12"/>
      <c r="O1571" s="12"/>
      <c r="P1571" s="12"/>
      <c r="Q1571" s="12"/>
      <c r="R1571" s="12"/>
      <c r="S1571" s="12"/>
      <c r="T1571" s="12"/>
      <c r="U1571" s="12"/>
      <c r="V1571" s="12"/>
      <c r="W1571" s="12"/>
      <c r="X1571" s="12"/>
      <c r="Y1571" s="12"/>
      <c r="Z1571" s="12"/>
      <c r="AA1571" s="12"/>
    </row>
    <row r="1572" ht="26.25" customHeight="1">
      <c r="A1572" s="26" t="s">
        <v>3148</v>
      </c>
      <c r="B1572" s="26" t="s">
        <v>3149</v>
      </c>
      <c r="C1572" s="14">
        <v>2.0</v>
      </c>
      <c r="D1572" s="23">
        <v>506.0</v>
      </c>
      <c r="E1572" s="23">
        <v>4.0</v>
      </c>
      <c r="F1572" s="27" t="str">
        <f t="array" ref="F1572">"https://www.google.com/maps/search/?api=1&amp;query=" &amp; A1572 &amp; "," &amp; B1572</f>
        <v>https://www.google.com/maps/search/?api=1&amp;query=-30.9046038446500,-55.53260796464430</v>
      </c>
      <c r="G1572" s="27" t="str">
        <f t="array" ref="G1572">"https://earth.google.com/web/search/" &amp; A1572 &amp; "," &amp; B1572</f>
        <v>https://earth.google.com/web/search/-30.9046038446500,-55.53260796464430</v>
      </c>
      <c r="H1572" s="12"/>
      <c r="I1572" s="12"/>
      <c r="J1572" s="12"/>
      <c r="K1572" s="12"/>
      <c r="L1572" s="12"/>
      <c r="M1572" s="12"/>
      <c r="N1572" s="12"/>
      <c r="O1572" s="12"/>
      <c r="P1572" s="12"/>
      <c r="Q1572" s="12"/>
      <c r="R1572" s="12"/>
      <c r="S1572" s="12"/>
      <c r="T1572" s="12"/>
      <c r="U1572" s="12"/>
      <c r="V1572" s="12"/>
      <c r="W1572" s="12"/>
      <c r="X1572" s="12"/>
      <c r="Y1572" s="12"/>
      <c r="Z1572" s="12"/>
      <c r="AA1572" s="12"/>
    </row>
    <row r="1573" ht="26.25" customHeight="1">
      <c r="A1573" s="26" t="s">
        <v>3150</v>
      </c>
      <c r="B1573" s="26" t="s">
        <v>3151</v>
      </c>
      <c r="C1573" s="14">
        <v>2.0</v>
      </c>
      <c r="D1573" s="23">
        <v>506.0</v>
      </c>
      <c r="E1573" s="23">
        <v>5.0</v>
      </c>
      <c r="F1573" s="27" t="str">
        <f t="array" ref="F1573">"https://www.google.com/maps/search/?api=1&amp;query=" &amp; A1573 &amp; "," &amp; B1573</f>
        <v>https://www.google.com/maps/search/?api=1&amp;query=-30.9046516296585,-55.53262790580630</v>
      </c>
      <c r="G1573" s="27" t="str">
        <f t="array" ref="G1573">"https://earth.google.com/web/search/" &amp; A1573 &amp; "," &amp; B1573</f>
        <v>https://earth.google.com/web/search/-30.9046516296585,-55.53262790580630</v>
      </c>
      <c r="H1573" s="12"/>
      <c r="I1573" s="12"/>
      <c r="J1573" s="12"/>
      <c r="K1573" s="12"/>
      <c r="L1573" s="12"/>
      <c r="M1573" s="12"/>
      <c r="N1573" s="12"/>
      <c r="O1573" s="12"/>
      <c r="P1573" s="12"/>
      <c r="Q1573" s="12"/>
      <c r="R1573" s="12"/>
      <c r="S1573" s="12"/>
      <c r="T1573" s="12"/>
      <c r="U1573" s="12"/>
      <c r="V1573" s="12"/>
      <c r="W1573" s="12"/>
      <c r="X1573" s="12"/>
      <c r="Y1573" s="12"/>
      <c r="Z1573" s="12"/>
      <c r="AA1573" s="12"/>
    </row>
    <row r="1574" ht="26.25" customHeight="1">
      <c r="A1574" s="26" t="s">
        <v>3152</v>
      </c>
      <c r="B1574" s="26" t="s">
        <v>3153</v>
      </c>
      <c r="C1574" s="14">
        <v>2.0</v>
      </c>
      <c r="D1574" s="23">
        <v>506.0</v>
      </c>
      <c r="E1574" s="23">
        <v>6.0</v>
      </c>
      <c r="F1574" s="27" t="str">
        <f t="array" ref="F1574">"https://www.google.com/maps/search/?api=1&amp;query=" &amp; A1574 &amp; "," &amp; B1574</f>
        <v>https://www.google.com/maps/search/?api=1&amp;query=-30.9047008019959,-55.53265803157370</v>
      </c>
      <c r="G1574" s="27" t="str">
        <f t="array" ref="G1574">"https://earth.google.com/web/search/" &amp; A1574 &amp; "," &amp; B1574</f>
        <v>https://earth.google.com/web/search/-30.9047008019959,-55.53265803157370</v>
      </c>
      <c r="H1574" s="12"/>
      <c r="I1574" s="12"/>
      <c r="J1574" s="12"/>
      <c r="K1574" s="12"/>
      <c r="L1574" s="12"/>
      <c r="M1574" s="12"/>
      <c r="N1574" s="12"/>
      <c r="O1574" s="12"/>
      <c r="P1574" s="12"/>
      <c r="Q1574" s="12"/>
      <c r="R1574" s="12"/>
      <c r="S1574" s="12"/>
      <c r="T1574" s="12"/>
      <c r="U1574" s="12"/>
      <c r="V1574" s="12"/>
      <c r="W1574" s="12"/>
      <c r="X1574" s="12"/>
      <c r="Y1574" s="12"/>
      <c r="Z1574" s="12"/>
      <c r="AA1574" s="12"/>
    </row>
    <row r="1575" ht="26.25" customHeight="1">
      <c r="A1575" s="26" t="s">
        <v>3154</v>
      </c>
      <c r="B1575" s="26" t="s">
        <v>3155</v>
      </c>
      <c r="C1575" s="14">
        <v>2.0</v>
      </c>
      <c r="D1575" s="23">
        <v>506.0</v>
      </c>
      <c r="E1575" s="23">
        <v>7.0</v>
      </c>
      <c r="F1575" s="27" t="str">
        <f t="array" ref="F1575">"https://www.google.com/maps/search/?api=1&amp;query=" &amp; A1575 &amp; "," &amp; B1575</f>
        <v>https://www.google.com/maps/search/?api=1&amp;query=-30.9049147764696,-55.53232134005410</v>
      </c>
      <c r="G1575" s="27" t="str">
        <f t="array" ref="G1575">"https://earth.google.com/web/search/" &amp; A1575 &amp; "," &amp; B1575</f>
        <v>https://earth.google.com/web/search/-30.9049147764696,-55.53232134005410</v>
      </c>
      <c r="H1575" s="12"/>
      <c r="I1575" s="12"/>
      <c r="J1575" s="12"/>
      <c r="K1575" s="12"/>
      <c r="L1575" s="12"/>
      <c r="M1575" s="12"/>
      <c r="N1575" s="12"/>
      <c r="O1575" s="12"/>
      <c r="P1575" s="12"/>
      <c r="Q1575" s="12"/>
      <c r="R1575" s="12"/>
      <c r="S1575" s="12"/>
      <c r="T1575" s="12"/>
      <c r="U1575" s="12"/>
      <c r="V1575" s="12"/>
      <c r="W1575" s="12"/>
      <c r="X1575" s="12"/>
      <c r="Y1575" s="12"/>
      <c r="Z1575" s="12"/>
      <c r="AA1575" s="12"/>
    </row>
    <row r="1576" ht="26.25" customHeight="1">
      <c r="A1576" s="26" t="s">
        <v>3156</v>
      </c>
      <c r="B1576" s="26" t="s">
        <v>3157</v>
      </c>
      <c r="C1576" s="14">
        <v>2.0</v>
      </c>
      <c r="D1576" s="23">
        <v>506.0</v>
      </c>
      <c r="E1576" s="23">
        <v>8.0</v>
      </c>
      <c r="F1576" s="27" t="str">
        <f t="array" ref="F1576">"https://www.google.com/maps/search/?api=1&amp;query=" &amp; A1576 &amp; "," &amp; B1576</f>
        <v>https://www.google.com/maps/search/?api=1&amp;query=-30.9049937157625,-55.53227736809000</v>
      </c>
      <c r="G1576" s="27" t="str">
        <f t="array" ref="G1576">"https://earth.google.com/web/search/" &amp; A1576 &amp; "," &amp; B1576</f>
        <v>https://earth.google.com/web/search/-30.9049937157625,-55.53227736809000</v>
      </c>
      <c r="H1576" s="12"/>
      <c r="I1576" s="12"/>
      <c r="J1576" s="12"/>
      <c r="K1576" s="12"/>
      <c r="L1576" s="12"/>
      <c r="M1576" s="12"/>
      <c r="N1576" s="12"/>
      <c r="O1576" s="12"/>
      <c r="P1576" s="12"/>
      <c r="Q1576" s="12"/>
      <c r="R1576" s="12"/>
      <c r="S1576" s="12"/>
      <c r="T1576" s="12"/>
      <c r="U1576" s="12"/>
      <c r="V1576" s="12"/>
      <c r="W1576" s="12"/>
      <c r="X1576" s="12"/>
      <c r="Y1576" s="12"/>
      <c r="Z1576" s="12"/>
      <c r="AA1576" s="12"/>
    </row>
    <row r="1577" ht="26.25" customHeight="1">
      <c r="A1577" s="26" t="s">
        <v>3158</v>
      </c>
      <c r="B1577" s="26" t="s">
        <v>3159</v>
      </c>
      <c r="C1577" s="14">
        <v>2.0</v>
      </c>
      <c r="D1577" s="23">
        <v>506.0</v>
      </c>
      <c r="E1577" s="23">
        <v>9.0</v>
      </c>
      <c r="F1577" s="27" t="str">
        <f t="array" ref="F1577">"https://www.google.com/maps/search/?api=1&amp;query=" &amp; A1577 &amp; "," &amp; B1577</f>
        <v>https://www.google.com/maps/search/?api=1&amp;query=-30.9050465601884,-5.55321522328727</v>
      </c>
      <c r="G1577" s="27" t="str">
        <f t="array" ref="G1577">"https://earth.google.com/web/search/" &amp; A1577 &amp; "," &amp; B1577</f>
        <v>https://earth.google.com/web/search/-30.9050465601884,-5.55321522328727</v>
      </c>
      <c r="H1577" s="12"/>
      <c r="I1577" s="12"/>
      <c r="J1577" s="12"/>
      <c r="K1577" s="12"/>
      <c r="L1577" s="12"/>
      <c r="M1577" s="12"/>
      <c r="N1577" s="12"/>
      <c r="O1577" s="12"/>
      <c r="P1577" s="12"/>
      <c r="Q1577" s="12"/>
      <c r="R1577" s="12"/>
      <c r="S1577" s="12"/>
      <c r="T1577" s="12"/>
      <c r="U1577" s="12"/>
      <c r="V1577" s="12"/>
      <c r="W1577" s="12"/>
      <c r="X1577" s="12"/>
      <c r="Y1577" s="12"/>
      <c r="Z1577" s="12"/>
      <c r="AA1577" s="12"/>
    </row>
    <row r="1578" ht="26.25" customHeight="1">
      <c r="A1578" s="26" t="s">
        <v>3160</v>
      </c>
      <c r="B1578" s="26" t="s">
        <v>3161</v>
      </c>
      <c r="C1578" s="14">
        <v>2.0</v>
      </c>
      <c r="D1578" s="23">
        <v>506.0</v>
      </c>
      <c r="E1578" s="23">
        <v>10.0</v>
      </c>
      <c r="F1578" s="27" t="str">
        <f t="array" ref="F1578">"https://www.google.com/maps/search/?api=1&amp;query=" &amp; A1578 &amp; "," &amp; B1578</f>
        <v>https://www.google.com/maps/search/?api=1&amp;query=-30.9050287474872,-55.53200293489190</v>
      </c>
      <c r="G1578" s="27" t="str">
        <f t="array" ref="G1578">"https://earth.google.com/web/search/" &amp; A1578 &amp; "," &amp; B1578</f>
        <v>https://earth.google.com/web/search/-30.9050287474872,-55.53200293489190</v>
      </c>
      <c r="H1578" s="12"/>
      <c r="I1578" s="12"/>
      <c r="J1578" s="12"/>
      <c r="K1578" s="12"/>
      <c r="L1578" s="12"/>
      <c r="M1578" s="12"/>
      <c r="N1578" s="12"/>
      <c r="O1578" s="12"/>
      <c r="P1578" s="12"/>
      <c r="Q1578" s="12"/>
      <c r="R1578" s="12"/>
      <c r="S1578" s="12"/>
      <c r="T1578" s="12"/>
      <c r="U1578" s="12"/>
      <c r="V1578" s="12"/>
      <c r="W1578" s="12"/>
      <c r="X1578" s="12"/>
      <c r="Y1578" s="12"/>
      <c r="Z1578" s="12"/>
      <c r="AA1578" s="12"/>
    </row>
    <row r="1579" ht="26.25" customHeight="1">
      <c r="A1579" s="26" t="s">
        <v>3162</v>
      </c>
      <c r="B1579" s="26" t="s">
        <v>3163</v>
      </c>
      <c r="C1579" s="14">
        <v>2.0</v>
      </c>
      <c r="D1579" s="23">
        <v>506.0</v>
      </c>
      <c r="E1579" s="23">
        <v>11.0</v>
      </c>
      <c r="F1579" s="27" t="str">
        <f t="array" ref="F1579">"https://www.google.com/maps/search/?api=1&amp;query=" &amp; A1579 &amp; "," &amp; B1579</f>
        <v>https://www.google.com/maps/search/?api=1&amp;query=-30.9049773458027,-55.53197143978720</v>
      </c>
      <c r="G1579" s="27" t="str">
        <f t="array" ref="G1579">"https://earth.google.com/web/search/" &amp; A1579 &amp; "," &amp; B1579</f>
        <v>https://earth.google.com/web/search/-30.9049773458027,-55.53197143978720</v>
      </c>
      <c r="H1579" s="12"/>
      <c r="I1579" s="12"/>
      <c r="J1579" s="12"/>
      <c r="K1579" s="12"/>
      <c r="L1579" s="12"/>
      <c r="M1579" s="12"/>
      <c r="N1579" s="12"/>
      <c r="O1579" s="12"/>
      <c r="P1579" s="12"/>
      <c r="Q1579" s="12"/>
      <c r="R1579" s="12"/>
      <c r="S1579" s="12"/>
      <c r="T1579" s="12"/>
      <c r="U1579" s="12"/>
      <c r="V1579" s="12"/>
      <c r="W1579" s="12"/>
      <c r="X1579" s="12"/>
      <c r="Y1579" s="12"/>
      <c r="Z1579" s="12"/>
      <c r="AA1579" s="12"/>
    </row>
    <row r="1580" ht="26.25" customHeight="1">
      <c r="A1580" s="26" t="s">
        <v>3164</v>
      </c>
      <c r="B1580" s="26" t="s">
        <v>3165</v>
      </c>
      <c r="C1580" s="14">
        <v>2.0</v>
      </c>
      <c r="D1580" s="23">
        <v>506.0</v>
      </c>
      <c r="E1580" s="23">
        <v>12.0</v>
      </c>
      <c r="F1580" s="27" t="str">
        <f t="array" ref="F1580">"https://www.google.com/maps/search/?api=1&amp;query=" &amp; A1580 &amp; "," &amp; B1580</f>
        <v>https://www.google.com/maps/search/?api=1&amp;query=-30.9048909827257,-55.53188810971040</v>
      </c>
      <c r="G1580" s="27" t="str">
        <f t="array" ref="G1580">"https://earth.google.com/web/search/" &amp; A1580 &amp; "," &amp; B1580</f>
        <v>https://earth.google.com/web/search/-30.9048909827257,-55.53188810971040</v>
      </c>
      <c r="H1580" s="12"/>
      <c r="I1580" s="12"/>
      <c r="J1580" s="12"/>
      <c r="K1580" s="12"/>
      <c r="L1580" s="12"/>
      <c r="M1580" s="12"/>
      <c r="N1580" s="12"/>
      <c r="O1580" s="12"/>
      <c r="P1580" s="12"/>
      <c r="Q1580" s="12"/>
      <c r="R1580" s="12"/>
      <c r="S1580" s="12"/>
      <c r="T1580" s="12"/>
      <c r="U1580" s="12"/>
      <c r="V1580" s="12"/>
      <c r="W1580" s="12"/>
      <c r="X1580" s="12"/>
      <c r="Y1580" s="12"/>
      <c r="Z1580" s="12"/>
      <c r="AA1580" s="12"/>
    </row>
    <row r="1581" ht="26.25" customHeight="1">
      <c r="A1581" s="26" t="s">
        <v>3166</v>
      </c>
      <c r="B1581" s="26" t="s">
        <v>3167</v>
      </c>
      <c r="C1581" s="14">
        <v>2.0</v>
      </c>
      <c r="D1581" s="23">
        <v>506.0</v>
      </c>
      <c r="E1581" s="23">
        <v>13.0</v>
      </c>
      <c r="F1581" s="27" t="str">
        <f t="array" ref="F1581">"https://www.google.com/maps/search/?api=1&amp;query=" &amp; A1581 &amp; "," &amp; B1581</f>
        <v>https://www.google.com/maps/search/?api=1&amp;query=-30.9046851795023,-55.53172999620910</v>
      </c>
      <c r="G1581" s="27" t="str">
        <f t="array" ref="G1581">"https://earth.google.com/web/search/" &amp; A1581 &amp; "," &amp; B1581</f>
        <v>https://earth.google.com/web/search/-30.9046851795023,-55.53172999620910</v>
      </c>
      <c r="H1581" s="12"/>
      <c r="I1581" s="12"/>
      <c r="J1581" s="12"/>
      <c r="K1581" s="12"/>
      <c r="L1581" s="12"/>
      <c r="M1581" s="12"/>
      <c r="N1581" s="12"/>
      <c r="O1581" s="12"/>
      <c r="P1581" s="12"/>
      <c r="Q1581" s="12"/>
      <c r="R1581" s="12"/>
      <c r="S1581" s="12"/>
      <c r="T1581" s="12"/>
      <c r="U1581" s="12"/>
      <c r="V1581" s="12"/>
      <c r="W1581" s="12"/>
      <c r="X1581" s="12"/>
      <c r="Y1581" s="12"/>
      <c r="Z1581" s="12"/>
      <c r="AA1581" s="12"/>
    </row>
    <row r="1582" ht="26.25" customHeight="1">
      <c r="A1582" s="26" t="s">
        <v>3168</v>
      </c>
      <c r="B1582" s="26" t="s">
        <v>3169</v>
      </c>
      <c r="C1582" s="14">
        <v>2.0</v>
      </c>
      <c r="D1582" s="23">
        <v>875.0</v>
      </c>
      <c r="E1582" s="23">
        <v>1.0</v>
      </c>
      <c r="F1582" s="27" t="str">
        <f t="array" ref="F1582">"https://www.google.com/maps/search/?api=1&amp;query=" &amp; A1582 &amp; "," &amp; B1582</f>
        <v>https://www.google.com/maps/search/?api=1&amp;query=-3.0904512971206,-55.53151021317340</v>
      </c>
      <c r="G1582" s="27" t="str">
        <f t="array" ref="G1582">"https://earth.google.com/web/search/" &amp; A1582 &amp; "," &amp; B1582</f>
        <v>https://earth.google.com/web/search/-3.0904512971206,-55.53151021317340</v>
      </c>
      <c r="H1582" s="12"/>
      <c r="I1582" s="12"/>
      <c r="J1582" s="12"/>
      <c r="K1582" s="12"/>
      <c r="L1582" s="12"/>
      <c r="M1582" s="12"/>
      <c r="N1582" s="12"/>
      <c r="O1582" s="12"/>
      <c r="P1582" s="12"/>
      <c r="Q1582" s="12"/>
      <c r="R1582" s="12"/>
      <c r="S1582" s="12"/>
      <c r="T1582" s="12"/>
      <c r="U1582" s="12"/>
      <c r="V1582" s="12"/>
      <c r="W1582" s="12"/>
      <c r="X1582" s="12"/>
      <c r="Y1582" s="12"/>
      <c r="Z1582" s="12"/>
      <c r="AA1582" s="12"/>
    </row>
    <row r="1583" ht="26.25" customHeight="1">
      <c r="A1583" s="26" t="s">
        <v>3170</v>
      </c>
      <c r="B1583" s="26" t="s">
        <v>3171</v>
      </c>
      <c r="C1583" s="14">
        <v>2.0</v>
      </c>
      <c r="D1583" s="23">
        <v>875.0</v>
      </c>
      <c r="E1583" s="23">
        <v>2.0</v>
      </c>
      <c r="F1583" s="27" t="str">
        <f t="array" ref="F1583">"https://www.google.com/maps/search/?api=1&amp;query=" &amp; A1583 &amp; "," &amp; B1583</f>
        <v>https://www.google.com/maps/search/?api=1&amp;query=-30.9046081487237,-55.53155885282430</v>
      </c>
      <c r="G1583" s="27" t="str">
        <f t="array" ref="G1583">"https://earth.google.com/web/search/" &amp; A1583 &amp; "," &amp; B1583</f>
        <v>https://earth.google.com/web/search/-30.9046081487237,-55.53155885282430</v>
      </c>
      <c r="H1583" s="12"/>
      <c r="I1583" s="12"/>
      <c r="J1583" s="12"/>
      <c r="K1583" s="12"/>
      <c r="L1583" s="12"/>
      <c r="M1583" s="12"/>
      <c r="N1583" s="12"/>
      <c r="O1583" s="12"/>
      <c r="P1583" s="12"/>
      <c r="Q1583" s="12"/>
      <c r="R1583" s="12"/>
      <c r="S1583" s="12"/>
      <c r="T1583" s="12"/>
      <c r="U1583" s="12"/>
      <c r="V1583" s="12"/>
      <c r="W1583" s="12"/>
      <c r="X1583" s="12"/>
      <c r="Y1583" s="12"/>
      <c r="Z1583" s="12"/>
      <c r="AA1583" s="12"/>
    </row>
    <row r="1584" ht="26.25" customHeight="1">
      <c r="A1584" s="26" t="s">
        <v>3172</v>
      </c>
      <c r="B1584" s="26" t="s">
        <v>3173</v>
      </c>
      <c r="C1584" s="14">
        <v>2.0</v>
      </c>
      <c r="D1584" s="23">
        <v>875.0</v>
      </c>
      <c r="E1584" s="23">
        <v>3.0</v>
      </c>
      <c r="F1584" s="27" t="str">
        <f t="array" ref="F1584">"https://www.google.com/maps/search/?api=1&amp;query=" &amp; A1584 &amp; "," &amp; B1584</f>
        <v>https://www.google.com/maps/search/?api=1&amp;query=-3.0904688040719,-55.53161195770890</v>
      </c>
      <c r="G1584" s="27" t="str">
        <f t="array" ref="G1584">"https://earth.google.com/web/search/" &amp; A1584 &amp; "," &amp; B1584</f>
        <v>https://earth.google.com/web/search/-3.0904688040719,-55.53161195770890</v>
      </c>
      <c r="H1584" s="12"/>
      <c r="I1584" s="12"/>
      <c r="J1584" s="12"/>
      <c r="K1584" s="12"/>
      <c r="L1584" s="12"/>
      <c r="M1584" s="12"/>
      <c r="N1584" s="12"/>
      <c r="O1584" s="12"/>
      <c r="P1584" s="12"/>
      <c r="Q1584" s="12"/>
      <c r="R1584" s="12"/>
      <c r="S1584" s="12"/>
      <c r="T1584" s="12"/>
      <c r="U1584" s="12"/>
      <c r="V1584" s="12"/>
      <c r="W1584" s="12"/>
      <c r="X1584" s="12"/>
      <c r="Y1584" s="12"/>
      <c r="Z1584" s="12"/>
      <c r="AA1584" s="12"/>
    </row>
    <row r="1585" ht="26.25" customHeight="1">
      <c r="A1585" s="26" t="s">
        <v>3174</v>
      </c>
      <c r="B1585" s="26" t="s">
        <v>3175</v>
      </c>
      <c r="C1585" s="14">
        <v>2.0</v>
      </c>
      <c r="D1585" s="23">
        <v>875.0</v>
      </c>
      <c r="E1585" s="23">
        <v>4.0</v>
      </c>
      <c r="F1585" s="27" t="str">
        <f t="array" ref="F1585">"https://www.google.com/maps/search/?api=1&amp;query=" &amp; A1585 &amp; "," &amp; B1585</f>
        <v>https://www.google.com/maps/search/?api=1&amp;query=-30.9047938129774,-55.53169668885270</v>
      </c>
      <c r="G1585" s="27" t="str">
        <f t="array" ref="G1585">"https://earth.google.com/web/search/" &amp; A1585 &amp; "," &amp; B1585</f>
        <v>https://earth.google.com/web/search/-30.9047938129774,-55.53169668885270</v>
      </c>
      <c r="H1585" s="12"/>
      <c r="I1585" s="12"/>
      <c r="J1585" s="12"/>
      <c r="K1585" s="12"/>
      <c r="L1585" s="12"/>
      <c r="M1585" s="12"/>
      <c r="N1585" s="12"/>
      <c r="O1585" s="12"/>
      <c r="P1585" s="12"/>
      <c r="Q1585" s="12"/>
      <c r="R1585" s="12"/>
      <c r="S1585" s="12"/>
      <c r="T1585" s="12"/>
      <c r="U1585" s="12"/>
      <c r="V1585" s="12"/>
      <c r="W1585" s="12"/>
      <c r="X1585" s="12"/>
      <c r="Y1585" s="12"/>
      <c r="Z1585" s="12"/>
      <c r="AA1585" s="12"/>
    </row>
    <row r="1586" ht="26.25" customHeight="1">
      <c r="A1586" s="26" t="s">
        <v>3176</v>
      </c>
      <c r="B1586" s="26" t="s">
        <v>3177</v>
      </c>
      <c r="C1586" s="14">
        <v>2.0</v>
      </c>
      <c r="D1586" s="23">
        <v>875.0</v>
      </c>
      <c r="E1586" s="23">
        <v>5.0</v>
      </c>
      <c r="F1586" s="27" t="str">
        <f t="array" ref="F1586">"https://www.google.com/maps/search/?api=1&amp;query=" &amp; A1586 &amp; "," &amp; B1586</f>
        <v>https://www.google.com/maps/search/?api=1&amp;query=-30.9049255281162,-55.53178421716340</v>
      </c>
      <c r="G1586" s="27" t="str">
        <f t="array" ref="G1586">"https://earth.google.com/web/search/" &amp; A1586 &amp; "," &amp; B1586</f>
        <v>https://earth.google.com/web/search/-30.9049255281162,-55.53178421716340</v>
      </c>
      <c r="H1586" s="12"/>
      <c r="I1586" s="12"/>
      <c r="J1586" s="12"/>
      <c r="K1586" s="12"/>
      <c r="L1586" s="12"/>
      <c r="M1586" s="12"/>
      <c r="N1586" s="12"/>
      <c r="O1586" s="12"/>
      <c r="P1586" s="12"/>
      <c r="Q1586" s="12"/>
      <c r="R1586" s="12"/>
      <c r="S1586" s="12"/>
      <c r="T1586" s="12"/>
      <c r="U1586" s="12"/>
      <c r="V1586" s="12"/>
      <c r="W1586" s="12"/>
      <c r="X1586" s="12"/>
      <c r="Y1586" s="12"/>
      <c r="Z1586" s="12"/>
      <c r="AA1586" s="12"/>
    </row>
    <row r="1587" ht="26.25" customHeight="1">
      <c r="A1587" s="26" t="s">
        <v>3178</v>
      </c>
      <c r="B1587" s="26" t="s">
        <v>3179</v>
      </c>
      <c r="C1587" s="14">
        <v>2.0</v>
      </c>
      <c r="D1587" s="23">
        <v>875.0</v>
      </c>
      <c r="E1587" s="23">
        <v>6.0</v>
      </c>
      <c r="F1587" s="27" t="str">
        <f t="array" ref="F1587">"https://www.google.com/maps/search/?api=1&amp;query=" &amp; A1587 &amp; "," &amp; B1587</f>
        <v>https://www.google.com/maps/search/?api=1&amp;query=-30.9052419472512,-55.53181340560260</v>
      </c>
      <c r="G1587" s="27" t="str">
        <f t="array" ref="G1587">"https://earth.google.com/web/search/" &amp; A1587 &amp; "," &amp; B1587</f>
        <v>https://earth.google.com/web/search/-30.9052419472512,-55.53181340560260</v>
      </c>
      <c r="H1587" s="12"/>
      <c r="I1587" s="12"/>
      <c r="J1587" s="12"/>
      <c r="K1587" s="12"/>
      <c r="L1587" s="12"/>
      <c r="M1587" s="12"/>
      <c r="N1587" s="12"/>
      <c r="O1587" s="12"/>
      <c r="P1587" s="12"/>
      <c r="Q1587" s="12"/>
      <c r="R1587" s="12"/>
      <c r="S1587" s="12"/>
      <c r="T1587" s="12"/>
      <c r="U1587" s="12"/>
      <c r="V1587" s="12"/>
      <c r="W1587" s="12"/>
      <c r="X1587" s="12"/>
      <c r="Y1587" s="12"/>
      <c r="Z1587" s="12"/>
      <c r="AA1587" s="12"/>
    </row>
    <row r="1588" ht="26.25" customHeight="1">
      <c r="A1588" s="26" t="s">
        <v>3180</v>
      </c>
      <c r="B1588" s="26" t="s">
        <v>3181</v>
      </c>
      <c r="C1588" s="14">
        <v>2.0</v>
      </c>
      <c r="D1588" s="23">
        <v>875.0</v>
      </c>
      <c r="E1588" s="23">
        <v>7.0</v>
      </c>
      <c r="F1588" s="27" t="str">
        <f t="array" ref="F1588">"https://www.google.com/maps/search/?api=1&amp;query=" &amp; A1588 &amp; "," &amp; B1588</f>
        <v>https://www.google.com/maps/search/?api=1&amp;query=-30.9052780753350,-5.55317162706321</v>
      </c>
      <c r="G1588" s="27" t="str">
        <f t="array" ref="G1588">"https://earth.google.com/web/search/" &amp; A1588 &amp; "," &amp; B1588</f>
        <v>https://earth.google.com/web/search/-30.9052780753350,-5.55317162706321</v>
      </c>
      <c r="H1588" s="12"/>
      <c r="I1588" s="12"/>
      <c r="J1588" s="12"/>
      <c r="K1588" s="12"/>
      <c r="L1588" s="12"/>
      <c r="M1588" s="12"/>
      <c r="N1588" s="12"/>
      <c r="O1588" s="12"/>
      <c r="P1588" s="12"/>
      <c r="Q1588" s="12"/>
      <c r="R1588" s="12"/>
      <c r="S1588" s="12"/>
      <c r="T1588" s="12"/>
      <c r="U1588" s="12"/>
      <c r="V1588" s="12"/>
      <c r="W1588" s="12"/>
      <c r="X1588" s="12"/>
      <c r="Y1588" s="12"/>
      <c r="Z1588" s="12"/>
      <c r="AA1588" s="12"/>
    </row>
    <row r="1589" ht="26.25" customHeight="1">
      <c r="A1589" s="26" t="s">
        <v>3182</v>
      </c>
      <c r="B1589" s="26" t="s">
        <v>3183</v>
      </c>
      <c r="C1589" s="14">
        <v>2.0</v>
      </c>
      <c r="D1589" s="23">
        <v>875.0</v>
      </c>
      <c r="E1589" s="23">
        <v>8.0</v>
      </c>
      <c r="F1589" s="27" t="str">
        <f t="array" ref="F1589">"https://www.google.com/maps/search/?api=1&amp;query=" &amp; A1589 &amp; "," &amp; B1589</f>
        <v>https://www.google.com/maps/search/?api=1&amp;query=-30.9049918826950,-5.55309274836234</v>
      </c>
      <c r="G1589" s="27" t="str">
        <f t="array" ref="G1589">"https://earth.google.com/web/search/" &amp; A1589 &amp; "," &amp; B1589</f>
        <v>https://earth.google.com/web/search/-30.9049918826950,-5.55309274836234</v>
      </c>
      <c r="H1589" s="12"/>
      <c r="I1589" s="12"/>
      <c r="J1589" s="12"/>
      <c r="K1589" s="12"/>
      <c r="L1589" s="12"/>
      <c r="M1589" s="12"/>
      <c r="N1589" s="12"/>
      <c r="O1589" s="12"/>
      <c r="P1589" s="12"/>
      <c r="Q1589" s="12"/>
      <c r="R1589" s="12"/>
      <c r="S1589" s="12"/>
      <c r="T1589" s="12"/>
      <c r="U1589" s="12"/>
      <c r="V1589" s="12"/>
      <c r="W1589" s="12"/>
      <c r="X1589" s="12"/>
      <c r="Y1589" s="12"/>
      <c r="Z1589" s="12"/>
      <c r="AA1589" s="12"/>
    </row>
    <row r="1590" ht="26.25" customHeight="1">
      <c r="A1590" s="26" t="s">
        <v>3184</v>
      </c>
      <c r="B1590" s="26" t="s">
        <v>3185</v>
      </c>
      <c r="C1590" s="14">
        <v>2.0</v>
      </c>
      <c r="D1590" s="23">
        <v>875.0</v>
      </c>
      <c r="E1590" s="23">
        <v>9.0</v>
      </c>
      <c r="F1590" s="27" t="str">
        <f t="array" ref="F1590">"https://www.google.com/maps/search/?api=1&amp;query=" &amp; A1590 &amp; "," &amp; B1590</f>
        <v>https://www.google.com/maps/search/?api=1&amp;query=-30.9048597027188,-55.53092072962470</v>
      </c>
      <c r="G1590" s="27" t="str">
        <f t="array" ref="G1590">"https://earth.google.com/web/search/" &amp; A1590 &amp; "," &amp; B1590</f>
        <v>https://earth.google.com/web/search/-30.9048597027188,-55.53092072962470</v>
      </c>
      <c r="H1590" s="12"/>
      <c r="I1590" s="12"/>
      <c r="J1590" s="12"/>
      <c r="K1590" s="12"/>
      <c r="L1590" s="12"/>
      <c r="M1590" s="12"/>
      <c r="N1590" s="12"/>
      <c r="O1590" s="12"/>
      <c r="P1590" s="12"/>
      <c r="Q1590" s="12"/>
      <c r="R1590" s="12"/>
      <c r="S1590" s="12"/>
      <c r="T1590" s="12"/>
      <c r="U1590" s="12"/>
      <c r="V1590" s="12"/>
      <c r="W1590" s="12"/>
      <c r="X1590" s="12"/>
      <c r="Y1590" s="12"/>
      <c r="Z1590" s="12"/>
      <c r="AA1590" s="12"/>
    </row>
    <row r="1591" ht="26.25" customHeight="1">
      <c r="A1591" s="26" t="s">
        <v>3186</v>
      </c>
      <c r="B1591" s="26" t="s">
        <v>3187</v>
      </c>
      <c r="C1591" s="14">
        <v>2.0</v>
      </c>
      <c r="D1591" s="23">
        <v>875.0</v>
      </c>
      <c r="E1591" s="23">
        <v>10.0</v>
      </c>
      <c r="F1591" s="27" t="str">
        <f t="array" ref="F1591">"https://www.google.com/maps/search/?api=1&amp;query=" &amp; A1591 &amp; "," &amp; B1591</f>
        <v>https://www.google.com/maps/search/?api=1&amp;query=-30.9047360328021,-55.53100168335750</v>
      </c>
      <c r="G1591" s="27" t="str">
        <f t="array" ref="G1591">"https://earth.google.com/web/search/" &amp; A1591 &amp; "," &amp; B1591</f>
        <v>https://earth.google.com/web/search/-30.9047360328021,-55.53100168335750</v>
      </c>
      <c r="H1591" s="12"/>
      <c r="I1591" s="12"/>
      <c r="J1591" s="12"/>
      <c r="K1591" s="12"/>
      <c r="L1591" s="12"/>
      <c r="M1591" s="12"/>
      <c r="N1591" s="12"/>
      <c r="O1591" s="12"/>
      <c r="P1591" s="12"/>
      <c r="Q1591" s="12"/>
      <c r="R1591" s="12"/>
      <c r="S1591" s="12"/>
      <c r="T1591" s="12"/>
      <c r="U1591" s="12"/>
      <c r="V1591" s="12"/>
      <c r="W1591" s="12"/>
      <c r="X1591" s="12"/>
      <c r="Y1591" s="12"/>
      <c r="Z1591" s="12"/>
      <c r="AA1591" s="12"/>
    </row>
    <row r="1592" ht="26.25" customHeight="1">
      <c r="A1592" s="26" t="s">
        <v>3188</v>
      </c>
      <c r="B1592" s="26" t="s">
        <v>3189</v>
      </c>
      <c r="C1592" s="14">
        <v>2.0</v>
      </c>
      <c r="D1592" s="23">
        <v>234.0</v>
      </c>
      <c r="E1592" s="23">
        <v>1.0</v>
      </c>
      <c r="F1592" s="27" t="str">
        <f t="array" ref="F1592">"https://www.google.com/maps/search/?api=1&amp;query=" &amp; A1592 &amp; "," &amp; B1592</f>
        <v>https://www.google.com/maps/search/?api=1&amp;query=-30.9028003566255,-55.53681695954290</v>
      </c>
      <c r="G1592" s="27" t="str">
        <f t="array" ref="G1592">"https://earth.google.com/web/search/" &amp; A1592 &amp; "," &amp; B1592</f>
        <v>https://earth.google.com/web/search/-30.9028003566255,-55.53681695954290</v>
      </c>
      <c r="H1592" s="12"/>
      <c r="I1592" s="12"/>
      <c r="J1592" s="12"/>
      <c r="K1592" s="12"/>
      <c r="L1592" s="12"/>
      <c r="M1592" s="12"/>
      <c r="N1592" s="12"/>
      <c r="O1592" s="12"/>
      <c r="P1592" s="12"/>
      <c r="Q1592" s="12"/>
      <c r="R1592" s="12"/>
      <c r="S1592" s="12"/>
      <c r="T1592" s="12"/>
      <c r="U1592" s="12"/>
      <c r="V1592" s="12"/>
      <c r="W1592" s="12"/>
      <c r="X1592" s="12"/>
      <c r="Y1592" s="12"/>
      <c r="Z1592" s="12"/>
      <c r="AA1592" s="12"/>
    </row>
    <row r="1593" ht="26.25" customHeight="1">
      <c r="A1593" s="26" t="s">
        <v>3190</v>
      </c>
      <c r="B1593" s="26" t="s">
        <v>3191</v>
      </c>
      <c r="C1593" s="14">
        <v>2.0</v>
      </c>
      <c r="D1593" s="23">
        <v>234.0</v>
      </c>
      <c r="E1593" s="23">
        <v>2.0</v>
      </c>
      <c r="F1593" s="27" t="str">
        <f t="array" ref="F1593">"https://www.google.com/maps/search/?api=1&amp;query=" &amp; A1593 &amp; "," &amp; B1593</f>
        <v>https://www.google.com/maps/search/?api=1&amp;query=-30.9028780680028,-55.53687396761240</v>
      </c>
      <c r="G1593" s="27" t="str">
        <f t="array" ref="G1593">"https://earth.google.com/web/search/" &amp; A1593 &amp; "," &amp; B1593</f>
        <v>https://earth.google.com/web/search/-30.9028780680028,-55.53687396761240</v>
      </c>
      <c r="H1593" s="12"/>
      <c r="I1593" s="12"/>
      <c r="J1593" s="12"/>
      <c r="K1593" s="12"/>
      <c r="L1593" s="12"/>
      <c r="M1593" s="12"/>
      <c r="N1593" s="12"/>
      <c r="O1593" s="12"/>
      <c r="P1593" s="12"/>
      <c r="Q1593" s="12"/>
      <c r="R1593" s="12"/>
      <c r="S1593" s="12"/>
      <c r="T1593" s="12"/>
      <c r="U1593" s="12"/>
      <c r="V1593" s="12"/>
      <c r="W1593" s="12"/>
      <c r="X1593" s="12"/>
      <c r="Y1593" s="12"/>
      <c r="Z1593" s="12"/>
      <c r="AA1593" s="12"/>
    </row>
    <row r="1594" ht="26.25" customHeight="1">
      <c r="A1594" s="26" t="s">
        <v>3192</v>
      </c>
      <c r="B1594" s="26" t="s">
        <v>3193</v>
      </c>
      <c r="C1594" s="14">
        <v>2.0</v>
      </c>
      <c r="D1594" s="23">
        <v>234.0</v>
      </c>
      <c r="E1594" s="23">
        <v>3.0</v>
      </c>
      <c r="F1594" s="27" t="str">
        <f t="array" ref="F1594">"https://www.google.com/maps/search/?api=1&amp;query=" &amp; A1594 &amp; "," &amp; B1594</f>
        <v>https://www.google.com/maps/search/?api=1&amp;query=-30.9029363648346,-55.53693155739970</v>
      </c>
      <c r="G1594" s="27" t="str">
        <f t="array" ref="G1594">"https://earth.google.com/web/search/" &amp; A1594 &amp; "," &amp; B1594</f>
        <v>https://earth.google.com/web/search/-30.9029363648346,-55.53693155739970</v>
      </c>
      <c r="H1594" s="12"/>
      <c r="I1594" s="12"/>
      <c r="J1594" s="12"/>
      <c r="K1594" s="12"/>
      <c r="L1594" s="12"/>
      <c r="M1594" s="12"/>
      <c r="N1594" s="12"/>
      <c r="O1594" s="12"/>
      <c r="P1594" s="12"/>
      <c r="Q1594" s="12"/>
      <c r="R1594" s="12"/>
      <c r="S1594" s="12"/>
      <c r="T1594" s="12"/>
      <c r="U1594" s="12"/>
      <c r="V1594" s="12"/>
      <c r="W1594" s="12"/>
      <c r="X1594" s="12"/>
      <c r="Y1594" s="12"/>
      <c r="Z1594" s="12"/>
      <c r="AA1594" s="12"/>
    </row>
    <row r="1595" ht="26.25" customHeight="1">
      <c r="A1595" s="26" t="s">
        <v>3194</v>
      </c>
      <c r="B1595" s="26" t="s">
        <v>3195</v>
      </c>
      <c r="C1595" s="14">
        <v>2.0</v>
      </c>
      <c r="D1595" s="23">
        <v>234.0</v>
      </c>
      <c r="E1595" s="23">
        <v>4.0</v>
      </c>
      <c r="F1595" s="27" t="str">
        <f t="array" ref="F1595">"https://www.google.com/maps/search/?api=1&amp;query=" &amp; A1595 &amp; "," &amp; B1595</f>
        <v>https://www.google.com/maps/search/?api=1&amp;query=-30.9029891276715,-55.53694975247360</v>
      </c>
      <c r="G1595" s="27" t="str">
        <f t="array" ref="G1595">"https://earth.google.com/web/search/" &amp; A1595 &amp; "," &amp; B1595</f>
        <v>https://earth.google.com/web/search/-30.9029891276715,-55.53694975247360</v>
      </c>
      <c r="H1595" s="12"/>
      <c r="I1595" s="12"/>
      <c r="J1595" s="12"/>
      <c r="K1595" s="12"/>
      <c r="L1595" s="12"/>
      <c r="M1595" s="12"/>
      <c r="N1595" s="12"/>
      <c r="O1595" s="12"/>
      <c r="P1595" s="12"/>
      <c r="Q1595" s="12"/>
      <c r="R1595" s="12"/>
      <c r="S1595" s="12"/>
      <c r="T1595" s="12"/>
      <c r="U1595" s="12"/>
      <c r="V1595" s="12"/>
      <c r="W1595" s="12"/>
      <c r="X1595" s="12"/>
      <c r="Y1595" s="12"/>
      <c r="Z1595" s="12"/>
      <c r="AA1595" s="12"/>
    </row>
    <row r="1596" ht="26.25" customHeight="1">
      <c r="A1596" s="26" t="s">
        <v>3196</v>
      </c>
      <c r="B1596" s="26" t="s">
        <v>3197</v>
      </c>
      <c r="C1596" s="14">
        <v>2.0</v>
      </c>
      <c r="D1596" s="23">
        <v>234.0</v>
      </c>
      <c r="E1596" s="23">
        <v>5.0</v>
      </c>
      <c r="F1596" s="27" t="str">
        <f t="array" ref="F1596">"https://www.google.com/maps/search/?api=1&amp;query=" &amp; A1596 &amp; "," &amp; B1596</f>
        <v>https://www.google.com/maps/search/?api=1&amp;query=-30.9030285354456,-0.55536998993959</v>
      </c>
      <c r="G1596" s="27" t="str">
        <f t="array" ref="G1596">"https://earth.google.com/web/search/" &amp; A1596 &amp; "," &amp; B1596</f>
        <v>https://earth.google.com/web/search/-30.9030285354456,-0.55536998993959</v>
      </c>
      <c r="H1596" s="12"/>
      <c r="I1596" s="12"/>
      <c r="J1596" s="12"/>
      <c r="K1596" s="12"/>
      <c r="L1596" s="12"/>
      <c r="M1596" s="12"/>
      <c r="N1596" s="12"/>
      <c r="O1596" s="12"/>
      <c r="P1596" s="12"/>
      <c r="Q1596" s="12"/>
      <c r="R1596" s="12"/>
      <c r="S1596" s="12"/>
      <c r="T1596" s="12"/>
      <c r="U1596" s="12"/>
      <c r="V1596" s="12"/>
      <c r="W1596" s="12"/>
      <c r="X1596" s="12"/>
      <c r="Y1596" s="12"/>
      <c r="Z1596" s="12"/>
      <c r="AA1596" s="12"/>
    </row>
    <row r="1597" ht="26.25" customHeight="1">
      <c r="A1597" s="26" t="s">
        <v>3198</v>
      </c>
      <c r="B1597" s="26" t="s">
        <v>3199</v>
      </c>
      <c r="C1597" s="14">
        <v>2.0</v>
      </c>
      <c r="D1597" s="23">
        <v>234.0</v>
      </c>
      <c r="E1597" s="23">
        <v>6.0</v>
      </c>
      <c r="F1597" s="27" t="str">
        <f t="array" ref="F1597">"https://www.google.com/maps/search/?api=1&amp;query=" &amp; A1597 &amp; "," &amp; B1597</f>
        <v>https://www.google.com/maps/search/?api=1&amp;query=-30.9031611057001,-55.53707760975020</v>
      </c>
      <c r="G1597" s="27" t="str">
        <f t="array" ref="G1597">"https://earth.google.com/web/search/" &amp; A1597 &amp; "," &amp; B1597</f>
        <v>https://earth.google.com/web/search/-30.9031611057001,-55.53707760975020</v>
      </c>
      <c r="H1597" s="12"/>
      <c r="I1597" s="12"/>
      <c r="J1597" s="12"/>
      <c r="K1597" s="12"/>
      <c r="L1597" s="12"/>
      <c r="M1597" s="12"/>
      <c r="N1597" s="12"/>
      <c r="O1597" s="12"/>
      <c r="P1597" s="12"/>
      <c r="Q1597" s="12"/>
      <c r="R1597" s="12"/>
      <c r="S1597" s="12"/>
      <c r="T1597" s="12"/>
      <c r="U1597" s="12"/>
      <c r="V1597" s="12"/>
      <c r="W1597" s="12"/>
      <c r="X1597" s="12"/>
      <c r="Y1597" s="12"/>
      <c r="Z1597" s="12"/>
      <c r="AA1597" s="12"/>
    </row>
    <row r="1598" ht="26.25" customHeight="1">
      <c r="A1598" s="26" t="s">
        <v>3200</v>
      </c>
      <c r="B1598" s="26" t="s">
        <v>3201</v>
      </c>
      <c r="C1598" s="14">
        <v>2.0</v>
      </c>
      <c r="D1598" s="23">
        <v>234.0</v>
      </c>
      <c r="E1598" s="23">
        <v>7.0</v>
      </c>
      <c r="F1598" s="27" t="str">
        <f t="array" ref="F1598">"https://www.google.com/maps/search/?api=1&amp;query=" &amp; A1598 &amp; "," &amp; B1598</f>
        <v>https://www.google.com/maps/search/?api=1&amp;query=-30.9033119331405,-5.55371960157964</v>
      </c>
      <c r="G1598" s="27" t="str">
        <f t="array" ref="G1598">"https://earth.google.com/web/search/" &amp; A1598 &amp; "," &amp; B1598</f>
        <v>https://earth.google.com/web/search/-30.9033119331405,-5.55371960157964</v>
      </c>
      <c r="H1598" s="12"/>
      <c r="I1598" s="12"/>
      <c r="J1598" s="12"/>
      <c r="K1598" s="12"/>
      <c r="L1598" s="12"/>
      <c r="M1598" s="12"/>
      <c r="N1598" s="12"/>
      <c r="O1598" s="12"/>
      <c r="P1598" s="12"/>
      <c r="Q1598" s="12"/>
      <c r="R1598" s="12"/>
      <c r="S1598" s="12"/>
      <c r="T1598" s="12"/>
      <c r="U1598" s="12"/>
      <c r="V1598" s="12"/>
      <c r="W1598" s="12"/>
      <c r="X1598" s="12"/>
      <c r="Y1598" s="12"/>
      <c r="Z1598" s="12"/>
      <c r="AA1598" s="12"/>
    </row>
    <row r="1599" ht="26.25" customHeight="1">
      <c r="A1599" s="26" t="s">
        <v>3202</v>
      </c>
      <c r="B1599" s="26" t="s">
        <v>3203</v>
      </c>
      <c r="C1599" s="14">
        <v>2.0</v>
      </c>
      <c r="D1599" s="23">
        <v>234.0</v>
      </c>
      <c r="E1599" s="23">
        <v>8.0</v>
      </c>
      <c r="F1599" s="27" t="str">
        <f t="array" ref="F1599">"https://www.google.com/maps/search/?api=1&amp;query=" &amp; A1599 &amp; "," &amp; B1599</f>
        <v>https://www.google.com/maps/search/?api=1&amp;query=-30.9033929461522,-5.55371748430289</v>
      </c>
      <c r="G1599" s="27" t="str">
        <f t="array" ref="G1599">"https://earth.google.com/web/search/" &amp; A1599 &amp; "," &amp; B1599</f>
        <v>https://earth.google.com/web/search/-30.9033929461522,-5.55371748430289</v>
      </c>
      <c r="H1599" s="12"/>
      <c r="I1599" s="12"/>
      <c r="J1599" s="12"/>
      <c r="K1599" s="12"/>
      <c r="L1599" s="12"/>
      <c r="M1599" s="12"/>
      <c r="N1599" s="12"/>
      <c r="O1599" s="12"/>
      <c r="P1599" s="12"/>
      <c r="Q1599" s="12"/>
      <c r="R1599" s="12"/>
      <c r="S1599" s="12"/>
      <c r="T1599" s="12"/>
      <c r="U1599" s="12"/>
      <c r="V1599" s="12"/>
      <c r="W1599" s="12"/>
      <c r="X1599" s="12"/>
      <c r="Y1599" s="12"/>
      <c r="Z1599" s="12"/>
      <c r="AA1599" s="12"/>
    </row>
    <row r="1600" ht="26.25" customHeight="1">
      <c r="A1600" s="26" t="s">
        <v>3204</v>
      </c>
      <c r="B1600" s="26" t="s">
        <v>3205</v>
      </c>
      <c r="C1600" s="14">
        <v>2.0</v>
      </c>
      <c r="D1600" s="23">
        <v>234.0</v>
      </c>
      <c r="E1600" s="23">
        <v>9.0</v>
      </c>
      <c r="F1600" s="27" t="str">
        <f t="array" ref="F1600">"https://www.google.com/maps/search/?api=1&amp;query=" &amp; A1600 &amp; "," &amp; B1600</f>
        <v>https://www.google.com/maps/search/?api=1&amp;query=-30.9034072248064,-55.53710409268370</v>
      </c>
      <c r="G1600" s="27" t="str">
        <f t="array" ref="G1600">"https://earth.google.com/web/search/" &amp; A1600 &amp; "," &amp; B1600</f>
        <v>https://earth.google.com/web/search/-30.9034072248064,-55.53710409268370</v>
      </c>
      <c r="H1600" s="12"/>
      <c r="I1600" s="12"/>
      <c r="J1600" s="12"/>
      <c r="K1600" s="12"/>
      <c r="L1600" s="12"/>
      <c r="M1600" s="12"/>
      <c r="N1600" s="12"/>
      <c r="O1600" s="12"/>
      <c r="P1600" s="12"/>
      <c r="Q1600" s="12"/>
      <c r="R1600" s="12"/>
      <c r="S1600" s="12"/>
      <c r="T1600" s="12"/>
      <c r="U1600" s="12"/>
      <c r="V1600" s="12"/>
      <c r="W1600" s="12"/>
      <c r="X1600" s="12"/>
      <c r="Y1600" s="12"/>
      <c r="Z1600" s="12"/>
      <c r="AA1600" s="12"/>
    </row>
    <row r="1601" ht="26.25" customHeight="1">
      <c r="A1601" s="26" t="s">
        <v>3206</v>
      </c>
      <c r="B1601" s="26" t="s">
        <v>3207</v>
      </c>
      <c r="C1601" s="14">
        <v>2.0</v>
      </c>
      <c r="D1601" s="23">
        <v>234.0</v>
      </c>
      <c r="E1601" s="23">
        <v>10.0</v>
      </c>
      <c r="F1601" s="27" t="str">
        <f t="array" ref="F1601">"https://www.google.com/maps/search/?api=1&amp;query=" &amp; A1601 &amp; "," &amp; B1601</f>
        <v>https://www.google.com/maps/search/?api=1&amp;query=-30.9035015140970,-55.53693054827370</v>
      </c>
      <c r="G1601" s="27" t="str">
        <f t="array" ref="G1601">"https://earth.google.com/web/search/" &amp; A1601 &amp; "," &amp; B1601</f>
        <v>https://earth.google.com/web/search/-30.9035015140970,-55.53693054827370</v>
      </c>
      <c r="H1601" s="12"/>
      <c r="I1601" s="12"/>
      <c r="J1601" s="12"/>
      <c r="K1601" s="12"/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/>
    </row>
    <row r="1602" ht="26.25" customHeight="1">
      <c r="A1602" s="26" t="s">
        <v>3208</v>
      </c>
      <c r="B1602" s="26" t="s">
        <v>3209</v>
      </c>
      <c r="C1602" s="14">
        <v>2.0</v>
      </c>
      <c r="D1602" s="23">
        <v>234.0</v>
      </c>
      <c r="E1602" s="23">
        <v>11.0</v>
      </c>
      <c r="F1602" s="27" t="str">
        <f t="array" ref="F1602">"https://www.google.com/maps/search/?api=1&amp;query=" &amp; A1602 &amp; "," &amp; B1602</f>
        <v>https://www.google.com/maps/search/?api=1&amp;query=-30.9036180964246,-55.53672532396680</v>
      </c>
      <c r="G1602" s="27" t="str">
        <f t="array" ref="G1602">"https://earth.google.com/web/search/" &amp; A1602 &amp; "," &amp; B1602</f>
        <v>https://earth.google.com/web/search/-30.9036180964246,-55.53672532396680</v>
      </c>
      <c r="H1602" s="12"/>
      <c r="I1602" s="12"/>
      <c r="J1602" s="12"/>
      <c r="K1602" s="12"/>
      <c r="L1602" s="12"/>
      <c r="M1602" s="12"/>
      <c r="N1602" s="12"/>
      <c r="O1602" s="12"/>
      <c r="P1602" s="12"/>
      <c r="Q1602" s="12"/>
      <c r="R1602" s="12"/>
      <c r="S1602" s="12"/>
      <c r="T1602" s="12"/>
      <c r="U1602" s="12"/>
      <c r="V1602" s="12"/>
      <c r="W1602" s="12"/>
      <c r="X1602" s="12"/>
      <c r="Y1602" s="12"/>
      <c r="Z1602" s="12"/>
      <c r="AA1602" s="12"/>
    </row>
    <row r="1603" ht="26.25" customHeight="1">
      <c r="A1603" s="26" t="s">
        <v>3210</v>
      </c>
      <c r="B1603" s="26" t="s">
        <v>3211</v>
      </c>
      <c r="C1603" s="14">
        <v>2.0</v>
      </c>
      <c r="D1603" s="23">
        <v>234.0</v>
      </c>
      <c r="E1603" s="23">
        <v>12.0</v>
      </c>
      <c r="F1603" s="27" t="str">
        <f t="array" ref="F1603">"https://www.google.com/maps/search/?api=1&amp;query=" &amp; A1603 &amp; "," &amp; B1603</f>
        <v>https://www.google.com/maps/search/?api=1&amp;query=-30.9036564721659,-55.53666695022470</v>
      </c>
      <c r="G1603" s="27" t="str">
        <f t="array" ref="G1603">"https://earth.google.com/web/search/" &amp; A1603 &amp; "," &amp; B1603</f>
        <v>https://earth.google.com/web/search/-30.9036564721659,-55.53666695022470</v>
      </c>
      <c r="H1603" s="12"/>
      <c r="I1603" s="12"/>
      <c r="J1603" s="12"/>
      <c r="K1603" s="12"/>
      <c r="L1603" s="12"/>
      <c r="M1603" s="12"/>
      <c r="N1603" s="12"/>
      <c r="O1603" s="12"/>
      <c r="P1603" s="12"/>
      <c r="Q1603" s="12"/>
      <c r="R1603" s="12"/>
      <c r="S1603" s="12"/>
      <c r="T1603" s="12"/>
      <c r="U1603" s="12"/>
      <c r="V1603" s="12"/>
      <c r="W1603" s="12"/>
      <c r="X1603" s="12"/>
      <c r="Y1603" s="12"/>
      <c r="Z1603" s="12"/>
      <c r="AA1603" s="12"/>
    </row>
    <row r="1604" ht="26.25" customHeight="1">
      <c r="A1604" s="26" t="s">
        <v>3212</v>
      </c>
      <c r="B1604" s="26" t="s">
        <v>3213</v>
      </c>
      <c r="C1604" s="14">
        <v>2.0</v>
      </c>
      <c r="D1604" s="23">
        <v>234.0</v>
      </c>
      <c r="E1604" s="23">
        <v>13.0</v>
      </c>
      <c r="F1604" s="27" t="str">
        <f t="array" ref="F1604">"https://www.google.com/maps/search/?api=1&amp;query=" &amp; A1604 &amp; "," &amp; B1604</f>
        <v>https://www.google.com/maps/search/?api=1&amp;query=-30.9036960992888,-55.53659277154970</v>
      </c>
      <c r="G1604" s="27" t="str">
        <f t="array" ref="G1604">"https://earth.google.com/web/search/" &amp; A1604 &amp; "," &amp; B1604</f>
        <v>https://earth.google.com/web/search/-30.9036960992888,-55.53659277154970</v>
      </c>
      <c r="H1604" s="12"/>
      <c r="I1604" s="12"/>
      <c r="J1604" s="12"/>
      <c r="K1604" s="12"/>
      <c r="L1604" s="12"/>
      <c r="M1604" s="12"/>
      <c r="N1604" s="12"/>
      <c r="O1604" s="12"/>
      <c r="P1604" s="12"/>
      <c r="Q1604" s="12"/>
      <c r="R1604" s="12"/>
      <c r="S1604" s="12"/>
      <c r="T1604" s="12"/>
      <c r="U1604" s="12"/>
      <c r="V1604" s="12"/>
      <c r="W1604" s="12"/>
      <c r="X1604" s="12"/>
      <c r="Y1604" s="12"/>
      <c r="Z1604" s="12"/>
      <c r="AA1604" s="12"/>
    </row>
    <row r="1605" ht="26.25" customHeight="1">
      <c r="A1605" s="26" t="s">
        <v>3214</v>
      </c>
      <c r="B1605" s="26" t="s">
        <v>3215</v>
      </c>
      <c r="C1605" s="14">
        <v>2.0</v>
      </c>
      <c r="D1605" s="23">
        <v>234.0</v>
      </c>
      <c r="E1605" s="23">
        <v>14.0</v>
      </c>
      <c r="F1605" s="27" t="str">
        <f t="array" ref="F1605">"https://www.google.com/maps/search/?api=1&amp;query=" &amp; A1605 &amp; "," &amp; B1605</f>
        <v>https://www.google.com/maps/search/?api=1&amp;query=-30.9037730970598,-55.53643281562100</v>
      </c>
      <c r="G1605" s="27" t="str">
        <f t="array" ref="G1605">"https://earth.google.com/web/search/" &amp; A1605 &amp; "," &amp; B1605</f>
        <v>https://earth.google.com/web/search/-30.9037730970598,-55.53643281562100</v>
      </c>
      <c r="H1605" s="12"/>
      <c r="I1605" s="12"/>
      <c r="J1605" s="12"/>
      <c r="K1605" s="12"/>
      <c r="L1605" s="12"/>
      <c r="M1605" s="12"/>
      <c r="N1605" s="12"/>
      <c r="O1605" s="12"/>
      <c r="P1605" s="12"/>
      <c r="Q1605" s="12"/>
      <c r="R1605" s="12"/>
      <c r="S1605" s="12"/>
      <c r="T1605" s="12"/>
      <c r="U1605" s="12"/>
      <c r="V1605" s="12"/>
      <c r="W1605" s="12"/>
      <c r="X1605" s="12"/>
      <c r="Y1605" s="12"/>
      <c r="Z1605" s="12"/>
      <c r="AA1605" s="12"/>
    </row>
    <row r="1606" ht="26.25" customHeight="1">
      <c r="A1606" s="26" t="s">
        <v>3216</v>
      </c>
      <c r="B1606" s="26" t="s">
        <v>3217</v>
      </c>
      <c r="C1606" s="14">
        <v>2.0</v>
      </c>
      <c r="D1606" s="23">
        <v>234.0</v>
      </c>
      <c r="E1606" s="23">
        <v>15.0</v>
      </c>
      <c r="F1606" s="27" t="str">
        <f t="array" ref="F1606">"https://www.google.com/maps/search/?api=1&amp;query=" &amp; A1606 &amp; "," &amp; B1606</f>
        <v>https://www.google.com/maps/search/?api=1&amp;query=-30.9038700001822,-55.53628772951780</v>
      </c>
      <c r="G1606" s="27" t="str">
        <f t="array" ref="G1606">"https://earth.google.com/web/search/" &amp; A1606 &amp; "," &amp; B1606</f>
        <v>https://earth.google.com/web/search/-30.9038700001822,-55.53628772951780</v>
      </c>
      <c r="H1606" s="12"/>
      <c r="I1606" s="12"/>
      <c r="J1606" s="12"/>
      <c r="K1606" s="12"/>
      <c r="L1606" s="12"/>
      <c r="M1606" s="12"/>
      <c r="N1606" s="12"/>
      <c r="O1606" s="12"/>
      <c r="P1606" s="12"/>
      <c r="Q1606" s="12"/>
      <c r="R1606" s="12"/>
      <c r="S1606" s="12"/>
      <c r="T1606" s="12"/>
      <c r="U1606" s="12"/>
      <c r="V1606" s="12"/>
      <c r="W1606" s="12"/>
      <c r="X1606" s="12"/>
      <c r="Y1606" s="12"/>
      <c r="Z1606" s="12"/>
      <c r="AA1606" s="12"/>
    </row>
    <row r="1607" ht="26.25" customHeight="1">
      <c r="A1607" s="26" t="s">
        <v>3218</v>
      </c>
      <c r="B1607" s="26" t="s">
        <v>3219</v>
      </c>
      <c r="C1607" s="14">
        <v>2.0</v>
      </c>
      <c r="D1607" s="23">
        <v>234.0</v>
      </c>
      <c r="E1607" s="23">
        <v>16.0</v>
      </c>
      <c r="F1607" s="27" t="str">
        <f t="array" ref="F1607">"https://www.google.com/maps/search/?api=1&amp;query=" &amp; A1607 &amp; "," &amp; B1607</f>
        <v>https://www.google.com/maps/search/?api=1&amp;query=-30.9040225068828,-55.53606550108160</v>
      </c>
      <c r="G1607" s="27" t="str">
        <f t="array" ref="G1607">"https://earth.google.com/web/search/" &amp; A1607 &amp; "," &amp; B1607</f>
        <v>https://earth.google.com/web/search/-30.9040225068828,-55.53606550108160</v>
      </c>
      <c r="H1607" s="12"/>
      <c r="I1607" s="12"/>
      <c r="J1607" s="12"/>
      <c r="K1607" s="12"/>
      <c r="L1607" s="12"/>
      <c r="M1607" s="12"/>
      <c r="N1607" s="12"/>
      <c r="O1607" s="12"/>
      <c r="P1607" s="12"/>
      <c r="Q1607" s="12"/>
      <c r="R1607" s="12"/>
      <c r="S1607" s="12"/>
      <c r="T1607" s="12"/>
      <c r="U1607" s="12"/>
      <c r="V1607" s="12"/>
      <c r="W1607" s="12"/>
      <c r="X1607" s="12"/>
      <c r="Y1607" s="12"/>
      <c r="Z1607" s="12"/>
      <c r="AA1607" s="12"/>
    </row>
    <row r="1608" ht="26.25" customHeight="1">
      <c r="A1608" s="26" t="s">
        <v>3220</v>
      </c>
      <c r="B1608" s="26" t="s">
        <v>3221</v>
      </c>
      <c r="C1608" s="14">
        <v>2.0</v>
      </c>
      <c r="D1608" s="23">
        <v>234.0</v>
      </c>
      <c r="E1608" s="23">
        <v>17.0</v>
      </c>
      <c r="F1608" s="27" t="str">
        <f t="array" ref="F1608">"https://www.google.com/maps/search/?api=1&amp;query=" &amp; A1608 &amp; "," &amp; B1608</f>
        <v>https://www.google.com/maps/search/?api=1&amp;query=-30.9040307856435,-5.55359219261985</v>
      </c>
      <c r="G1608" s="27" t="str">
        <f t="array" ref="G1608">"https://earth.google.com/web/search/" &amp; A1608 &amp; "," &amp; B1608</f>
        <v>https://earth.google.com/web/search/-30.9040307856435,-5.55359219261985</v>
      </c>
      <c r="H1608" s="12"/>
      <c r="I1608" s="12"/>
      <c r="J1608" s="12"/>
      <c r="K1608" s="12"/>
      <c r="L1608" s="12"/>
      <c r="M1608" s="12"/>
      <c r="N1608" s="12"/>
      <c r="O1608" s="12"/>
      <c r="P1608" s="12"/>
      <c r="Q1608" s="12"/>
      <c r="R1608" s="12"/>
      <c r="S1608" s="12"/>
      <c r="T1608" s="12"/>
      <c r="U1608" s="12"/>
      <c r="V1608" s="12"/>
      <c r="W1608" s="12"/>
      <c r="X1608" s="12"/>
      <c r="Y1608" s="12"/>
      <c r="Z1608" s="12"/>
      <c r="AA1608" s="12"/>
    </row>
    <row r="1609" ht="26.25" customHeight="1">
      <c r="A1609" s="26" t="s">
        <v>3222</v>
      </c>
      <c r="B1609" s="26" t="s">
        <v>3223</v>
      </c>
      <c r="C1609" s="14">
        <v>2.0</v>
      </c>
      <c r="D1609" s="23">
        <v>234.0</v>
      </c>
      <c r="E1609" s="23">
        <v>18.0</v>
      </c>
      <c r="F1609" s="27" t="str">
        <f t="array" ref="F1609">"https://www.google.com/maps/search/?api=1&amp;query=" &amp; A1609 &amp; "," &amp; B1609</f>
        <v>https://www.google.com/maps/search/?api=1&amp;query=-30.9041046418956,-5.55359405720246</v>
      </c>
      <c r="G1609" s="27" t="str">
        <f t="array" ref="G1609">"https://earth.google.com/web/search/" &amp; A1609 &amp; "," &amp; B1609</f>
        <v>https://earth.google.com/web/search/-30.9041046418956,-5.55359405720246</v>
      </c>
      <c r="H1609" s="12"/>
      <c r="I1609" s="12"/>
      <c r="J1609" s="12"/>
      <c r="K1609" s="12"/>
      <c r="L1609" s="12"/>
      <c r="M1609" s="12"/>
      <c r="N1609" s="12"/>
      <c r="O1609" s="12"/>
      <c r="P1609" s="12"/>
      <c r="Q1609" s="12"/>
      <c r="R1609" s="12"/>
      <c r="S1609" s="12"/>
      <c r="T1609" s="12"/>
      <c r="U1609" s="12"/>
      <c r="V1609" s="12"/>
      <c r="W1609" s="12"/>
      <c r="X1609" s="12"/>
      <c r="Y1609" s="12"/>
      <c r="Z1609" s="12"/>
      <c r="AA1609" s="12"/>
    </row>
    <row r="1610" ht="26.25" customHeight="1">
      <c r="A1610" s="26" t="s">
        <v>3224</v>
      </c>
      <c r="B1610" s="26" t="s">
        <v>3225</v>
      </c>
      <c r="C1610" s="14">
        <v>2.0</v>
      </c>
      <c r="D1610" s="23">
        <v>234.0</v>
      </c>
      <c r="E1610" s="23">
        <v>19.0</v>
      </c>
      <c r="F1610" s="27" t="str">
        <f t="array" ref="F1610">"https://www.google.com/maps/search/?api=1&amp;query=" &amp; A1610 &amp; "," &amp; B1610</f>
        <v>https://www.google.com/maps/search/?api=1&amp;query=-3.0904176431312,-55.53579616397280</v>
      </c>
      <c r="G1610" s="27" t="str">
        <f t="array" ref="G1610">"https://earth.google.com/web/search/" &amp; A1610 &amp; "," &amp; B1610</f>
        <v>https://earth.google.com/web/search/-3.0904176431312,-55.53579616397280</v>
      </c>
      <c r="H1610" s="12"/>
      <c r="I1610" s="12"/>
      <c r="J1610" s="12"/>
      <c r="K1610" s="12"/>
      <c r="L1610" s="12"/>
      <c r="M1610" s="12"/>
      <c r="N1610" s="12"/>
      <c r="O1610" s="12"/>
      <c r="P1610" s="12"/>
      <c r="Q1610" s="12"/>
      <c r="R1610" s="12"/>
      <c r="S1610" s="12"/>
      <c r="T1610" s="12"/>
      <c r="U1610" s="12"/>
      <c r="V1610" s="12"/>
      <c r="W1610" s="12"/>
      <c r="X1610" s="12"/>
      <c r="Y1610" s="12"/>
      <c r="Z1610" s="12"/>
      <c r="AA1610" s="12"/>
    </row>
    <row r="1611" ht="26.25" customHeight="1">
      <c r="A1611" s="26" t="s">
        <v>3226</v>
      </c>
      <c r="B1611" s="26" t="s">
        <v>3227</v>
      </c>
      <c r="C1611" s="14">
        <v>2.0</v>
      </c>
      <c r="D1611" s="23">
        <v>234.0</v>
      </c>
      <c r="E1611" s="23">
        <v>20.0</v>
      </c>
      <c r="F1611" s="27" t="str">
        <f t="array" ref="F1611">"https://www.google.com/maps/search/?api=1&amp;query=" &amp; A1611 &amp; "," &amp; B1611</f>
        <v>https://www.google.com/maps/search/?api=1&amp;query=-30.9041183185175,-55.53575362103510</v>
      </c>
      <c r="G1611" s="27" t="str">
        <f t="array" ref="G1611">"https://earth.google.com/web/search/" &amp; A1611 &amp; "," &amp; B1611</f>
        <v>https://earth.google.com/web/search/-30.9041183185175,-55.53575362103510</v>
      </c>
      <c r="H1611" s="12"/>
      <c r="I1611" s="12"/>
      <c r="J1611" s="12"/>
      <c r="K1611" s="12"/>
      <c r="L1611" s="12"/>
      <c r="M1611" s="12"/>
      <c r="N1611" s="12"/>
      <c r="O1611" s="12"/>
      <c r="P1611" s="12"/>
      <c r="Q1611" s="12"/>
      <c r="R1611" s="12"/>
      <c r="S1611" s="12"/>
      <c r="T1611" s="12"/>
      <c r="U1611" s="12"/>
      <c r="V1611" s="12"/>
      <c r="W1611" s="12"/>
      <c r="X1611" s="12"/>
      <c r="Y1611" s="12"/>
      <c r="Z1611" s="12"/>
      <c r="AA1611" s="12"/>
    </row>
    <row r="1612" ht="26.25" customHeight="1">
      <c r="A1612" s="26" t="s">
        <v>3228</v>
      </c>
      <c r="B1612" s="26" t="s">
        <v>3229</v>
      </c>
      <c r="C1612" s="14">
        <v>2.0</v>
      </c>
      <c r="D1612" s="23">
        <v>234.0</v>
      </c>
      <c r="E1612" s="23">
        <v>21.0</v>
      </c>
      <c r="F1612" s="27" t="str">
        <f t="array" ref="F1612">"https://www.google.com/maps/search/?api=1&amp;query=" &amp; A1612 &amp; "," &amp; B1612</f>
        <v>https://www.google.com/maps/search/?api=1&amp;query=-30.9042345070275,-55.53574241548500</v>
      </c>
      <c r="G1612" s="27" t="str">
        <f t="array" ref="G1612">"https://earth.google.com/web/search/" &amp; A1612 &amp; "," &amp; B1612</f>
        <v>https://earth.google.com/web/search/-30.9042345070275,-55.53574241548500</v>
      </c>
      <c r="H1612" s="12"/>
      <c r="I1612" s="12"/>
      <c r="J1612" s="12"/>
      <c r="K1612" s="12"/>
      <c r="L1612" s="12"/>
      <c r="M1612" s="12"/>
      <c r="N1612" s="12"/>
      <c r="O1612" s="12"/>
      <c r="P1612" s="12"/>
      <c r="Q1612" s="12"/>
      <c r="R1612" s="12"/>
      <c r="S1612" s="12"/>
      <c r="T1612" s="12"/>
      <c r="U1612" s="12"/>
      <c r="V1612" s="12"/>
      <c r="W1612" s="12"/>
      <c r="X1612" s="12"/>
      <c r="Y1612" s="12"/>
      <c r="Z1612" s="12"/>
      <c r="AA1612" s="12"/>
    </row>
    <row r="1613" ht="26.25" customHeight="1">
      <c r="A1613" s="26" t="s">
        <v>3230</v>
      </c>
      <c r="B1613" s="26" t="s">
        <v>3231</v>
      </c>
      <c r="C1613" s="14">
        <v>2.0</v>
      </c>
      <c r="D1613" s="23">
        <v>234.0</v>
      </c>
      <c r="E1613" s="23">
        <v>22.0</v>
      </c>
      <c r="F1613" s="27" t="str">
        <f t="array" ref="F1613">"https://www.google.com/maps/search/?api=1&amp;query=" &amp; A1613 &amp; "," &amp; B1613</f>
        <v>https://www.google.com/maps/search/?api=1&amp;query=-30.9042725264725,-5.55356562994436</v>
      </c>
      <c r="G1613" s="27" t="str">
        <f t="array" ref="G1613">"https://earth.google.com/web/search/" &amp; A1613 &amp; "," &amp; B1613</f>
        <v>https://earth.google.com/web/search/-30.9042725264725,-5.55356562994436</v>
      </c>
      <c r="H1613" s="12"/>
      <c r="I1613" s="12"/>
      <c r="J1613" s="12"/>
      <c r="K1613" s="12"/>
      <c r="L1613" s="12"/>
      <c r="M1613" s="12"/>
      <c r="N1613" s="12"/>
      <c r="O1613" s="12"/>
      <c r="P1613" s="12"/>
      <c r="Q1613" s="12"/>
      <c r="R1613" s="12"/>
      <c r="S1613" s="12"/>
      <c r="T1613" s="12"/>
      <c r="U1613" s="12"/>
      <c r="V1613" s="12"/>
      <c r="W1613" s="12"/>
      <c r="X1613" s="12"/>
      <c r="Y1613" s="12"/>
      <c r="Z1613" s="12"/>
      <c r="AA1613" s="12"/>
    </row>
    <row r="1614" ht="26.25" customHeight="1">
      <c r="A1614" s="26" t="s">
        <v>3232</v>
      </c>
      <c r="B1614" s="26" t="s">
        <v>3233</v>
      </c>
      <c r="C1614" s="14">
        <v>2.0</v>
      </c>
      <c r="D1614" s="23">
        <v>234.0</v>
      </c>
      <c r="E1614" s="23">
        <v>23.0</v>
      </c>
      <c r="F1614" s="27" t="str">
        <f t="array" ref="F1614">"https://www.google.com/maps/search/?api=1&amp;query=" &amp; A1614 &amp; "," &amp; B1614</f>
        <v>https://www.google.com/maps/search/?api=1&amp;query=-30.9040242681024,-0.55535368115866</v>
      </c>
      <c r="G1614" s="27" t="str">
        <f t="array" ref="G1614">"https://earth.google.com/web/search/" &amp; A1614 &amp; "," &amp; B1614</f>
        <v>https://earth.google.com/web/search/-30.9040242681024,-0.55535368115866</v>
      </c>
      <c r="H1614" s="12"/>
      <c r="I1614" s="12"/>
      <c r="J1614" s="12"/>
      <c r="K1614" s="12"/>
      <c r="L1614" s="12"/>
      <c r="M1614" s="12"/>
      <c r="N1614" s="12"/>
      <c r="O1614" s="12"/>
      <c r="P1614" s="12"/>
      <c r="Q1614" s="12"/>
      <c r="R1614" s="12"/>
      <c r="S1614" s="12"/>
      <c r="T1614" s="12"/>
      <c r="U1614" s="12"/>
      <c r="V1614" s="12"/>
      <c r="W1614" s="12"/>
      <c r="X1614" s="12"/>
      <c r="Y1614" s="12"/>
      <c r="Z1614" s="12"/>
      <c r="AA1614" s="12"/>
    </row>
    <row r="1615" ht="26.25" customHeight="1">
      <c r="A1615" s="26" t="s">
        <v>3234</v>
      </c>
      <c r="B1615" s="26" t="s">
        <v>3235</v>
      </c>
      <c r="C1615" s="14">
        <v>2.0</v>
      </c>
      <c r="D1615" s="23">
        <v>234.0</v>
      </c>
      <c r="E1615" s="23">
        <v>24.0</v>
      </c>
      <c r="F1615" s="27" t="str">
        <f t="array" ref="F1615">"https://www.google.com/maps/search/?api=1&amp;query=" &amp; A1615 &amp; "," &amp; B1615</f>
        <v>https://www.google.com/maps/search/?api=1&amp;query=-30.9038870441100,-55.53526656244900</v>
      </c>
      <c r="G1615" s="27" t="str">
        <f t="array" ref="G1615">"https://earth.google.com/web/search/" &amp; A1615 &amp; "," &amp; B1615</f>
        <v>https://earth.google.com/web/search/-30.9038870441100,-55.53526656244900</v>
      </c>
      <c r="H1615" s="12"/>
      <c r="I1615" s="12"/>
      <c r="J1615" s="12"/>
      <c r="K1615" s="12"/>
      <c r="L1615" s="12"/>
      <c r="M1615" s="12"/>
      <c r="N1615" s="12"/>
      <c r="O1615" s="12"/>
      <c r="P1615" s="12"/>
      <c r="Q1615" s="12"/>
      <c r="R1615" s="12"/>
      <c r="S1615" s="12"/>
      <c r="T1615" s="12"/>
      <c r="U1615" s="12"/>
      <c r="V1615" s="12"/>
      <c r="W1615" s="12"/>
      <c r="X1615" s="12"/>
      <c r="Y1615" s="12"/>
      <c r="Z1615" s="12"/>
      <c r="AA1615" s="12"/>
    </row>
    <row r="1616" ht="26.25" customHeight="1">
      <c r="A1616" s="26" t="s">
        <v>3236</v>
      </c>
      <c r="B1616" s="26" t="s">
        <v>3237</v>
      </c>
      <c r="C1616" s="14">
        <v>2.0</v>
      </c>
      <c r="D1616" s="23">
        <v>234.0</v>
      </c>
      <c r="E1616" s="23">
        <v>25.0</v>
      </c>
      <c r="F1616" s="27" t="str">
        <f t="array" ref="F1616">"https://www.google.com/maps/search/?api=1&amp;query=" &amp; A1616 &amp; "," &amp; B1616</f>
        <v>https://www.google.com/maps/search/?api=1&amp;query=-30.9037648261025,-55.53517582247990</v>
      </c>
      <c r="G1616" s="27" t="str">
        <f t="array" ref="G1616">"https://earth.google.com/web/search/" &amp; A1616 &amp; "," &amp; B1616</f>
        <v>https://earth.google.com/web/search/-30.9037648261025,-55.53517582247990</v>
      </c>
      <c r="H1616" s="12"/>
      <c r="I1616" s="12"/>
      <c r="J1616" s="12"/>
      <c r="K1616" s="12"/>
      <c r="L1616" s="12"/>
      <c r="M1616" s="12"/>
      <c r="N1616" s="12"/>
      <c r="O1616" s="12"/>
      <c r="P1616" s="12"/>
      <c r="Q1616" s="12"/>
      <c r="R1616" s="12"/>
      <c r="S1616" s="12"/>
      <c r="T1616" s="12"/>
      <c r="U1616" s="12"/>
      <c r="V1616" s="12"/>
      <c r="W1616" s="12"/>
      <c r="X1616" s="12"/>
      <c r="Y1616" s="12"/>
      <c r="Z1616" s="12"/>
      <c r="AA1616" s="12"/>
    </row>
    <row r="1617" ht="26.25" customHeight="1">
      <c r="A1617" s="26" t="s">
        <v>3238</v>
      </c>
      <c r="B1617" s="26" t="s">
        <v>3239</v>
      </c>
      <c r="C1617" s="14">
        <v>2.0</v>
      </c>
      <c r="D1617" s="23">
        <v>234.0</v>
      </c>
      <c r="E1617" s="23">
        <v>26.0</v>
      </c>
      <c r="F1617" s="27" t="str">
        <f t="array" ref="F1617">"https://www.google.com/maps/search/?api=1&amp;query=" &amp; A1617 &amp; "," &amp; B1617</f>
        <v>https://www.google.com/maps/search/?api=1&amp;query=-3.0903679745808,-55.53511006339240</v>
      </c>
      <c r="G1617" s="27" t="str">
        <f t="array" ref="G1617">"https://earth.google.com/web/search/" &amp; A1617 &amp; "," &amp; B1617</f>
        <v>https://earth.google.com/web/search/-3.0903679745808,-55.53511006339240</v>
      </c>
      <c r="H1617" s="12"/>
      <c r="I1617" s="12"/>
      <c r="J1617" s="12"/>
      <c r="K1617" s="12"/>
      <c r="L1617" s="12"/>
      <c r="M1617" s="12"/>
      <c r="N1617" s="12"/>
      <c r="O1617" s="12"/>
      <c r="P1617" s="12"/>
      <c r="Q1617" s="12"/>
      <c r="R1617" s="12"/>
      <c r="S1617" s="12"/>
      <c r="T1617" s="12"/>
      <c r="U1617" s="12"/>
      <c r="V1617" s="12"/>
      <c r="W1617" s="12"/>
      <c r="X1617" s="12"/>
      <c r="Y1617" s="12"/>
      <c r="Z1617" s="12"/>
      <c r="AA1617" s="12"/>
    </row>
    <row r="1618" ht="26.25" customHeight="1">
      <c r="A1618" s="26" t="s">
        <v>3240</v>
      </c>
      <c r="B1618" s="26" t="s">
        <v>3241</v>
      </c>
      <c r="C1618" s="14">
        <v>2.0</v>
      </c>
      <c r="D1618" s="23">
        <v>234.0</v>
      </c>
      <c r="E1618" s="23">
        <v>27.0</v>
      </c>
      <c r="F1618" s="27" t="str">
        <f t="array" ref="F1618">"https://www.google.com/maps/search/?api=1&amp;query=" &amp; A1618 &amp; "," &amp; B1618</f>
        <v>https://www.google.com/maps/search/?api=1&amp;query=-3.0903520393527,-55.53526582547440</v>
      </c>
      <c r="G1618" s="27" t="str">
        <f t="array" ref="G1618">"https://earth.google.com/web/search/" &amp; A1618 &amp; "," &amp; B1618</f>
        <v>https://earth.google.com/web/search/-3.0903520393527,-55.53526582547440</v>
      </c>
      <c r="H1618" s="12"/>
      <c r="I1618" s="12"/>
      <c r="J1618" s="12"/>
      <c r="K1618" s="12"/>
      <c r="L1618" s="12"/>
      <c r="M1618" s="12"/>
      <c r="N1618" s="12"/>
      <c r="O1618" s="12"/>
      <c r="P1618" s="12"/>
      <c r="Q1618" s="12"/>
      <c r="R1618" s="12"/>
      <c r="S1618" s="12"/>
      <c r="T1618" s="12"/>
      <c r="U1618" s="12"/>
      <c r="V1618" s="12"/>
      <c r="W1618" s="12"/>
      <c r="X1618" s="12"/>
      <c r="Y1618" s="12"/>
      <c r="Z1618" s="12"/>
      <c r="AA1618" s="12"/>
    </row>
    <row r="1619" ht="26.25" customHeight="1">
      <c r="A1619" s="26" t="s">
        <v>3242</v>
      </c>
      <c r="B1619" s="26" t="s">
        <v>3243</v>
      </c>
      <c r="C1619" s="14">
        <v>2.0</v>
      </c>
      <c r="D1619" s="23">
        <v>234.0</v>
      </c>
      <c r="E1619" s="23">
        <v>28.0</v>
      </c>
      <c r="F1619" s="27" t="str">
        <f t="array" ref="F1619">"https://www.google.com/maps/search/?api=1&amp;query=" &amp; A1619 &amp; "," &amp; B1619</f>
        <v>https://www.google.com/maps/search/?api=1&amp;query=-30.9034754566478,-55.53534996613220</v>
      </c>
      <c r="G1619" s="27" t="str">
        <f t="array" ref="G1619">"https://earth.google.com/web/search/" &amp; A1619 &amp; "," &amp; B1619</f>
        <v>https://earth.google.com/web/search/-30.9034754566478,-55.53534996613220</v>
      </c>
      <c r="H1619" s="12"/>
      <c r="I1619" s="12"/>
      <c r="J1619" s="12"/>
      <c r="K1619" s="12"/>
      <c r="L1619" s="12"/>
      <c r="M1619" s="12"/>
      <c r="N1619" s="12"/>
      <c r="O1619" s="12"/>
      <c r="P1619" s="12"/>
      <c r="Q1619" s="12"/>
      <c r="R1619" s="12"/>
      <c r="S1619" s="12"/>
      <c r="T1619" s="12"/>
      <c r="U1619" s="12"/>
      <c r="V1619" s="12"/>
      <c r="W1619" s="12"/>
      <c r="X1619" s="12"/>
      <c r="Y1619" s="12"/>
      <c r="Z1619" s="12"/>
      <c r="AA1619" s="12"/>
    </row>
    <row r="1620" ht="26.25" customHeight="1">
      <c r="A1620" s="26" t="s">
        <v>3244</v>
      </c>
      <c r="B1620" s="26" t="s">
        <v>3245</v>
      </c>
      <c r="C1620" s="14">
        <v>2.0</v>
      </c>
      <c r="D1620" s="23">
        <v>234.0</v>
      </c>
      <c r="E1620" s="23">
        <v>29.0</v>
      </c>
      <c r="F1620" s="27" t="str">
        <f t="array" ref="F1620">"https://www.google.com/maps/search/?api=1&amp;query=" &amp; A1620 &amp; "," &amp; B1620</f>
        <v>https://www.google.com/maps/search/?api=1&amp;query=-30.9034035679737,-55.53546628249150</v>
      </c>
      <c r="G1620" s="27" t="str">
        <f t="array" ref="G1620">"https://earth.google.com/web/search/" &amp; A1620 &amp; "," &amp; B1620</f>
        <v>https://earth.google.com/web/search/-30.9034035679737,-55.53546628249150</v>
      </c>
      <c r="H1620" s="12"/>
      <c r="I1620" s="12"/>
      <c r="J1620" s="12"/>
      <c r="K1620" s="12"/>
      <c r="L1620" s="12"/>
      <c r="M1620" s="12"/>
      <c r="N1620" s="12"/>
      <c r="O1620" s="12"/>
      <c r="P1620" s="12"/>
      <c r="Q1620" s="12"/>
      <c r="R1620" s="12"/>
      <c r="S1620" s="12"/>
      <c r="T1620" s="12"/>
      <c r="U1620" s="12"/>
      <c r="V1620" s="12"/>
      <c r="W1620" s="12"/>
      <c r="X1620" s="12"/>
      <c r="Y1620" s="12"/>
      <c r="Z1620" s="12"/>
      <c r="AA1620" s="12"/>
    </row>
    <row r="1621" ht="26.25" customHeight="1">
      <c r="A1621" s="26" t="s">
        <v>3246</v>
      </c>
      <c r="B1621" s="26" t="s">
        <v>3247</v>
      </c>
      <c r="C1621" s="14">
        <v>2.0</v>
      </c>
      <c r="D1621" s="23">
        <v>234.0</v>
      </c>
      <c r="E1621" s="23">
        <v>30.0</v>
      </c>
      <c r="F1621" s="27" t="str">
        <f t="array" ref="F1621">"https://www.google.com/maps/search/?api=1&amp;query=" &amp; A1621 &amp; "," &amp; B1621</f>
        <v>https://www.google.com/maps/search/?api=1&amp;query=-30.9033432420102,-55.53568820588570</v>
      </c>
      <c r="G1621" s="27" t="str">
        <f t="array" ref="G1621">"https://earth.google.com/web/search/" &amp; A1621 &amp; "," &amp; B1621</f>
        <v>https://earth.google.com/web/search/-30.9033432420102,-55.53568820588570</v>
      </c>
      <c r="H1621" s="12"/>
      <c r="I1621" s="12"/>
      <c r="J1621" s="12"/>
      <c r="K1621" s="12"/>
      <c r="L1621" s="12"/>
      <c r="M1621" s="12"/>
      <c r="N1621" s="12"/>
      <c r="O1621" s="12"/>
      <c r="P1621" s="12"/>
      <c r="Q1621" s="12"/>
      <c r="R1621" s="12"/>
      <c r="S1621" s="12"/>
      <c r="T1621" s="12"/>
      <c r="U1621" s="12"/>
      <c r="V1621" s="12"/>
      <c r="W1621" s="12"/>
      <c r="X1621" s="12"/>
      <c r="Y1621" s="12"/>
      <c r="Z1621" s="12"/>
      <c r="AA1621" s="12"/>
    </row>
    <row r="1622" ht="26.25" customHeight="1">
      <c r="A1622" s="26" t="s">
        <v>3248</v>
      </c>
      <c r="B1622" s="26" t="s">
        <v>3249</v>
      </c>
      <c r="C1622" s="14">
        <v>2.0</v>
      </c>
      <c r="D1622" s="23">
        <v>234.0</v>
      </c>
      <c r="E1622" s="23">
        <v>31.0</v>
      </c>
      <c r="F1622" s="27" t="str">
        <f t="array" ref="F1622">"https://www.google.com/maps/search/?api=1&amp;query=" &amp; A1622 &amp; "," &amp; B1622</f>
        <v>https://www.google.com/maps/search/?api=1&amp;query=-30.9032895639566,-55.53574326779560</v>
      </c>
      <c r="G1622" s="27" t="str">
        <f t="array" ref="G1622">"https://earth.google.com/web/search/" &amp; A1622 &amp; "," &amp; B1622</f>
        <v>https://earth.google.com/web/search/-30.9032895639566,-55.53574326779560</v>
      </c>
      <c r="H1622" s="12"/>
      <c r="I1622" s="12"/>
      <c r="J1622" s="12"/>
      <c r="K1622" s="12"/>
      <c r="L1622" s="12"/>
      <c r="M1622" s="12"/>
      <c r="N1622" s="12"/>
      <c r="O1622" s="12"/>
      <c r="P1622" s="12"/>
      <c r="Q1622" s="12"/>
      <c r="R1622" s="12"/>
      <c r="S1622" s="12"/>
      <c r="T1622" s="12"/>
      <c r="U1622" s="12"/>
      <c r="V1622" s="12"/>
      <c r="W1622" s="12"/>
      <c r="X1622" s="12"/>
      <c r="Y1622" s="12"/>
      <c r="Z1622" s="12"/>
      <c r="AA1622" s="12"/>
    </row>
    <row r="1623" ht="26.25" customHeight="1">
      <c r="A1623" s="26" t="s">
        <v>3250</v>
      </c>
      <c r="B1623" s="26" t="s">
        <v>3251</v>
      </c>
      <c r="C1623" s="14">
        <v>2.0</v>
      </c>
      <c r="D1623" s="23">
        <v>234.0</v>
      </c>
      <c r="E1623" s="23">
        <v>32.0</v>
      </c>
      <c r="F1623" s="27" t="str">
        <f t="array" ref="F1623">"https://www.google.com/maps/search/?api=1&amp;query=" &amp; A1623 &amp; "," &amp; B1623</f>
        <v>https://www.google.com/maps/search/?api=1&amp;query=-30.9032332390924,-55.53584013197760</v>
      </c>
      <c r="G1623" s="27" t="str">
        <f t="array" ref="G1623">"https://earth.google.com/web/search/" &amp; A1623 &amp; "," &amp; B1623</f>
        <v>https://earth.google.com/web/search/-30.9032332390924,-55.53584013197760</v>
      </c>
      <c r="H1623" s="12"/>
      <c r="I1623" s="12"/>
      <c r="J1623" s="12"/>
      <c r="K1623" s="12"/>
      <c r="L1623" s="12"/>
      <c r="M1623" s="12"/>
      <c r="N1623" s="12"/>
      <c r="O1623" s="12"/>
      <c r="P1623" s="12"/>
      <c r="Q1623" s="12"/>
      <c r="R1623" s="12"/>
      <c r="S1623" s="12"/>
      <c r="T1623" s="12"/>
      <c r="U1623" s="12"/>
      <c r="V1623" s="12"/>
      <c r="W1623" s="12"/>
      <c r="X1623" s="12"/>
      <c r="Y1623" s="12"/>
      <c r="Z1623" s="12"/>
      <c r="AA1623" s="12"/>
    </row>
    <row r="1624" ht="26.25" customHeight="1">
      <c r="A1624" s="26" t="s">
        <v>3252</v>
      </c>
      <c r="B1624" s="26" t="s">
        <v>3253</v>
      </c>
      <c r="C1624" s="14">
        <v>2.0</v>
      </c>
      <c r="D1624" s="23">
        <v>234.0</v>
      </c>
      <c r="E1624" s="23">
        <v>33.0</v>
      </c>
      <c r="F1624" s="27" t="str">
        <f t="array" ref="F1624">"https://www.google.com/maps/search/?api=1&amp;query=" &amp; A1624 &amp; "," &amp; B1624</f>
        <v>https://www.google.com/maps/search/?api=1&amp;query=-30.9031724357148,-55.53594042725830</v>
      </c>
      <c r="G1624" s="27" t="str">
        <f t="array" ref="G1624">"https://earth.google.com/web/search/" &amp; A1624 &amp; "," &amp; B1624</f>
        <v>https://earth.google.com/web/search/-30.9031724357148,-55.53594042725830</v>
      </c>
      <c r="H1624" s="12"/>
      <c r="I1624" s="12"/>
      <c r="J1624" s="12"/>
      <c r="K1624" s="12"/>
      <c r="L1624" s="12"/>
      <c r="M1624" s="12"/>
      <c r="N1624" s="12"/>
      <c r="O1624" s="12"/>
      <c r="P1624" s="12"/>
      <c r="Q1624" s="12"/>
      <c r="R1624" s="12"/>
      <c r="S1624" s="12"/>
      <c r="T1624" s="12"/>
      <c r="U1624" s="12"/>
      <c r="V1624" s="12"/>
      <c r="W1624" s="12"/>
      <c r="X1624" s="12"/>
      <c r="Y1624" s="12"/>
      <c r="Z1624" s="12"/>
      <c r="AA1624" s="12"/>
    </row>
    <row r="1625" ht="26.25" customHeight="1">
      <c r="A1625" s="26" t="s">
        <v>3254</v>
      </c>
      <c r="B1625" s="26" t="s">
        <v>3255</v>
      </c>
      <c r="C1625" s="14">
        <v>2.0</v>
      </c>
      <c r="D1625" s="23">
        <v>234.0</v>
      </c>
      <c r="E1625" s="23">
        <v>34.0</v>
      </c>
      <c r="F1625" s="27" t="str">
        <f t="array" ref="F1625">"https://www.google.com/maps/search/?api=1&amp;query=" &amp; A1625 &amp; "," &amp; B1625</f>
        <v>https://www.google.com/maps/search/?api=1&amp;query=-30.9031410773253,-55.53603228699080</v>
      </c>
      <c r="G1625" s="27" t="str">
        <f t="array" ref="G1625">"https://earth.google.com/web/search/" &amp; A1625 &amp; "," &amp; B1625</f>
        <v>https://earth.google.com/web/search/-30.9031410773253,-55.53603228699080</v>
      </c>
      <c r="H1625" s="12"/>
      <c r="I1625" s="12"/>
      <c r="J1625" s="12"/>
      <c r="K1625" s="12"/>
      <c r="L1625" s="12"/>
      <c r="M1625" s="12"/>
      <c r="N1625" s="12"/>
      <c r="O1625" s="12"/>
      <c r="P1625" s="12"/>
      <c r="Q1625" s="12"/>
      <c r="R1625" s="12"/>
      <c r="S1625" s="12"/>
      <c r="T1625" s="12"/>
      <c r="U1625" s="12"/>
      <c r="V1625" s="12"/>
      <c r="W1625" s="12"/>
      <c r="X1625" s="12"/>
      <c r="Y1625" s="12"/>
      <c r="Z1625" s="12"/>
      <c r="AA1625" s="12"/>
    </row>
    <row r="1626" ht="26.25" customHeight="1">
      <c r="A1626" s="26" t="s">
        <v>3256</v>
      </c>
      <c r="B1626" s="26" t="s">
        <v>3257</v>
      </c>
      <c r="C1626" s="14">
        <v>2.0</v>
      </c>
      <c r="D1626" s="23">
        <v>234.0</v>
      </c>
      <c r="E1626" s="23">
        <v>35.0</v>
      </c>
      <c r="F1626" s="27" t="str">
        <f t="array" ref="F1626">"https://www.google.com/maps/search/?api=1&amp;query=" &amp; A1626 &amp; "," &amp; B1626</f>
        <v>https://www.google.com/maps/search/?api=1&amp;query=-30.9030883497772,-55.53611692886380</v>
      </c>
      <c r="G1626" s="27" t="str">
        <f t="array" ref="G1626">"https://earth.google.com/web/search/" &amp; A1626 &amp; "," &amp; B1626</f>
        <v>https://earth.google.com/web/search/-30.9030883497772,-55.53611692886380</v>
      </c>
      <c r="H1626" s="12"/>
      <c r="I1626" s="12"/>
      <c r="J1626" s="12"/>
      <c r="K1626" s="12"/>
      <c r="L1626" s="12"/>
      <c r="M1626" s="12"/>
      <c r="N1626" s="12"/>
      <c r="O1626" s="12"/>
      <c r="P1626" s="12"/>
      <c r="Q1626" s="12"/>
      <c r="R1626" s="12"/>
      <c r="S1626" s="12"/>
      <c r="T1626" s="12"/>
      <c r="U1626" s="12"/>
      <c r="V1626" s="12"/>
      <c r="W1626" s="12"/>
      <c r="X1626" s="12"/>
      <c r="Y1626" s="12"/>
      <c r="Z1626" s="12"/>
      <c r="AA1626" s="12"/>
    </row>
    <row r="1627" ht="26.25" customHeight="1">
      <c r="A1627" s="26" t="s">
        <v>3258</v>
      </c>
      <c r="B1627" s="26" t="s">
        <v>3259</v>
      </c>
      <c r="C1627" s="14">
        <v>2.0</v>
      </c>
      <c r="D1627" s="23">
        <v>234.0</v>
      </c>
      <c r="E1627" s="23">
        <v>36.0</v>
      </c>
      <c r="F1627" s="27" t="str">
        <f t="array" ref="F1627">"https://www.google.com/maps/search/?api=1&amp;query=" &amp; A1627 &amp; "," &amp; B1627</f>
        <v>https://www.google.com/maps/search/?api=1&amp;query=-30.9030692000141,-55.53615653576350</v>
      </c>
      <c r="G1627" s="27" t="str">
        <f t="array" ref="G1627">"https://earth.google.com/web/search/" &amp; A1627 &amp; "," &amp; B1627</f>
        <v>https://earth.google.com/web/search/-30.9030692000141,-55.53615653576350</v>
      </c>
      <c r="H1627" s="12"/>
      <c r="I1627" s="12"/>
      <c r="J1627" s="12"/>
      <c r="K1627" s="12"/>
      <c r="L1627" s="12"/>
      <c r="M1627" s="12"/>
      <c r="N1627" s="12"/>
      <c r="O1627" s="12"/>
      <c r="P1627" s="12"/>
      <c r="Q1627" s="12"/>
      <c r="R1627" s="12"/>
      <c r="S1627" s="12"/>
      <c r="T1627" s="12"/>
      <c r="U1627" s="12"/>
      <c r="V1627" s="12"/>
      <c r="W1627" s="12"/>
      <c r="X1627" s="12"/>
      <c r="Y1627" s="12"/>
      <c r="Z1627" s="12"/>
      <c r="AA1627" s="12"/>
    </row>
    <row r="1628" ht="26.25" customHeight="1">
      <c r="A1628" s="26" t="s">
        <v>3260</v>
      </c>
      <c r="B1628" s="26" t="s">
        <v>3261</v>
      </c>
      <c r="C1628" s="14">
        <v>2.0</v>
      </c>
      <c r="D1628" s="23">
        <v>234.0</v>
      </c>
      <c r="E1628" s="23">
        <v>37.0</v>
      </c>
      <c r="F1628" s="27" t="str">
        <f t="array" ref="F1628">"https://www.google.com/maps/search/?api=1&amp;query=" &amp; A1628 &amp; "," &amp; B1628</f>
        <v>https://www.google.com/maps/search/?api=1&amp;query=-30.9030502426942,-55.53618444682290</v>
      </c>
      <c r="G1628" s="27" t="str">
        <f t="array" ref="G1628">"https://earth.google.com/web/search/" &amp; A1628 &amp; "," &amp; B1628</f>
        <v>https://earth.google.com/web/search/-30.9030502426942,-55.53618444682290</v>
      </c>
      <c r="H1628" s="12"/>
      <c r="I1628" s="12"/>
      <c r="J1628" s="12"/>
      <c r="K1628" s="12"/>
      <c r="L1628" s="12"/>
      <c r="M1628" s="12"/>
      <c r="N1628" s="12"/>
      <c r="O1628" s="12"/>
      <c r="P1628" s="12"/>
      <c r="Q1628" s="12"/>
      <c r="R1628" s="12"/>
      <c r="S1628" s="12"/>
      <c r="T1628" s="12"/>
      <c r="U1628" s="12"/>
      <c r="V1628" s="12"/>
      <c r="W1628" s="12"/>
      <c r="X1628" s="12"/>
      <c r="Y1628" s="12"/>
      <c r="Z1628" s="12"/>
      <c r="AA1628" s="12"/>
    </row>
    <row r="1629" ht="26.25" customHeight="1">
      <c r="A1629" s="26" t="s">
        <v>3262</v>
      </c>
      <c r="B1629" s="26" t="s">
        <v>3263</v>
      </c>
      <c r="C1629" s="14">
        <v>2.0</v>
      </c>
      <c r="D1629" s="23">
        <v>234.0</v>
      </c>
      <c r="E1629" s="23">
        <v>38.0</v>
      </c>
      <c r="F1629" s="27" t="str">
        <f t="array" ref="F1629">"https://www.google.com/maps/search/?api=1&amp;query=" &amp; A1629 &amp; "," &amp; B1629</f>
        <v>https://www.google.com/maps/search/?api=1&amp;query=-30.9030388293150,-55.53622865081130</v>
      </c>
      <c r="G1629" s="27" t="str">
        <f t="array" ref="G1629">"https://earth.google.com/web/search/" &amp; A1629 &amp; "," &amp; B1629</f>
        <v>https://earth.google.com/web/search/-30.9030388293150,-55.53622865081130</v>
      </c>
      <c r="H1629" s="12"/>
      <c r="I1629" s="12"/>
      <c r="J1629" s="12"/>
      <c r="K1629" s="12"/>
      <c r="L1629" s="12"/>
      <c r="M1629" s="12"/>
      <c r="N1629" s="12"/>
      <c r="O1629" s="12"/>
      <c r="P1629" s="12"/>
      <c r="Q1629" s="12"/>
      <c r="R1629" s="12"/>
      <c r="S1629" s="12"/>
      <c r="T1629" s="12"/>
      <c r="U1629" s="12"/>
      <c r="V1629" s="12"/>
      <c r="W1629" s="12"/>
      <c r="X1629" s="12"/>
      <c r="Y1629" s="12"/>
      <c r="Z1629" s="12"/>
      <c r="AA1629" s="12"/>
    </row>
    <row r="1630" ht="26.25" customHeight="1">
      <c r="A1630" s="26" t="s">
        <v>3264</v>
      </c>
      <c r="B1630" s="26" t="s">
        <v>3265</v>
      </c>
      <c r="C1630" s="14">
        <v>2.0</v>
      </c>
      <c r="D1630" s="23">
        <v>503.0</v>
      </c>
      <c r="E1630" s="23">
        <v>1.0</v>
      </c>
      <c r="F1630" s="27" t="str">
        <f t="array" ref="F1630">"https://www.google.com/maps/search/?api=1&amp;query=" &amp; A1630 &amp; "," &amp; B1630</f>
        <v>https://www.google.com/maps/search/?api=1&amp;query=-30.9038440351545,-55.53509663126650</v>
      </c>
      <c r="G1630" s="27" t="str">
        <f t="array" ref="G1630">"https://earth.google.com/web/search/" &amp; A1630 &amp; "," &amp; B1630</f>
        <v>https://earth.google.com/web/search/-30.9038440351545,-55.53509663126650</v>
      </c>
      <c r="H1630" s="12"/>
      <c r="I1630" s="12"/>
      <c r="J1630" s="12"/>
      <c r="K1630" s="12"/>
      <c r="L1630" s="12"/>
      <c r="M1630" s="12"/>
      <c r="N1630" s="12"/>
      <c r="O1630" s="12"/>
      <c r="P1630" s="12"/>
      <c r="Q1630" s="12"/>
      <c r="R1630" s="12"/>
      <c r="S1630" s="12"/>
      <c r="T1630" s="12"/>
      <c r="U1630" s="12"/>
      <c r="V1630" s="12"/>
      <c r="W1630" s="12"/>
      <c r="X1630" s="12"/>
      <c r="Y1630" s="12"/>
      <c r="Z1630" s="12"/>
      <c r="AA1630" s="12"/>
    </row>
    <row r="1631" ht="26.25" customHeight="1">
      <c r="A1631" s="26" t="s">
        <v>3266</v>
      </c>
      <c r="B1631" s="26" t="s">
        <v>3267</v>
      </c>
      <c r="C1631" s="14">
        <v>2.0</v>
      </c>
      <c r="D1631" s="23">
        <v>503.0</v>
      </c>
      <c r="E1631" s="23">
        <v>2.0</v>
      </c>
      <c r="F1631" s="27" t="str">
        <f t="array" ref="F1631">"https://www.google.com/maps/search/?api=1&amp;query=" &amp; A1631 &amp; "," &amp; B1631</f>
        <v>https://www.google.com/maps/search/?api=1&amp;query=-30.9041885833910,-55.53528392201910</v>
      </c>
      <c r="G1631" s="27" t="str">
        <f t="array" ref="G1631">"https://earth.google.com/web/search/" &amp; A1631 &amp; "," &amp; B1631</f>
        <v>https://earth.google.com/web/search/-30.9041885833910,-55.53528392201910</v>
      </c>
      <c r="H1631" s="12"/>
      <c r="I1631" s="12"/>
      <c r="J1631" s="12"/>
      <c r="K1631" s="12"/>
      <c r="L1631" s="12"/>
      <c r="M1631" s="12"/>
      <c r="N1631" s="12"/>
      <c r="O1631" s="12"/>
      <c r="P1631" s="12"/>
      <c r="Q1631" s="12"/>
      <c r="R1631" s="12"/>
      <c r="S1631" s="12"/>
      <c r="T1631" s="12"/>
      <c r="U1631" s="12"/>
      <c r="V1631" s="12"/>
      <c r="W1631" s="12"/>
      <c r="X1631" s="12"/>
      <c r="Y1631" s="12"/>
      <c r="Z1631" s="12"/>
      <c r="AA1631" s="12"/>
    </row>
    <row r="1632" ht="26.25" customHeight="1">
      <c r="A1632" s="26" t="s">
        <v>3268</v>
      </c>
      <c r="B1632" s="26" t="s">
        <v>3269</v>
      </c>
      <c r="C1632" s="14">
        <v>2.0</v>
      </c>
      <c r="D1632" s="23">
        <v>503.0</v>
      </c>
      <c r="E1632" s="23">
        <v>3.0</v>
      </c>
      <c r="F1632" s="27" t="str">
        <f t="array" ref="F1632">"https://www.google.com/maps/search/?api=1&amp;query=" &amp; A1632 &amp; "," &amp; B1632</f>
        <v>https://www.google.com/maps/search/?api=1&amp;query=-30.9042162174856,-55.53532589127140</v>
      </c>
      <c r="G1632" s="27" t="str">
        <f t="array" ref="G1632">"https://earth.google.com/web/search/" &amp; A1632 &amp; "," &amp; B1632</f>
        <v>https://earth.google.com/web/search/-30.9042162174856,-55.53532589127140</v>
      </c>
      <c r="H1632" s="12"/>
      <c r="I1632" s="12"/>
      <c r="J1632" s="12"/>
      <c r="K1632" s="12"/>
      <c r="L1632" s="12"/>
      <c r="M1632" s="12"/>
      <c r="N1632" s="12"/>
      <c r="O1632" s="12"/>
      <c r="P1632" s="12"/>
      <c r="Q1632" s="12"/>
      <c r="R1632" s="12"/>
      <c r="S1632" s="12"/>
      <c r="T1632" s="12"/>
      <c r="U1632" s="12"/>
      <c r="V1632" s="12"/>
      <c r="W1632" s="12"/>
      <c r="X1632" s="12"/>
      <c r="Y1632" s="12"/>
      <c r="Z1632" s="12"/>
      <c r="AA1632" s="12"/>
    </row>
    <row r="1633" ht="26.25" customHeight="1">
      <c r="A1633" s="26" t="s">
        <v>3270</v>
      </c>
      <c r="B1633" s="26" t="s">
        <v>3271</v>
      </c>
      <c r="C1633" s="14">
        <v>2.0</v>
      </c>
      <c r="D1633" s="23">
        <v>503.0</v>
      </c>
      <c r="E1633" s="23">
        <v>4.0</v>
      </c>
      <c r="F1633" s="27" t="str">
        <f t="array" ref="F1633">"https://www.google.com/maps/search/?api=1&amp;query=" &amp; A1633 &amp; "," &amp; B1633</f>
        <v>https://www.google.com/maps/search/?api=1&amp;query=-30.9042618699655,-55.53536192062720</v>
      </c>
      <c r="G1633" s="27" t="str">
        <f t="array" ref="G1633">"https://earth.google.com/web/search/" &amp; A1633 &amp; "," &amp; B1633</f>
        <v>https://earth.google.com/web/search/-30.9042618699655,-55.53536192062720</v>
      </c>
      <c r="H1633" s="12"/>
      <c r="I1633" s="12"/>
      <c r="J1633" s="12"/>
      <c r="K1633" s="12"/>
      <c r="L1633" s="12"/>
      <c r="M1633" s="12"/>
      <c r="N1633" s="12"/>
      <c r="O1633" s="12"/>
      <c r="P1633" s="12"/>
      <c r="Q1633" s="12"/>
      <c r="R1633" s="12"/>
      <c r="S1633" s="12"/>
      <c r="T1633" s="12"/>
      <c r="U1633" s="12"/>
      <c r="V1633" s="12"/>
      <c r="W1633" s="12"/>
      <c r="X1633" s="12"/>
      <c r="Y1633" s="12"/>
      <c r="Z1633" s="12"/>
      <c r="AA1633" s="12"/>
    </row>
    <row r="1634" ht="26.25" customHeight="1">
      <c r="A1634" s="26" t="s">
        <v>3272</v>
      </c>
      <c r="B1634" s="26" t="s">
        <v>3273</v>
      </c>
      <c r="C1634" s="14">
        <v>2.0</v>
      </c>
      <c r="D1634" s="23">
        <v>503.0</v>
      </c>
      <c r="E1634" s="23">
        <v>5.0</v>
      </c>
      <c r="F1634" s="27" t="str">
        <f t="array" ref="F1634">"https://www.google.com/maps/search/?api=1&amp;query=" &amp; A1634 &amp; "," &amp; B1634</f>
        <v>https://www.google.com/maps/search/?api=1&amp;query=-30.9042918343029,-55.53537015238550</v>
      </c>
      <c r="G1634" s="27" t="str">
        <f t="array" ref="G1634">"https://earth.google.com/web/search/" &amp; A1634 &amp; "," &amp; B1634</f>
        <v>https://earth.google.com/web/search/-30.9042918343029,-55.53537015238550</v>
      </c>
      <c r="H1634" s="12"/>
      <c r="I1634" s="12"/>
      <c r="J1634" s="12"/>
      <c r="K1634" s="12"/>
      <c r="L1634" s="12"/>
      <c r="M1634" s="12"/>
      <c r="N1634" s="12"/>
      <c r="O1634" s="12"/>
      <c r="P1634" s="12"/>
      <c r="Q1634" s="12"/>
      <c r="R1634" s="12"/>
      <c r="S1634" s="12"/>
      <c r="T1634" s="12"/>
      <c r="U1634" s="12"/>
      <c r="V1634" s="12"/>
      <c r="W1634" s="12"/>
      <c r="X1634" s="12"/>
      <c r="Y1634" s="12"/>
      <c r="Z1634" s="12"/>
      <c r="AA1634" s="12"/>
    </row>
    <row r="1635" ht="26.25" customHeight="1">
      <c r="A1635" s="26" t="s">
        <v>3274</v>
      </c>
      <c r="B1635" s="26" t="s">
        <v>3275</v>
      </c>
      <c r="C1635" s="14">
        <v>2.0</v>
      </c>
      <c r="D1635" s="23">
        <v>503.0</v>
      </c>
      <c r="E1635" s="23">
        <v>6.0</v>
      </c>
      <c r="F1635" s="27" t="str">
        <f t="array" ref="F1635">"https://www.google.com/maps/search/?api=1&amp;query=" &amp; A1635 &amp; "," &amp; B1635</f>
        <v>https://www.google.com/maps/search/?api=1&amp;query=-30.9043214311577,-55.53539374952760</v>
      </c>
      <c r="G1635" s="27" t="str">
        <f t="array" ref="G1635">"https://earth.google.com/web/search/" &amp; A1635 &amp; "," &amp; B1635</f>
        <v>https://earth.google.com/web/search/-30.9043214311577,-55.53539374952760</v>
      </c>
      <c r="H1635" s="12"/>
      <c r="I1635" s="12"/>
      <c r="J1635" s="12"/>
      <c r="K1635" s="12"/>
      <c r="L1635" s="12"/>
      <c r="M1635" s="12"/>
      <c r="N1635" s="12"/>
      <c r="O1635" s="12"/>
      <c r="P1635" s="12"/>
      <c r="Q1635" s="12"/>
      <c r="R1635" s="12"/>
      <c r="S1635" s="12"/>
      <c r="T1635" s="12"/>
      <c r="U1635" s="12"/>
      <c r="V1635" s="12"/>
      <c r="W1635" s="12"/>
      <c r="X1635" s="12"/>
      <c r="Y1635" s="12"/>
      <c r="Z1635" s="12"/>
      <c r="AA1635" s="12"/>
    </row>
    <row r="1636" ht="26.25" customHeight="1">
      <c r="A1636" s="26" t="s">
        <v>3276</v>
      </c>
      <c r="B1636" s="26" t="s">
        <v>3277</v>
      </c>
      <c r="C1636" s="14">
        <v>2.0</v>
      </c>
      <c r="D1636" s="23">
        <v>503.0</v>
      </c>
      <c r="E1636" s="23">
        <v>7.0</v>
      </c>
      <c r="F1636" s="27" t="str">
        <f t="array" ref="F1636">"https://www.google.com/maps/search/?api=1&amp;query=" &amp; A1636 &amp; "," &amp; B1636</f>
        <v>https://www.google.com/maps/search/?api=1&amp;query=-30.9043791774485,-55.53542501043230</v>
      </c>
      <c r="G1636" s="27" t="str">
        <f t="array" ref="G1636">"https://earth.google.com/web/search/" &amp; A1636 &amp; "," &amp; B1636</f>
        <v>https://earth.google.com/web/search/-30.9043791774485,-55.53542501043230</v>
      </c>
      <c r="H1636" s="12"/>
      <c r="I1636" s="12"/>
      <c r="J1636" s="12"/>
      <c r="K1636" s="12"/>
      <c r="L1636" s="12"/>
      <c r="M1636" s="12"/>
      <c r="N1636" s="12"/>
      <c r="O1636" s="12"/>
      <c r="P1636" s="12"/>
      <c r="Q1636" s="12"/>
      <c r="R1636" s="12"/>
      <c r="S1636" s="12"/>
      <c r="T1636" s="12"/>
      <c r="U1636" s="12"/>
      <c r="V1636" s="12"/>
      <c r="W1636" s="12"/>
      <c r="X1636" s="12"/>
      <c r="Y1636" s="12"/>
      <c r="Z1636" s="12"/>
      <c r="AA1636" s="12"/>
    </row>
    <row r="1637" ht="26.25" customHeight="1">
      <c r="A1637" s="26" t="s">
        <v>3278</v>
      </c>
      <c r="B1637" s="26" t="s">
        <v>3279</v>
      </c>
      <c r="C1637" s="14">
        <v>2.0</v>
      </c>
      <c r="D1637" s="23">
        <v>503.0</v>
      </c>
      <c r="E1637" s="23">
        <v>8.0</v>
      </c>
      <c r="F1637" s="27" t="str">
        <f t="array" ref="F1637">"https://www.google.com/maps/search/?api=1&amp;query=" &amp; A1637 &amp; "," &amp; B1637</f>
        <v>https://www.google.com/maps/search/?api=1&amp;query=-30.9044548623555,-5.55353752351616</v>
      </c>
      <c r="G1637" s="27" t="str">
        <f t="array" ref="G1637">"https://earth.google.com/web/search/" &amp; A1637 &amp; "," &amp; B1637</f>
        <v>https://earth.google.com/web/search/-30.9044548623555,-5.55353752351616</v>
      </c>
      <c r="H1637" s="12"/>
      <c r="I1637" s="12"/>
      <c r="J1637" s="12"/>
      <c r="K1637" s="12"/>
      <c r="L1637" s="12"/>
      <c r="M1637" s="12"/>
      <c r="N1637" s="12"/>
      <c r="O1637" s="12"/>
      <c r="P1637" s="12"/>
      <c r="Q1637" s="12"/>
      <c r="R1637" s="12"/>
      <c r="S1637" s="12"/>
      <c r="T1637" s="12"/>
      <c r="U1637" s="12"/>
      <c r="V1637" s="12"/>
      <c r="W1637" s="12"/>
      <c r="X1637" s="12"/>
      <c r="Y1637" s="12"/>
      <c r="Z1637" s="12"/>
      <c r="AA1637" s="12"/>
    </row>
    <row r="1638" ht="26.25" customHeight="1">
      <c r="A1638" s="26" t="s">
        <v>3280</v>
      </c>
      <c r="B1638" s="26" t="s">
        <v>3281</v>
      </c>
      <c r="C1638" s="14">
        <v>2.0</v>
      </c>
      <c r="D1638" s="23">
        <v>503.0</v>
      </c>
      <c r="E1638" s="23">
        <v>9.0</v>
      </c>
      <c r="F1638" s="27" t="str">
        <f t="array" ref="F1638">"https://www.google.com/maps/search/?api=1&amp;query=" &amp; A1638 &amp; "," &amp; B1638</f>
        <v>https://www.google.com/maps/search/?api=1&amp;query=-30.9045193661103,-5.55351939830374</v>
      </c>
      <c r="G1638" s="27" t="str">
        <f t="array" ref="G1638">"https://earth.google.com/web/search/" &amp; A1638 &amp; "," &amp; B1638</f>
        <v>https://earth.google.com/web/search/-30.9045193661103,-5.55351939830374</v>
      </c>
      <c r="H1638" s="12"/>
      <c r="I1638" s="12"/>
      <c r="J1638" s="12"/>
      <c r="K1638" s="12"/>
      <c r="L1638" s="12"/>
      <c r="M1638" s="12"/>
      <c r="N1638" s="12"/>
      <c r="O1638" s="12"/>
      <c r="P1638" s="12"/>
      <c r="Q1638" s="12"/>
      <c r="R1638" s="12"/>
      <c r="S1638" s="12"/>
      <c r="T1638" s="12"/>
      <c r="U1638" s="12"/>
      <c r="V1638" s="12"/>
      <c r="W1638" s="12"/>
      <c r="X1638" s="12"/>
      <c r="Y1638" s="12"/>
      <c r="Z1638" s="12"/>
      <c r="AA1638" s="12"/>
    </row>
    <row r="1639" ht="26.25" customHeight="1">
      <c r="A1639" s="26" t="s">
        <v>3282</v>
      </c>
      <c r="B1639" s="26" t="s">
        <v>3283</v>
      </c>
      <c r="C1639" s="14">
        <v>2.0</v>
      </c>
      <c r="D1639" s="23">
        <v>503.0</v>
      </c>
      <c r="E1639" s="23">
        <v>10.0</v>
      </c>
      <c r="F1639" s="27" t="str">
        <f t="array" ref="F1639">"https://www.google.com/maps/search/?api=1&amp;query=" &amp; A1639 &amp; "," &amp; B1639</f>
        <v>https://www.google.com/maps/search/?api=1&amp;query=-30.9039643000016,-0.55534386484142</v>
      </c>
      <c r="G1639" s="27" t="str">
        <f t="array" ref="G1639">"https://earth.google.com/web/search/" &amp; A1639 &amp; "," &amp; B1639</f>
        <v>https://earth.google.com/web/search/-30.9039643000016,-0.55534386484142</v>
      </c>
      <c r="H1639" s="12"/>
      <c r="I1639" s="12"/>
      <c r="J1639" s="12"/>
      <c r="K1639" s="12"/>
      <c r="L1639" s="12"/>
      <c r="M1639" s="12"/>
      <c r="N1639" s="12"/>
      <c r="O1639" s="12"/>
      <c r="P1639" s="12"/>
      <c r="Q1639" s="12"/>
      <c r="R1639" s="12"/>
      <c r="S1639" s="12"/>
      <c r="T1639" s="12"/>
      <c r="U1639" s="12"/>
      <c r="V1639" s="12"/>
      <c r="W1639" s="12"/>
      <c r="X1639" s="12"/>
      <c r="Y1639" s="12"/>
      <c r="Z1639" s="12"/>
      <c r="AA1639" s="12"/>
    </row>
    <row r="1640" ht="26.25" customHeight="1">
      <c r="A1640" s="26" t="s">
        <v>3284</v>
      </c>
      <c r="B1640" s="26" t="s">
        <v>3285</v>
      </c>
      <c r="C1640" s="14">
        <v>2.0</v>
      </c>
      <c r="D1640" s="23">
        <v>503.0</v>
      </c>
      <c r="E1640" s="23">
        <v>11.0</v>
      </c>
      <c r="F1640" s="27" t="str">
        <f t="array" ref="F1640">"https://www.google.com/maps/search/?api=1&amp;query=" &amp; A1640 &amp; "," &amp; B1640</f>
        <v>https://www.google.com/maps/search/?api=1&amp;query=-30.9038730549225,-55.53458677781710</v>
      </c>
      <c r="G1640" s="27" t="str">
        <f t="array" ref="G1640">"https://earth.google.com/web/search/" &amp; A1640 &amp; "," &amp; B1640</f>
        <v>https://earth.google.com/web/search/-30.9038730549225,-55.53458677781710</v>
      </c>
      <c r="H1640" s="12"/>
      <c r="I1640" s="12"/>
      <c r="J1640" s="12"/>
      <c r="K1640" s="12"/>
      <c r="L1640" s="12"/>
      <c r="M1640" s="12"/>
      <c r="N1640" s="12"/>
      <c r="O1640" s="12"/>
      <c r="P1640" s="12"/>
      <c r="Q1640" s="12"/>
      <c r="R1640" s="12"/>
      <c r="S1640" s="12"/>
      <c r="T1640" s="12"/>
      <c r="U1640" s="12"/>
      <c r="V1640" s="12"/>
      <c r="W1640" s="12"/>
      <c r="X1640" s="12"/>
      <c r="Y1640" s="12"/>
      <c r="Z1640" s="12"/>
      <c r="AA1640" s="12"/>
    </row>
    <row r="1641" ht="26.25" customHeight="1">
      <c r="A1641" s="26" t="s">
        <v>3286</v>
      </c>
      <c r="B1641" s="26" t="s">
        <v>3287</v>
      </c>
      <c r="C1641" s="14">
        <v>2.0</v>
      </c>
      <c r="D1641" s="23">
        <v>503.0</v>
      </c>
      <c r="E1641" s="23">
        <v>12.0</v>
      </c>
      <c r="F1641" s="27" t="str">
        <f t="array" ref="F1641">"https://www.google.com/maps/search/?api=1&amp;query=" &amp; A1641 &amp; "," &amp; B1641</f>
        <v>https://www.google.com/maps/search/?api=1&amp;query=-30.9038169012884,-55.53469248275060</v>
      </c>
      <c r="G1641" s="27" t="str">
        <f t="array" ref="G1641">"https://earth.google.com/web/search/" &amp; A1641 &amp; "," &amp; B1641</f>
        <v>https://earth.google.com/web/search/-30.9038169012884,-55.53469248275060</v>
      </c>
      <c r="H1641" s="12"/>
      <c r="I1641" s="12"/>
      <c r="J1641" s="12"/>
      <c r="K1641" s="12"/>
      <c r="L1641" s="12"/>
      <c r="M1641" s="12"/>
      <c r="N1641" s="12"/>
      <c r="O1641" s="12"/>
      <c r="P1641" s="12"/>
      <c r="Q1641" s="12"/>
      <c r="R1641" s="12"/>
      <c r="S1641" s="12"/>
      <c r="T1641" s="12"/>
      <c r="U1641" s="12"/>
      <c r="V1641" s="12"/>
      <c r="W1641" s="12"/>
      <c r="X1641" s="12"/>
      <c r="Y1641" s="12"/>
      <c r="Z1641" s="12"/>
      <c r="AA1641" s="12"/>
    </row>
    <row r="1642" ht="26.25" customHeight="1">
      <c r="A1642" s="26" t="s">
        <v>3288</v>
      </c>
      <c r="B1642" s="26" t="s">
        <v>3289</v>
      </c>
      <c r="C1642" s="14">
        <v>2.0</v>
      </c>
      <c r="D1642" s="23">
        <v>503.0</v>
      </c>
      <c r="E1642" s="23">
        <v>13.0</v>
      </c>
      <c r="F1642" s="27" t="str">
        <f t="array" ref="F1642">"https://www.google.com/maps/search/?api=1&amp;query=" &amp; A1642 &amp; "," &amp; B1642</f>
        <v>https://www.google.com/maps/search/?api=1&amp;query=-30.9037748083199,-55.53480290553320</v>
      </c>
      <c r="G1642" s="27" t="str">
        <f t="array" ref="G1642">"https://earth.google.com/web/search/" &amp; A1642 &amp; "," &amp; B1642</f>
        <v>https://earth.google.com/web/search/-30.9037748083199,-55.53480290553320</v>
      </c>
      <c r="H1642" s="12"/>
      <c r="I1642" s="12"/>
      <c r="J1642" s="12"/>
      <c r="K1642" s="12"/>
      <c r="L1642" s="12"/>
      <c r="M1642" s="12"/>
      <c r="N1642" s="12"/>
      <c r="O1642" s="12"/>
      <c r="P1642" s="12"/>
      <c r="Q1642" s="12"/>
      <c r="R1642" s="12"/>
      <c r="S1642" s="12"/>
      <c r="T1642" s="12"/>
      <c r="U1642" s="12"/>
      <c r="V1642" s="12"/>
      <c r="W1642" s="12"/>
      <c r="X1642" s="12"/>
      <c r="Y1642" s="12"/>
      <c r="Z1642" s="12"/>
      <c r="AA1642" s="12"/>
    </row>
    <row r="1643" ht="26.25" customHeight="1">
      <c r="A1643" s="26" t="s">
        <v>3290</v>
      </c>
      <c r="B1643" s="26" t="s">
        <v>3291</v>
      </c>
      <c r="C1643" s="14">
        <v>2.0</v>
      </c>
      <c r="D1643" s="23">
        <v>902.0</v>
      </c>
      <c r="E1643" s="23">
        <v>1.0</v>
      </c>
      <c r="F1643" s="27" t="str">
        <f t="array" ref="F1643">"https://www.google.com/maps/search/?api=1&amp;query=" &amp; A1643 &amp; "," &amp; B1643</f>
        <v>https://www.google.com/maps/search/?api=1&amp;query=-30.9041623982295,-55.53438923783370</v>
      </c>
      <c r="G1643" s="27" t="str">
        <f t="array" ref="G1643">"https://earth.google.com/web/search/" &amp; A1643 &amp; "," &amp; B1643</f>
        <v>https://earth.google.com/web/search/-30.9041623982295,-55.53438923783370</v>
      </c>
      <c r="H1643" s="12"/>
      <c r="I1643" s="12"/>
      <c r="J1643" s="12"/>
      <c r="K1643" s="12"/>
      <c r="L1643" s="12"/>
      <c r="M1643" s="12"/>
      <c r="N1643" s="12"/>
      <c r="O1643" s="12"/>
      <c r="P1643" s="12"/>
      <c r="Q1643" s="12"/>
      <c r="R1643" s="12"/>
      <c r="S1643" s="12"/>
      <c r="T1643" s="12"/>
      <c r="U1643" s="12"/>
      <c r="V1643" s="12"/>
      <c r="W1643" s="12"/>
      <c r="X1643" s="12"/>
      <c r="Y1643" s="12"/>
      <c r="Z1643" s="12"/>
      <c r="AA1643" s="12"/>
    </row>
    <row r="1644" ht="26.25" customHeight="1">
      <c r="A1644" s="26" t="s">
        <v>3292</v>
      </c>
      <c r="B1644" s="26" t="s">
        <v>3293</v>
      </c>
      <c r="C1644" s="14">
        <v>2.0</v>
      </c>
      <c r="D1644" s="23">
        <v>902.0</v>
      </c>
      <c r="E1644" s="23">
        <v>2.0</v>
      </c>
      <c r="F1644" s="27" t="str">
        <f t="array" ref="F1644">"https://www.google.com/maps/search/?api=1&amp;query=" &amp; A1644 &amp; "," &amp; B1644</f>
        <v>https://www.google.com/maps/search/?api=1&amp;query=-30.9042799504595,-5.55344817577395</v>
      </c>
      <c r="G1644" s="27" t="str">
        <f t="array" ref="G1644">"https://earth.google.com/web/search/" &amp; A1644 &amp; "," &amp; B1644</f>
        <v>https://earth.google.com/web/search/-30.9042799504595,-5.55344817577395</v>
      </c>
      <c r="H1644" s="12"/>
      <c r="I1644" s="12"/>
      <c r="J1644" s="12"/>
      <c r="K1644" s="12"/>
      <c r="L1644" s="12"/>
      <c r="M1644" s="12"/>
      <c r="N1644" s="12"/>
      <c r="O1644" s="12"/>
      <c r="P1644" s="12"/>
      <c r="Q1644" s="12"/>
      <c r="R1644" s="12"/>
      <c r="S1644" s="12"/>
      <c r="T1644" s="12"/>
      <c r="U1644" s="12"/>
      <c r="V1644" s="12"/>
      <c r="W1644" s="12"/>
      <c r="X1644" s="12"/>
      <c r="Y1644" s="12"/>
      <c r="Z1644" s="12"/>
      <c r="AA1644" s="12"/>
    </row>
    <row r="1645" ht="26.25" customHeight="1">
      <c r="A1645" s="26" t="s">
        <v>3294</v>
      </c>
      <c r="B1645" s="26" t="s">
        <v>3295</v>
      </c>
      <c r="C1645" s="14">
        <v>2.0</v>
      </c>
      <c r="D1645" s="23">
        <v>902.0</v>
      </c>
      <c r="E1645" s="23">
        <v>3.0</v>
      </c>
      <c r="F1645" s="27" t="str">
        <f t="array" ref="F1645">"https://www.google.com/maps/search/?api=1&amp;query=" &amp; A1645 &amp; "," &amp; B1645</f>
        <v>https://www.google.com/maps/search/?api=1&amp;query=-30.9047229145267,-55.53423807641100</v>
      </c>
      <c r="G1645" s="27" t="str">
        <f t="array" ref="G1645">"https://earth.google.com/web/search/" &amp; A1645 &amp; "," &amp; B1645</f>
        <v>https://earth.google.com/web/search/-30.9047229145267,-55.53423807641100</v>
      </c>
      <c r="H1645" s="12"/>
      <c r="I1645" s="12"/>
      <c r="J1645" s="12"/>
      <c r="K1645" s="12"/>
      <c r="L1645" s="12"/>
      <c r="M1645" s="12"/>
      <c r="N1645" s="12"/>
      <c r="O1645" s="12"/>
      <c r="P1645" s="12"/>
      <c r="Q1645" s="12"/>
      <c r="R1645" s="12"/>
      <c r="S1645" s="12"/>
      <c r="T1645" s="12"/>
      <c r="U1645" s="12"/>
      <c r="V1645" s="12"/>
      <c r="W1645" s="12"/>
      <c r="X1645" s="12"/>
      <c r="Y1645" s="12"/>
      <c r="Z1645" s="12"/>
      <c r="AA1645" s="12"/>
    </row>
    <row r="1646" ht="26.25" customHeight="1">
      <c r="A1646" s="26" t="s">
        <v>3296</v>
      </c>
      <c r="B1646" s="26" t="s">
        <v>3297</v>
      </c>
      <c r="C1646" s="14">
        <v>2.0</v>
      </c>
      <c r="D1646" s="23">
        <v>902.0</v>
      </c>
      <c r="E1646" s="23">
        <v>4.0</v>
      </c>
      <c r="F1646" s="27" t="str">
        <f t="array" ref="F1646">"https://www.google.com/maps/search/?api=1&amp;query=" &amp; A1646 &amp; "," &amp; B1646</f>
        <v>https://www.google.com/maps/search/?api=1&amp;query=-3.0904746919063,-55.53417330400710</v>
      </c>
      <c r="G1646" s="27" t="str">
        <f t="array" ref="G1646">"https://earth.google.com/web/search/" &amp; A1646 &amp; "," &amp; B1646</f>
        <v>https://earth.google.com/web/search/-3.0904746919063,-55.53417330400710</v>
      </c>
      <c r="H1646" s="12"/>
      <c r="I1646" s="12"/>
      <c r="J1646" s="12"/>
      <c r="K1646" s="12"/>
      <c r="L1646" s="12"/>
      <c r="M1646" s="12"/>
      <c r="N1646" s="12"/>
      <c r="O1646" s="12"/>
      <c r="P1646" s="12"/>
      <c r="Q1646" s="12"/>
      <c r="R1646" s="12"/>
      <c r="S1646" s="12"/>
      <c r="T1646" s="12"/>
      <c r="U1646" s="12"/>
      <c r="V1646" s="12"/>
      <c r="W1646" s="12"/>
      <c r="X1646" s="12"/>
      <c r="Y1646" s="12"/>
      <c r="Z1646" s="12"/>
      <c r="AA1646" s="12"/>
    </row>
    <row r="1647" ht="26.25" customHeight="1">
      <c r="A1647" s="26" t="s">
        <v>3298</v>
      </c>
      <c r="B1647" s="26" t="s">
        <v>3299</v>
      </c>
      <c r="C1647" s="14">
        <v>2.0</v>
      </c>
      <c r="D1647" s="23">
        <v>902.0</v>
      </c>
      <c r="E1647" s="23">
        <v>5.0</v>
      </c>
      <c r="F1647" s="27" t="str">
        <f t="array" ref="F1647">"https://www.google.com/maps/search/?api=1&amp;query=" &amp; A1647 &amp; "," &amp; B1647</f>
        <v>https://www.google.com/maps/search/?api=1&amp;query=-30.9047699360487,-55.53409897300930</v>
      </c>
      <c r="G1647" s="27" t="str">
        <f t="array" ref="G1647">"https://earth.google.com/web/search/" &amp; A1647 &amp; "," &amp; B1647</f>
        <v>https://earth.google.com/web/search/-30.9047699360487,-55.53409897300930</v>
      </c>
      <c r="H1647" s="12"/>
      <c r="I1647" s="12"/>
      <c r="J1647" s="12"/>
      <c r="K1647" s="12"/>
      <c r="L1647" s="12"/>
      <c r="M1647" s="12"/>
      <c r="N1647" s="12"/>
      <c r="O1647" s="12"/>
      <c r="P1647" s="12"/>
      <c r="Q1647" s="12"/>
      <c r="R1647" s="12"/>
      <c r="S1647" s="12"/>
      <c r="T1647" s="12"/>
      <c r="U1647" s="12"/>
      <c r="V1647" s="12"/>
      <c r="W1647" s="12"/>
      <c r="X1647" s="12"/>
      <c r="Y1647" s="12"/>
      <c r="Z1647" s="12"/>
      <c r="AA1647" s="12"/>
    </row>
    <row r="1648" ht="26.25" customHeight="1">
      <c r="A1648" s="26" t="s">
        <v>3300</v>
      </c>
      <c r="B1648" s="26" t="s">
        <v>3301</v>
      </c>
      <c r="C1648" s="14">
        <v>2.0</v>
      </c>
      <c r="D1648" s="23">
        <v>902.0</v>
      </c>
      <c r="E1648" s="23">
        <v>6.0</v>
      </c>
      <c r="F1648" s="27" t="str">
        <f t="array" ref="F1648">"https://www.google.com/maps/search/?api=1&amp;query=" &amp; A1648 &amp; "," &amp; B1648</f>
        <v>https://www.google.com/maps/search/?api=1&amp;query=-30.9047841261090,-55.53403026049290</v>
      </c>
      <c r="G1648" s="27" t="str">
        <f t="array" ref="G1648">"https://earth.google.com/web/search/" &amp; A1648 &amp; "," &amp; B1648</f>
        <v>https://earth.google.com/web/search/-30.9047841261090,-55.53403026049290</v>
      </c>
      <c r="H1648" s="12"/>
      <c r="I1648" s="12"/>
      <c r="J1648" s="12"/>
      <c r="K1648" s="12"/>
      <c r="L1648" s="12"/>
      <c r="M1648" s="12"/>
      <c r="N1648" s="12"/>
      <c r="O1648" s="12"/>
      <c r="P1648" s="12"/>
      <c r="Q1648" s="12"/>
      <c r="R1648" s="12"/>
      <c r="S1648" s="12"/>
      <c r="T1648" s="12"/>
      <c r="U1648" s="12"/>
      <c r="V1648" s="12"/>
      <c r="W1648" s="12"/>
      <c r="X1648" s="12"/>
      <c r="Y1648" s="12"/>
      <c r="Z1648" s="12"/>
      <c r="AA1648" s="12"/>
    </row>
    <row r="1649" ht="26.25" customHeight="1">
      <c r="A1649" s="26" t="s">
        <v>3302</v>
      </c>
      <c r="B1649" s="26" t="s">
        <v>3303</v>
      </c>
      <c r="C1649" s="14">
        <v>2.0</v>
      </c>
      <c r="D1649" s="23">
        <v>902.0</v>
      </c>
      <c r="E1649" s="23">
        <v>7.0</v>
      </c>
      <c r="F1649" s="27" t="str">
        <f t="array" ref="F1649">"https://www.google.com/maps/search/?api=1&amp;query=" &amp; A1649 &amp; "," &amp; B1649</f>
        <v>https://www.google.com/maps/search/?api=1&amp;query=-3.0904772233423,-55.53396135814860</v>
      </c>
      <c r="G1649" s="27" t="str">
        <f t="array" ref="G1649">"https://earth.google.com/web/search/" &amp; A1649 &amp; "," &amp; B1649</f>
        <v>https://earth.google.com/web/search/-3.0904772233423,-55.53396135814860</v>
      </c>
      <c r="H1649" s="12"/>
      <c r="I1649" s="12"/>
      <c r="J1649" s="12"/>
      <c r="K1649" s="12"/>
      <c r="L1649" s="12"/>
      <c r="M1649" s="12"/>
      <c r="N1649" s="12"/>
      <c r="O1649" s="12"/>
      <c r="P1649" s="12"/>
      <c r="Q1649" s="12"/>
      <c r="R1649" s="12"/>
      <c r="S1649" s="12"/>
      <c r="T1649" s="12"/>
      <c r="U1649" s="12"/>
      <c r="V1649" s="12"/>
      <c r="W1649" s="12"/>
      <c r="X1649" s="12"/>
      <c r="Y1649" s="12"/>
      <c r="Z1649" s="12"/>
      <c r="AA1649" s="12"/>
    </row>
    <row r="1650" ht="26.25" customHeight="1">
      <c r="A1650" s="26" t="s">
        <v>3304</v>
      </c>
      <c r="B1650" s="26" t="s">
        <v>3305</v>
      </c>
      <c r="C1650" s="14">
        <v>2.0</v>
      </c>
      <c r="D1650" s="23">
        <v>902.0</v>
      </c>
      <c r="E1650" s="23">
        <v>8.0</v>
      </c>
      <c r="F1650" s="27" t="str">
        <f t="array" ref="F1650">"https://www.google.com/maps/search/?api=1&amp;query=" &amp; A1650 &amp; "," &amp; B1650</f>
        <v>https://www.google.com/maps/search/?api=1&amp;query=-30.9048142729173,-55.53388997812380</v>
      </c>
      <c r="G1650" s="27" t="str">
        <f t="array" ref="G1650">"https://earth.google.com/web/search/" &amp; A1650 &amp; "," &amp; B1650</f>
        <v>https://earth.google.com/web/search/-30.9048142729173,-55.53388997812380</v>
      </c>
      <c r="H1650" s="12"/>
      <c r="I1650" s="12"/>
      <c r="J1650" s="12"/>
      <c r="K1650" s="12"/>
      <c r="L1650" s="12"/>
      <c r="M1650" s="12"/>
      <c r="N1650" s="12"/>
      <c r="O1650" s="12"/>
      <c r="P1650" s="12"/>
      <c r="Q1650" s="12"/>
      <c r="R1650" s="12"/>
      <c r="S1650" s="12"/>
      <c r="T1650" s="12"/>
      <c r="U1650" s="12"/>
      <c r="V1650" s="12"/>
      <c r="W1650" s="12"/>
      <c r="X1650" s="12"/>
      <c r="Y1650" s="12"/>
      <c r="Z1650" s="12"/>
      <c r="AA1650" s="12"/>
    </row>
    <row r="1651" ht="26.25" customHeight="1">
      <c r="A1651" s="26" t="s">
        <v>3306</v>
      </c>
      <c r="B1651" s="26" t="s">
        <v>3307</v>
      </c>
      <c r="C1651" s="14">
        <v>2.0</v>
      </c>
      <c r="D1651" s="23">
        <v>902.0</v>
      </c>
      <c r="E1651" s="23">
        <v>9.0</v>
      </c>
      <c r="F1651" s="27" t="str">
        <f t="array" ref="F1651">"https://www.google.com/maps/search/?api=1&amp;query=" &amp; A1651 &amp; "," &amp; B1651</f>
        <v>https://www.google.com/maps/search/?api=1&amp;query=-30.9049180909175,-55.53380282469080</v>
      </c>
      <c r="G1651" s="27" t="str">
        <f t="array" ref="G1651">"https://earth.google.com/web/search/" &amp; A1651 &amp; "," &amp; B1651</f>
        <v>https://earth.google.com/web/search/-30.9049180909175,-55.53380282469080</v>
      </c>
      <c r="H1651" s="12"/>
      <c r="I1651" s="12"/>
      <c r="J1651" s="12"/>
      <c r="K1651" s="12"/>
      <c r="L1651" s="12"/>
      <c r="M1651" s="12"/>
      <c r="N1651" s="12"/>
      <c r="O1651" s="12"/>
      <c r="P1651" s="12"/>
      <c r="Q1651" s="12"/>
      <c r="R1651" s="12"/>
      <c r="S1651" s="12"/>
      <c r="T1651" s="12"/>
      <c r="U1651" s="12"/>
      <c r="V1651" s="12"/>
      <c r="W1651" s="12"/>
      <c r="X1651" s="12"/>
      <c r="Y1651" s="12"/>
      <c r="Z1651" s="12"/>
      <c r="AA1651" s="12"/>
    </row>
    <row r="1652" ht="26.25" customHeight="1">
      <c r="A1652" s="26" t="s">
        <v>3308</v>
      </c>
      <c r="B1652" s="26" t="s">
        <v>3309</v>
      </c>
      <c r="C1652" s="14">
        <v>2.0</v>
      </c>
      <c r="D1652" s="23">
        <v>902.0</v>
      </c>
      <c r="E1652" s="23">
        <v>10.0</v>
      </c>
      <c r="F1652" s="27" t="str">
        <f t="array" ref="F1652">"https://www.google.com/maps/search/?api=1&amp;query=" &amp; A1652 &amp; "," &amp; B1652</f>
        <v>https://www.google.com/maps/search/?api=1&amp;query=-30.9049465514679,-55.53372549148280</v>
      </c>
      <c r="G1652" s="27" t="str">
        <f t="array" ref="G1652">"https://earth.google.com/web/search/" &amp; A1652 &amp; "," &amp; B1652</f>
        <v>https://earth.google.com/web/search/-30.9049465514679,-55.53372549148280</v>
      </c>
      <c r="H1652" s="12"/>
      <c r="I1652" s="12"/>
      <c r="J1652" s="12"/>
      <c r="K1652" s="12"/>
      <c r="L1652" s="12"/>
      <c r="M1652" s="12"/>
      <c r="N1652" s="12"/>
      <c r="O1652" s="12"/>
      <c r="P1652" s="12"/>
      <c r="Q1652" s="12"/>
      <c r="R1652" s="12"/>
      <c r="S1652" s="12"/>
      <c r="T1652" s="12"/>
      <c r="U1652" s="12"/>
      <c r="V1652" s="12"/>
      <c r="W1652" s="12"/>
      <c r="X1652" s="12"/>
      <c r="Y1652" s="12"/>
      <c r="Z1652" s="12"/>
      <c r="AA1652" s="12"/>
    </row>
    <row r="1653" ht="26.25" customHeight="1">
      <c r="A1653" s="26" t="s">
        <v>3310</v>
      </c>
      <c r="B1653" s="26" t="s">
        <v>3311</v>
      </c>
      <c r="C1653" s="14">
        <v>2.0</v>
      </c>
      <c r="D1653" s="23">
        <v>902.0</v>
      </c>
      <c r="E1653" s="23">
        <v>11.0</v>
      </c>
      <c r="F1653" s="27" t="str">
        <f t="array" ref="F1653">"https://www.google.com/maps/search/?api=1&amp;query=" &amp; A1653 &amp; "," &amp; B1653</f>
        <v>https://www.google.com/maps/search/?api=1&amp;query=-30.9049721585085,-55.53367406465410</v>
      </c>
      <c r="G1653" s="27" t="str">
        <f t="array" ref="G1653">"https://earth.google.com/web/search/" &amp; A1653 &amp; "," &amp; B1653</f>
        <v>https://earth.google.com/web/search/-30.9049721585085,-55.53367406465410</v>
      </c>
      <c r="H1653" s="12"/>
      <c r="I1653" s="12"/>
      <c r="J1653" s="12"/>
      <c r="K1653" s="12"/>
      <c r="L1653" s="12"/>
      <c r="M1653" s="12"/>
      <c r="N1653" s="12"/>
      <c r="O1653" s="12"/>
      <c r="P1653" s="12"/>
      <c r="Q1653" s="12"/>
      <c r="R1653" s="12"/>
      <c r="S1653" s="12"/>
      <c r="T1653" s="12"/>
      <c r="U1653" s="12"/>
      <c r="V1653" s="12"/>
      <c r="W1653" s="12"/>
      <c r="X1653" s="12"/>
      <c r="Y1653" s="12"/>
      <c r="Z1653" s="12"/>
      <c r="AA1653" s="12"/>
    </row>
    <row r="1654" ht="26.25" customHeight="1">
      <c r="A1654" s="26" t="s">
        <v>3312</v>
      </c>
      <c r="B1654" s="26" t="s">
        <v>3313</v>
      </c>
      <c r="C1654" s="14">
        <v>2.0</v>
      </c>
      <c r="D1654" s="23">
        <v>902.0</v>
      </c>
      <c r="E1654" s="23">
        <v>12.0</v>
      </c>
      <c r="F1654" s="27" t="str">
        <f t="array" ref="F1654">"https://www.google.com/maps/search/?api=1&amp;query=" &amp; A1654 &amp; "," &amp; B1654</f>
        <v>https://www.google.com/maps/search/?api=1&amp;query=-30.9050191315447,-55.53354080946750</v>
      </c>
      <c r="G1654" s="27" t="str">
        <f t="array" ref="G1654">"https://earth.google.com/web/search/" &amp; A1654 &amp; "," &amp; B1654</f>
        <v>https://earth.google.com/web/search/-30.9050191315447,-55.53354080946750</v>
      </c>
      <c r="H1654" s="12"/>
      <c r="I1654" s="12"/>
      <c r="J1654" s="12"/>
      <c r="K1654" s="12"/>
      <c r="L1654" s="12"/>
      <c r="M1654" s="12"/>
      <c r="N1654" s="12"/>
      <c r="O1654" s="12"/>
      <c r="P1654" s="12"/>
      <c r="Q1654" s="12"/>
      <c r="R1654" s="12"/>
      <c r="S1654" s="12"/>
      <c r="T1654" s="12"/>
      <c r="U1654" s="12"/>
      <c r="V1654" s="12"/>
      <c r="W1654" s="12"/>
      <c r="X1654" s="12"/>
      <c r="Y1654" s="12"/>
      <c r="Z1654" s="12"/>
      <c r="AA1654" s="12"/>
    </row>
    <row r="1655" ht="26.25" customHeight="1">
      <c r="A1655" s="26" t="s">
        <v>3314</v>
      </c>
      <c r="B1655" s="26" t="s">
        <v>3315</v>
      </c>
      <c r="C1655" s="14">
        <v>2.0</v>
      </c>
      <c r="D1655" s="23">
        <v>902.0</v>
      </c>
      <c r="E1655" s="23">
        <v>13.0</v>
      </c>
      <c r="F1655" s="27" t="str">
        <f t="array" ref="F1655">"https://www.google.com/maps/search/?api=1&amp;query=" &amp; A1655 &amp; "," &amp; B1655</f>
        <v>https://www.google.com/maps/search/?api=1&amp;query=-30.9049865669792,-55.53344022971490</v>
      </c>
      <c r="G1655" s="27" t="str">
        <f t="array" ref="G1655">"https://earth.google.com/web/search/" &amp; A1655 &amp; "," &amp; B1655</f>
        <v>https://earth.google.com/web/search/-30.9049865669792,-55.53344022971490</v>
      </c>
      <c r="H1655" s="12"/>
      <c r="I1655" s="12"/>
      <c r="J1655" s="12"/>
      <c r="K1655" s="12"/>
      <c r="L1655" s="12"/>
      <c r="M1655" s="12"/>
      <c r="N1655" s="12"/>
      <c r="O1655" s="12"/>
      <c r="P1655" s="12"/>
      <c r="Q1655" s="12"/>
      <c r="R1655" s="12"/>
      <c r="S1655" s="12"/>
      <c r="T1655" s="12"/>
      <c r="U1655" s="12"/>
      <c r="V1655" s="12"/>
      <c r="W1655" s="12"/>
      <c r="X1655" s="12"/>
      <c r="Y1655" s="12"/>
      <c r="Z1655" s="12"/>
      <c r="AA1655" s="12"/>
    </row>
    <row r="1656" ht="26.25" customHeight="1">
      <c r="A1656" s="26" t="s">
        <v>3316</v>
      </c>
      <c r="B1656" s="26" t="s">
        <v>3317</v>
      </c>
      <c r="C1656" s="14">
        <v>2.0</v>
      </c>
      <c r="D1656" s="23">
        <v>902.0</v>
      </c>
      <c r="E1656" s="23">
        <v>14.0</v>
      </c>
      <c r="F1656" s="27" t="str">
        <f t="array" ref="F1656">"https://www.google.com/maps/search/?api=1&amp;query=" &amp; A1656 &amp; "," &amp; B1656</f>
        <v>https://www.google.com/maps/search/?api=1&amp;query=-30.9047489398563,-55.53335124526520</v>
      </c>
      <c r="G1656" s="27" t="str">
        <f t="array" ref="G1656">"https://earth.google.com/web/search/" &amp; A1656 &amp; "," &amp; B1656</f>
        <v>https://earth.google.com/web/search/-30.9047489398563,-55.53335124526520</v>
      </c>
      <c r="H1656" s="12"/>
      <c r="I1656" s="12"/>
      <c r="J1656" s="12"/>
      <c r="K1656" s="12"/>
      <c r="L1656" s="12"/>
      <c r="M1656" s="12"/>
      <c r="N1656" s="12"/>
      <c r="O1656" s="12"/>
      <c r="P1656" s="12"/>
      <c r="Q1656" s="12"/>
      <c r="R1656" s="12"/>
      <c r="S1656" s="12"/>
      <c r="T1656" s="12"/>
      <c r="U1656" s="12"/>
      <c r="V1656" s="12"/>
      <c r="W1656" s="12"/>
      <c r="X1656" s="12"/>
      <c r="Y1656" s="12"/>
      <c r="Z1656" s="12"/>
      <c r="AA1656" s="12"/>
    </row>
    <row r="1657" ht="26.25" customHeight="1">
      <c r="A1657" s="26" t="s">
        <v>3318</v>
      </c>
      <c r="B1657" s="26" t="s">
        <v>3319</v>
      </c>
      <c r="C1657" s="14">
        <v>2.0</v>
      </c>
      <c r="D1657" s="23">
        <v>902.0</v>
      </c>
      <c r="E1657" s="23">
        <v>15.0</v>
      </c>
      <c r="F1657" s="27" t="str">
        <f t="array" ref="F1657">"https://www.google.com/maps/search/?api=1&amp;query=" &amp; A1657 &amp; "," &amp; B1657</f>
        <v>https://www.google.com/maps/search/?api=1&amp;query=-3.0904711156475,-55.53342424018060</v>
      </c>
      <c r="G1657" s="27" t="str">
        <f t="array" ref="G1657">"https://earth.google.com/web/search/" &amp; A1657 &amp; "," &amp; B1657</f>
        <v>https://earth.google.com/web/search/-3.0904711156475,-55.53342424018060</v>
      </c>
      <c r="H1657" s="12"/>
      <c r="I1657" s="12"/>
      <c r="J1657" s="12"/>
      <c r="K1657" s="12"/>
      <c r="L1657" s="12"/>
      <c r="M1657" s="12"/>
      <c r="N1657" s="12"/>
      <c r="O1657" s="12"/>
      <c r="P1657" s="12"/>
      <c r="Q1657" s="12"/>
      <c r="R1657" s="12"/>
      <c r="S1657" s="12"/>
      <c r="T1657" s="12"/>
      <c r="U1657" s="12"/>
      <c r="V1657" s="12"/>
      <c r="W1657" s="12"/>
      <c r="X1657" s="12"/>
      <c r="Y1657" s="12"/>
      <c r="Z1657" s="12"/>
      <c r="AA1657" s="12"/>
    </row>
    <row r="1658" ht="26.25" customHeight="1">
      <c r="A1658" s="26" t="s">
        <v>3320</v>
      </c>
      <c r="B1658" s="26" t="s">
        <v>3321</v>
      </c>
      <c r="C1658" s="14">
        <v>2.0</v>
      </c>
      <c r="D1658" s="23">
        <v>902.0</v>
      </c>
      <c r="E1658" s="23">
        <v>16.0</v>
      </c>
      <c r="F1658" s="27" t="str">
        <f t="array" ref="F1658">"https://www.google.com/maps/search/?api=1&amp;query=" &amp; A1658 &amp; "," &amp; B1658</f>
        <v>https://www.google.com/maps/search/?api=1&amp;query=-30.9046973067025,-55.53345077422240</v>
      </c>
      <c r="G1658" s="27" t="str">
        <f t="array" ref="G1658">"https://earth.google.com/web/search/" &amp; A1658 &amp; "," &amp; B1658</f>
        <v>https://earth.google.com/web/search/-30.9046973067025,-55.53345077422240</v>
      </c>
      <c r="H1658" s="12"/>
      <c r="I1658" s="12"/>
      <c r="J1658" s="12"/>
      <c r="K1658" s="12"/>
      <c r="L1658" s="12"/>
      <c r="M1658" s="12"/>
      <c r="N1658" s="12"/>
      <c r="O1658" s="12"/>
      <c r="P1658" s="12"/>
      <c r="Q1658" s="12"/>
      <c r="R1658" s="12"/>
      <c r="S1658" s="12"/>
      <c r="T1658" s="12"/>
      <c r="U1658" s="12"/>
      <c r="V1658" s="12"/>
      <c r="W1658" s="12"/>
      <c r="X1658" s="12"/>
      <c r="Y1658" s="12"/>
      <c r="Z1658" s="12"/>
      <c r="AA1658" s="12"/>
    </row>
    <row r="1659" ht="26.25" customHeight="1">
      <c r="A1659" s="26" t="s">
        <v>3322</v>
      </c>
      <c r="B1659" s="26" t="s">
        <v>3323</v>
      </c>
      <c r="C1659" s="14">
        <v>2.0</v>
      </c>
      <c r="D1659" s="23">
        <v>902.0</v>
      </c>
      <c r="E1659" s="23">
        <v>17.0</v>
      </c>
      <c r="F1659" s="27" t="str">
        <f t="array" ref="F1659">"https://www.google.com/maps/search/?api=1&amp;query=" &amp; A1659 &amp; "," &amp; B1659</f>
        <v>https://www.google.com/maps/search/?api=1&amp;query=-30.9046899364959,-55.53347629864560</v>
      </c>
      <c r="G1659" s="27" t="str">
        <f t="array" ref="G1659">"https://earth.google.com/web/search/" &amp; A1659 &amp; "," &amp; B1659</f>
        <v>https://earth.google.com/web/search/-30.9046899364959,-55.53347629864560</v>
      </c>
      <c r="H1659" s="12"/>
      <c r="I1659" s="12"/>
      <c r="J1659" s="12"/>
      <c r="K1659" s="12"/>
      <c r="L1659" s="12"/>
      <c r="M1659" s="12"/>
      <c r="N1659" s="12"/>
      <c r="O1659" s="12"/>
      <c r="P1659" s="12"/>
      <c r="Q1659" s="12"/>
      <c r="R1659" s="12"/>
      <c r="S1659" s="12"/>
      <c r="T1659" s="12"/>
      <c r="U1659" s="12"/>
      <c r="V1659" s="12"/>
      <c r="W1659" s="12"/>
      <c r="X1659" s="12"/>
      <c r="Y1659" s="12"/>
      <c r="Z1659" s="12"/>
      <c r="AA1659" s="12"/>
    </row>
    <row r="1660" ht="26.25" customHeight="1">
      <c r="A1660" s="26" t="s">
        <v>3324</v>
      </c>
      <c r="B1660" s="26" t="s">
        <v>3325</v>
      </c>
      <c r="C1660" s="14">
        <v>2.0</v>
      </c>
      <c r="D1660" s="23">
        <v>902.0</v>
      </c>
      <c r="E1660" s="23">
        <v>18.0</v>
      </c>
      <c r="F1660" s="27" t="str">
        <f t="array" ref="F1660">"https://www.google.com/maps/search/?api=1&amp;query=" &amp; A1660 &amp; "," &amp; B1660</f>
        <v>https://www.google.com/maps/search/?api=1&amp;query=-30.9046264969187,-55.53355308748590</v>
      </c>
      <c r="G1660" s="27" t="str">
        <f t="array" ref="G1660">"https://earth.google.com/web/search/" &amp; A1660 &amp; "," &amp; B1660</f>
        <v>https://earth.google.com/web/search/-30.9046264969187,-55.53355308748590</v>
      </c>
      <c r="H1660" s="12"/>
      <c r="I1660" s="12"/>
      <c r="J1660" s="12"/>
      <c r="K1660" s="12"/>
      <c r="L1660" s="12"/>
      <c r="M1660" s="12"/>
      <c r="N1660" s="12"/>
      <c r="O1660" s="12"/>
      <c r="P1660" s="12"/>
      <c r="Q1660" s="12"/>
      <c r="R1660" s="12"/>
      <c r="S1660" s="12"/>
      <c r="T1660" s="12"/>
      <c r="U1660" s="12"/>
      <c r="V1660" s="12"/>
      <c r="W1660" s="12"/>
      <c r="X1660" s="12"/>
      <c r="Y1660" s="12"/>
      <c r="Z1660" s="12"/>
      <c r="AA1660" s="12"/>
    </row>
    <row r="1661" ht="26.25" customHeight="1">
      <c r="A1661" s="26" t="s">
        <v>3326</v>
      </c>
      <c r="B1661" s="26" t="s">
        <v>3327</v>
      </c>
      <c r="C1661" s="14">
        <v>2.0</v>
      </c>
      <c r="D1661" s="23">
        <v>902.0</v>
      </c>
      <c r="E1661" s="23">
        <v>19.0</v>
      </c>
      <c r="F1661" s="27" t="str">
        <f t="array" ref="F1661">"https://www.google.com/maps/search/?api=1&amp;query=" &amp; A1661 &amp; "," &amp; B1661</f>
        <v>https://www.google.com/maps/search/?api=1&amp;query=-30.9046077723832,-55.53359985634720</v>
      </c>
      <c r="G1661" s="27" t="str">
        <f t="array" ref="G1661">"https://earth.google.com/web/search/" &amp; A1661 &amp; "," &amp; B1661</f>
        <v>https://earth.google.com/web/search/-30.9046077723832,-55.53359985634720</v>
      </c>
      <c r="H1661" s="12"/>
      <c r="I1661" s="12"/>
      <c r="J1661" s="12"/>
      <c r="K1661" s="12"/>
      <c r="L1661" s="12"/>
      <c r="M1661" s="12"/>
      <c r="N1661" s="12"/>
      <c r="O1661" s="12"/>
      <c r="P1661" s="12"/>
      <c r="Q1661" s="12"/>
      <c r="R1661" s="12"/>
      <c r="S1661" s="12"/>
      <c r="T1661" s="12"/>
      <c r="U1661" s="12"/>
      <c r="V1661" s="12"/>
      <c r="W1661" s="12"/>
      <c r="X1661" s="12"/>
      <c r="Y1661" s="12"/>
      <c r="Z1661" s="12"/>
      <c r="AA1661" s="12"/>
    </row>
    <row r="1662" ht="26.25" customHeight="1">
      <c r="A1662" s="26" t="s">
        <v>3328</v>
      </c>
      <c r="B1662" s="26" t="s">
        <v>3329</v>
      </c>
      <c r="C1662" s="14">
        <v>2.0</v>
      </c>
      <c r="D1662" s="23">
        <v>902.0</v>
      </c>
      <c r="E1662" s="23">
        <v>20.0</v>
      </c>
      <c r="F1662" s="27" t="str">
        <f t="array" ref="F1662">"https://www.google.com/maps/search/?api=1&amp;query=" &amp; A1662 &amp; "," &amp; B1662</f>
        <v>https://www.google.com/maps/search/?api=1&amp;query=-30.9045885260808,-55.53365454724900</v>
      </c>
      <c r="G1662" s="27" t="str">
        <f t="array" ref="G1662">"https://earth.google.com/web/search/" &amp; A1662 &amp; "," &amp; B1662</f>
        <v>https://earth.google.com/web/search/-30.9045885260808,-55.53365454724900</v>
      </c>
      <c r="H1662" s="12"/>
      <c r="I1662" s="12"/>
      <c r="J1662" s="12"/>
      <c r="K1662" s="12"/>
      <c r="L1662" s="12"/>
      <c r="M1662" s="12"/>
      <c r="N1662" s="12"/>
      <c r="O1662" s="12"/>
      <c r="P1662" s="12"/>
      <c r="Q1662" s="12"/>
      <c r="R1662" s="12"/>
      <c r="S1662" s="12"/>
      <c r="T1662" s="12"/>
      <c r="U1662" s="12"/>
      <c r="V1662" s="12"/>
      <c r="W1662" s="12"/>
      <c r="X1662" s="12"/>
      <c r="Y1662" s="12"/>
      <c r="Z1662" s="12"/>
      <c r="AA1662" s="12"/>
    </row>
    <row r="1663" ht="26.25" customHeight="1">
      <c r="A1663" s="26" t="s">
        <v>3330</v>
      </c>
      <c r="B1663" s="26" t="s">
        <v>3331</v>
      </c>
      <c r="C1663" s="14">
        <v>2.0</v>
      </c>
      <c r="D1663" s="23">
        <v>902.0</v>
      </c>
      <c r="E1663" s="23">
        <v>21.0</v>
      </c>
      <c r="F1663" s="27" t="str">
        <f t="array" ref="F1663">"https://www.google.com/maps/search/?api=1&amp;query=" &amp; A1663 &amp; "," &amp; B1663</f>
        <v>https://www.google.com/maps/search/?api=1&amp;query=-30.9045652030959,-55.53371071498660</v>
      </c>
      <c r="G1663" s="27" t="str">
        <f t="array" ref="G1663">"https://earth.google.com/web/search/" &amp; A1663 &amp; "," &amp; B1663</f>
        <v>https://earth.google.com/web/search/-30.9045652030959,-55.53371071498660</v>
      </c>
      <c r="H1663" s="12"/>
      <c r="I1663" s="12"/>
      <c r="J1663" s="12"/>
      <c r="K1663" s="12"/>
      <c r="L1663" s="12"/>
      <c r="M1663" s="12"/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/>
    </row>
    <row r="1664" ht="26.25" customHeight="1">
      <c r="A1664" s="26" t="s">
        <v>3332</v>
      </c>
      <c r="B1664" s="26" t="s">
        <v>3333</v>
      </c>
      <c r="C1664" s="14">
        <v>2.0</v>
      </c>
      <c r="D1664" s="23">
        <v>902.0</v>
      </c>
      <c r="E1664" s="23">
        <v>22.0</v>
      </c>
      <c r="F1664" s="27" t="str">
        <f t="array" ref="F1664">"https://www.google.com/maps/search/?api=1&amp;query=" &amp; A1664 &amp; "," &amp; B1664</f>
        <v>https://www.google.com/maps/search/?api=1&amp;query=-30.9044904647760,-55.53368261181510</v>
      </c>
      <c r="G1664" s="27" t="str">
        <f t="array" ref="G1664">"https://earth.google.com/web/search/" &amp; A1664 &amp; "," &amp; B1664</f>
        <v>https://earth.google.com/web/search/-30.9044904647760,-55.53368261181510</v>
      </c>
      <c r="H1664" s="12"/>
      <c r="I1664" s="12"/>
      <c r="J1664" s="12"/>
      <c r="K1664" s="12"/>
      <c r="L1664" s="12"/>
      <c r="M1664" s="12"/>
      <c r="N1664" s="12"/>
      <c r="O1664" s="12"/>
      <c r="P1664" s="12"/>
      <c r="Q1664" s="12"/>
      <c r="R1664" s="12"/>
      <c r="S1664" s="12"/>
      <c r="T1664" s="12"/>
      <c r="U1664" s="12"/>
      <c r="V1664" s="12"/>
      <c r="W1664" s="12"/>
      <c r="X1664" s="12"/>
      <c r="Y1664" s="12"/>
      <c r="Z1664" s="12"/>
      <c r="AA1664" s="12"/>
    </row>
    <row r="1665" ht="26.25" customHeight="1">
      <c r="A1665" s="26" t="s">
        <v>3334</v>
      </c>
      <c r="B1665" s="26" t="s">
        <v>3335</v>
      </c>
      <c r="C1665" s="14">
        <v>2.0</v>
      </c>
      <c r="D1665" s="23">
        <v>902.0</v>
      </c>
      <c r="E1665" s="23">
        <v>23.0</v>
      </c>
      <c r="F1665" s="27" t="str">
        <f t="array" ref="F1665">"https://www.google.com/maps/search/?api=1&amp;query=" &amp; A1665 &amp; "," &amp; B1665</f>
        <v>https://www.google.com/maps/search/?api=1&amp;query=-30.9044192501159,-5.55335709080512</v>
      </c>
      <c r="G1665" s="27" t="str">
        <f t="array" ref="G1665">"https://earth.google.com/web/search/" &amp; A1665 &amp; "," &amp; B1665</f>
        <v>https://earth.google.com/web/search/-30.9044192501159,-5.55335709080512</v>
      </c>
      <c r="H1665" s="12"/>
      <c r="I1665" s="12"/>
      <c r="J1665" s="12"/>
      <c r="K1665" s="12"/>
      <c r="L1665" s="12"/>
      <c r="M1665" s="12"/>
      <c r="N1665" s="12"/>
      <c r="O1665" s="12"/>
      <c r="P1665" s="12"/>
      <c r="Q1665" s="12"/>
      <c r="R1665" s="12"/>
      <c r="S1665" s="12"/>
      <c r="T1665" s="12"/>
      <c r="U1665" s="12"/>
      <c r="V1665" s="12"/>
      <c r="W1665" s="12"/>
      <c r="X1665" s="12"/>
      <c r="Y1665" s="12"/>
      <c r="Z1665" s="12"/>
      <c r="AA1665" s="12"/>
    </row>
    <row r="1666" ht="26.25" customHeight="1">
      <c r="A1666" s="26" t="s">
        <v>3336</v>
      </c>
      <c r="B1666" s="26" t="s">
        <v>3337</v>
      </c>
      <c r="C1666" s="14">
        <v>2.0</v>
      </c>
      <c r="D1666" s="23">
        <v>902.0</v>
      </c>
      <c r="E1666" s="23">
        <v>24.0</v>
      </c>
      <c r="F1666" s="27" t="str">
        <f t="array" ref="F1666">"https://www.google.com/maps/search/?api=1&amp;query=" &amp; A1666 &amp; "," &amp; B1666</f>
        <v>https://www.google.com/maps/search/?api=1&amp;query=-30.9043556831877,-55.53365988144190</v>
      </c>
      <c r="G1666" s="27" t="str">
        <f t="array" ref="G1666">"https://earth.google.com/web/search/" &amp; A1666 &amp; "," &amp; B1666</f>
        <v>https://earth.google.com/web/search/-30.9043556831877,-55.53365988144190</v>
      </c>
      <c r="H1666" s="12"/>
      <c r="I1666" s="12"/>
      <c r="J1666" s="12"/>
      <c r="K1666" s="12"/>
      <c r="L1666" s="12"/>
      <c r="M1666" s="12"/>
      <c r="N1666" s="12"/>
      <c r="O1666" s="12"/>
      <c r="P1666" s="12"/>
      <c r="Q1666" s="12"/>
      <c r="R1666" s="12"/>
      <c r="S1666" s="12"/>
      <c r="T1666" s="12"/>
      <c r="U1666" s="12"/>
      <c r="V1666" s="12"/>
      <c r="W1666" s="12"/>
      <c r="X1666" s="12"/>
      <c r="Y1666" s="12"/>
      <c r="Z1666" s="12"/>
      <c r="AA1666" s="12"/>
    </row>
    <row r="1667" ht="26.25" customHeight="1">
      <c r="A1667" s="26" t="s">
        <v>3338</v>
      </c>
      <c r="B1667" s="26" t="s">
        <v>3339</v>
      </c>
      <c r="C1667" s="14">
        <v>2.0</v>
      </c>
      <c r="D1667" s="23">
        <v>902.0</v>
      </c>
      <c r="E1667" s="23">
        <v>25.0</v>
      </c>
      <c r="F1667" s="27" t="str">
        <f t="array" ref="F1667">"https://www.google.com/maps/search/?api=1&amp;query=" &amp; A1667 &amp; "," &amp; B1667</f>
        <v>https://www.google.com/maps/search/?api=1&amp;query=-30.9043270240460,-55.53379201864390</v>
      </c>
      <c r="G1667" s="27" t="str">
        <f t="array" ref="G1667">"https://earth.google.com/web/search/" &amp; A1667 &amp; "," &amp; B1667</f>
        <v>https://earth.google.com/web/search/-30.9043270240460,-55.53379201864390</v>
      </c>
      <c r="H1667" s="12"/>
      <c r="I1667" s="12"/>
      <c r="J1667" s="12"/>
      <c r="K1667" s="12"/>
      <c r="L1667" s="12"/>
      <c r="M1667" s="12"/>
      <c r="N1667" s="12"/>
      <c r="O1667" s="12"/>
      <c r="P1667" s="12"/>
      <c r="Q1667" s="12"/>
      <c r="R1667" s="12"/>
      <c r="S1667" s="12"/>
      <c r="T1667" s="12"/>
      <c r="U1667" s="12"/>
      <c r="V1667" s="12"/>
      <c r="W1667" s="12"/>
      <c r="X1667" s="12"/>
      <c r="Y1667" s="12"/>
      <c r="Z1667" s="12"/>
      <c r="AA1667" s="12"/>
    </row>
    <row r="1668" ht="26.25" customHeight="1">
      <c r="A1668" s="26" t="s">
        <v>3340</v>
      </c>
      <c r="B1668" s="26" t="s">
        <v>3341</v>
      </c>
      <c r="C1668" s="14">
        <v>2.0</v>
      </c>
      <c r="D1668" s="23">
        <v>902.0</v>
      </c>
      <c r="E1668" s="23">
        <v>26.0</v>
      </c>
      <c r="F1668" s="27" t="str">
        <f t="array" ref="F1668">"https://www.google.com/maps/search/?api=1&amp;query=" &amp; A1668 &amp; "," &amp; B1668</f>
        <v>https://www.google.com/maps/search/?api=1&amp;query=-3.0904274661675,-55.53381854703320</v>
      </c>
      <c r="G1668" s="27" t="str">
        <f t="array" ref="G1668">"https://earth.google.com/web/search/" &amp; A1668 &amp; "," &amp; B1668</f>
        <v>https://earth.google.com/web/search/-3.0904274661675,-55.53381854703320</v>
      </c>
      <c r="H1668" s="12"/>
      <c r="I1668" s="12"/>
      <c r="J1668" s="12"/>
      <c r="K1668" s="12"/>
      <c r="L1668" s="12"/>
      <c r="M1668" s="12"/>
      <c r="N1668" s="12"/>
      <c r="O1668" s="12"/>
      <c r="P1668" s="12"/>
      <c r="Q1668" s="12"/>
      <c r="R1668" s="12"/>
      <c r="S1668" s="12"/>
      <c r="T1668" s="12"/>
      <c r="U1668" s="12"/>
      <c r="V1668" s="12"/>
      <c r="W1668" s="12"/>
      <c r="X1668" s="12"/>
      <c r="Y1668" s="12"/>
      <c r="Z1668" s="12"/>
      <c r="AA1668" s="12"/>
    </row>
    <row r="1669" ht="26.25" customHeight="1">
      <c r="A1669" s="26" t="s">
        <v>3342</v>
      </c>
      <c r="B1669" s="26" t="s">
        <v>3343</v>
      </c>
      <c r="C1669" s="14">
        <v>2.0</v>
      </c>
      <c r="D1669" s="23">
        <v>902.0</v>
      </c>
      <c r="E1669" s="23">
        <v>27.0</v>
      </c>
      <c r="F1669" s="27" t="str">
        <f t="array" ref="F1669">"https://www.google.com/maps/search/?api=1&amp;query=" &amp; A1669 &amp; "," &amp; B1669</f>
        <v>https://www.google.com/maps/search/?api=1&amp;query=-30.9042685979801,-55.53385589457210</v>
      </c>
      <c r="G1669" s="27" t="str">
        <f t="array" ref="G1669">"https://earth.google.com/web/search/" &amp; A1669 &amp; "," &amp; B1669</f>
        <v>https://earth.google.com/web/search/-30.9042685979801,-55.53385589457210</v>
      </c>
      <c r="H1669" s="12"/>
      <c r="I1669" s="12"/>
      <c r="J1669" s="12"/>
      <c r="K1669" s="12"/>
      <c r="L1669" s="12"/>
      <c r="M1669" s="12"/>
      <c r="N1669" s="12"/>
      <c r="O1669" s="12"/>
      <c r="P1669" s="12"/>
      <c r="Q1669" s="12"/>
      <c r="R1669" s="12"/>
      <c r="S1669" s="12"/>
      <c r="T1669" s="12"/>
      <c r="U1669" s="12"/>
      <c r="V1669" s="12"/>
      <c r="W1669" s="12"/>
      <c r="X1669" s="12"/>
      <c r="Y1669" s="12"/>
      <c r="Z1669" s="12"/>
      <c r="AA1669" s="12"/>
    </row>
    <row r="1670" ht="26.25" customHeight="1">
      <c r="A1670" s="26" t="s">
        <v>3344</v>
      </c>
      <c r="B1670" s="26" t="s">
        <v>3345</v>
      </c>
      <c r="C1670" s="14">
        <v>2.0</v>
      </c>
      <c r="D1670" s="23">
        <v>902.0</v>
      </c>
      <c r="E1670" s="23">
        <v>28.0</v>
      </c>
      <c r="F1670" s="27" t="str">
        <f t="array" ref="F1670">"https://www.google.com/maps/search/?api=1&amp;query=" &amp; A1670 &amp; "," &amp; B1670</f>
        <v>https://www.google.com/maps/search/?api=1&amp;query=-30.9042613618711,-55.53388187773950</v>
      </c>
      <c r="G1670" s="27" t="str">
        <f t="array" ref="G1670">"https://earth.google.com/web/search/" &amp; A1670 &amp; "," &amp; B1670</f>
        <v>https://earth.google.com/web/search/-30.9042613618711,-55.53388187773950</v>
      </c>
      <c r="H1670" s="12"/>
      <c r="I1670" s="12"/>
      <c r="J1670" s="12"/>
      <c r="K1670" s="12"/>
      <c r="L1670" s="12"/>
      <c r="M1670" s="12"/>
      <c r="N1670" s="12"/>
      <c r="O1670" s="12"/>
      <c r="P1670" s="12"/>
      <c r="Q1670" s="12"/>
      <c r="R1670" s="12"/>
      <c r="S1670" s="12"/>
      <c r="T1670" s="12"/>
      <c r="U1670" s="12"/>
      <c r="V1670" s="12"/>
      <c r="W1670" s="12"/>
      <c r="X1670" s="12"/>
      <c r="Y1670" s="12"/>
      <c r="Z1670" s="12"/>
      <c r="AA1670" s="12"/>
    </row>
    <row r="1671" ht="26.25" customHeight="1">
      <c r="A1671" s="26" t="s">
        <v>3346</v>
      </c>
      <c r="B1671" s="26" t="s">
        <v>3347</v>
      </c>
      <c r="C1671" s="14">
        <v>2.0</v>
      </c>
      <c r="D1671" s="23">
        <v>902.0</v>
      </c>
      <c r="E1671" s="23">
        <v>29.0</v>
      </c>
      <c r="F1671" s="27" t="str">
        <f t="array" ref="F1671">"https://www.google.com/maps/search/?api=1&amp;query=" &amp; A1671 &amp; "," &amp; B1671</f>
        <v>https://www.google.com/maps/search/?api=1&amp;query=-30.9042450756868,-55.53392010316640</v>
      </c>
      <c r="G1671" s="27" t="str">
        <f t="array" ref="G1671">"https://earth.google.com/web/search/" &amp; A1671 &amp; "," &amp; B1671</f>
        <v>https://earth.google.com/web/search/-30.9042450756868,-55.53392010316640</v>
      </c>
      <c r="H1671" s="12"/>
      <c r="I1671" s="12"/>
      <c r="J1671" s="12"/>
      <c r="K1671" s="12"/>
      <c r="L1671" s="12"/>
      <c r="M1671" s="12"/>
      <c r="N1671" s="12"/>
      <c r="O1671" s="12"/>
      <c r="P1671" s="12"/>
      <c r="Q1671" s="12"/>
      <c r="R1671" s="12"/>
      <c r="S1671" s="12"/>
      <c r="T1671" s="12"/>
      <c r="U1671" s="12"/>
      <c r="V1671" s="12"/>
      <c r="W1671" s="12"/>
      <c r="X1671" s="12"/>
      <c r="Y1671" s="12"/>
      <c r="Z1671" s="12"/>
      <c r="AA1671" s="12"/>
    </row>
    <row r="1672" ht="26.25" customHeight="1">
      <c r="A1672" s="26" t="s">
        <v>3348</v>
      </c>
      <c r="B1672" s="26" t="s">
        <v>3349</v>
      </c>
      <c r="C1672" s="14">
        <v>2.0</v>
      </c>
      <c r="D1672" s="23">
        <v>902.0</v>
      </c>
      <c r="E1672" s="23">
        <v>30.0</v>
      </c>
      <c r="F1672" s="27" t="str">
        <f t="array" ref="F1672">"https://www.google.com/maps/search/?api=1&amp;query=" &amp; A1672 &amp; "," &amp; B1672</f>
        <v>https://www.google.com/maps/search/?api=1&amp;query=-30.9042077985500,-5.55340246693665</v>
      </c>
      <c r="G1672" s="27" t="str">
        <f t="array" ref="G1672">"https://earth.google.com/web/search/" &amp; A1672 &amp; "," &amp; B1672</f>
        <v>https://earth.google.com/web/search/-30.9042077985500,-5.55340246693665</v>
      </c>
      <c r="H1672" s="12"/>
      <c r="I1672" s="12"/>
      <c r="J1672" s="12"/>
      <c r="K1672" s="12"/>
      <c r="L1672" s="12"/>
      <c r="M1672" s="12"/>
      <c r="N1672" s="12"/>
      <c r="O1672" s="12"/>
      <c r="P1672" s="12"/>
      <c r="Q1672" s="12"/>
      <c r="R1672" s="12"/>
      <c r="S1672" s="12"/>
      <c r="T1672" s="12"/>
      <c r="U1672" s="12"/>
      <c r="V1672" s="12"/>
      <c r="W1672" s="12"/>
      <c r="X1672" s="12"/>
      <c r="Y1672" s="12"/>
      <c r="Z1672" s="12"/>
      <c r="AA1672" s="12"/>
    </row>
    <row r="1673" ht="26.25" customHeight="1">
      <c r="A1673" s="26" t="s">
        <v>3350</v>
      </c>
      <c r="B1673" s="26" t="s">
        <v>3351</v>
      </c>
      <c r="C1673" s="14">
        <v>2.0</v>
      </c>
      <c r="D1673" s="23">
        <v>902.0</v>
      </c>
      <c r="E1673" s="23">
        <v>31.0</v>
      </c>
      <c r="F1673" s="27" t="str">
        <f t="array" ref="F1673">"https://www.google.com/maps/search/?api=1&amp;query=" &amp; A1673 &amp; "," &amp; B1673</f>
        <v>https://www.google.com/maps/search/?api=1&amp;query=-30.9042466970235,-55.53411437843570</v>
      </c>
      <c r="G1673" s="27" t="str">
        <f t="array" ref="G1673">"https://earth.google.com/web/search/" &amp; A1673 &amp; "," &amp; B1673</f>
        <v>https://earth.google.com/web/search/-30.9042466970235,-55.53411437843570</v>
      </c>
      <c r="H1673" s="12"/>
      <c r="I1673" s="12"/>
      <c r="J1673" s="12"/>
      <c r="K1673" s="12"/>
      <c r="L1673" s="12"/>
      <c r="M1673" s="12"/>
      <c r="N1673" s="12"/>
      <c r="O1673" s="12"/>
      <c r="P1673" s="12"/>
      <c r="Q1673" s="12"/>
      <c r="R1673" s="12"/>
      <c r="S1673" s="12"/>
      <c r="T1673" s="12"/>
      <c r="U1673" s="12"/>
      <c r="V1673" s="12"/>
      <c r="W1673" s="12"/>
      <c r="X1673" s="12"/>
      <c r="Y1673" s="12"/>
      <c r="Z1673" s="12"/>
      <c r="AA1673" s="12"/>
    </row>
    <row r="1674" ht="26.25" customHeight="1">
      <c r="A1674" s="26" t="s">
        <v>3352</v>
      </c>
      <c r="B1674" s="26" t="s">
        <v>3353</v>
      </c>
      <c r="C1674" s="14">
        <v>2.0</v>
      </c>
      <c r="D1674" s="23">
        <v>902.0</v>
      </c>
      <c r="E1674" s="23">
        <v>32.0</v>
      </c>
      <c r="F1674" s="27" t="str">
        <f t="array" ref="F1674">"https://www.google.com/maps/search/?api=1&amp;query=" &amp; A1674 &amp; "," &amp; B1674</f>
        <v>https://www.google.com/maps/search/?api=1&amp;query=-30.9041556998410,-55.53406115372180</v>
      </c>
      <c r="G1674" s="27" t="str">
        <f t="array" ref="G1674">"https://earth.google.com/web/search/" &amp; A1674 &amp; "," &amp; B1674</f>
        <v>https://earth.google.com/web/search/-30.9041556998410,-55.53406115372180</v>
      </c>
      <c r="H1674" s="12"/>
      <c r="I1674" s="12"/>
      <c r="J1674" s="12"/>
      <c r="K1674" s="12"/>
      <c r="L1674" s="12"/>
      <c r="M1674" s="12"/>
      <c r="N1674" s="12"/>
      <c r="O1674" s="12"/>
      <c r="P1674" s="12"/>
      <c r="Q1674" s="12"/>
      <c r="R1674" s="12"/>
      <c r="S1674" s="12"/>
      <c r="T1674" s="12"/>
      <c r="U1674" s="12"/>
      <c r="V1674" s="12"/>
      <c r="W1674" s="12"/>
      <c r="X1674" s="12"/>
      <c r="Y1674" s="12"/>
      <c r="Z1674" s="12"/>
      <c r="AA1674" s="12"/>
    </row>
    <row r="1675" ht="26.25" customHeight="1">
      <c r="A1675" s="26" t="s">
        <v>3354</v>
      </c>
      <c r="B1675" s="26" t="s">
        <v>3355</v>
      </c>
      <c r="C1675" s="14">
        <v>2.0</v>
      </c>
      <c r="D1675" s="23">
        <v>902.0</v>
      </c>
      <c r="E1675" s="23">
        <v>33.0</v>
      </c>
      <c r="F1675" s="27" t="str">
        <f t="array" ref="F1675">"https://www.google.com/maps/search/?api=1&amp;query=" &amp; A1675 &amp; "," &amp; B1675</f>
        <v>https://www.google.com/maps/search/?api=1&amp;query=-30.9041276042100,-55.53413865619340</v>
      </c>
      <c r="G1675" s="27" t="str">
        <f t="array" ref="G1675">"https://earth.google.com/web/search/" &amp; A1675 &amp; "," &amp; B1675</f>
        <v>https://earth.google.com/web/search/-30.9041276042100,-55.53413865619340</v>
      </c>
      <c r="H1675" s="12"/>
      <c r="I1675" s="12"/>
      <c r="J1675" s="12"/>
      <c r="K1675" s="12"/>
      <c r="L1675" s="12"/>
      <c r="M1675" s="12"/>
      <c r="N1675" s="12"/>
      <c r="O1675" s="12"/>
      <c r="P1675" s="12"/>
      <c r="Q1675" s="12"/>
      <c r="R1675" s="12"/>
      <c r="S1675" s="12"/>
      <c r="T1675" s="12"/>
      <c r="U1675" s="12"/>
      <c r="V1675" s="12"/>
      <c r="W1675" s="12"/>
      <c r="X1675" s="12"/>
      <c r="Y1675" s="12"/>
      <c r="Z1675" s="12"/>
      <c r="AA1675" s="12"/>
    </row>
    <row r="1676" ht="26.25" customHeight="1">
      <c r="A1676" s="26" t="s">
        <v>3356</v>
      </c>
      <c r="B1676" s="26" t="s">
        <v>3357</v>
      </c>
      <c r="C1676" s="14">
        <v>2.0</v>
      </c>
      <c r="D1676" s="23">
        <v>499.0</v>
      </c>
      <c r="E1676" s="23">
        <v>1.0</v>
      </c>
      <c r="F1676" s="27" t="str">
        <f t="array" ref="F1676">"https://www.google.com/maps/search/?api=1&amp;query=" &amp; A1676 &amp; "," &amp; B1676</f>
        <v>https://www.google.com/maps/search/?api=1&amp;query=-30.9048665975800,-55.53273247316890</v>
      </c>
      <c r="G1676" s="27" t="str">
        <f t="array" ref="G1676">"https://earth.google.com/web/search/" &amp; A1676 &amp; "," &amp; B1676</f>
        <v>https://earth.google.com/web/search/-30.9048665975800,-55.53273247316890</v>
      </c>
      <c r="H1676" s="12"/>
      <c r="I1676" s="12"/>
      <c r="J1676" s="12"/>
      <c r="K1676" s="12"/>
      <c r="L1676" s="12"/>
      <c r="M1676" s="12"/>
      <c r="N1676" s="12"/>
      <c r="O1676" s="12"/>
      <c r="P1676" s="12"/>
      <c r="Q1676" s="12"/>
      <c r="R1676" s="12"/>
      <c r="S1676" s="12"/>
      <c r="T1676" s="12"/>
      <c r="U1676" s="12"/>
      <c r="V1676" s="12"/>
      <c r="W1676" s="12"/>
      <c r="X1676" s="12"/>
      <c r="Y1676" s="12"/>
      <c r="Z1676" s="12"/>
      <c r="AA1676" s="12"/>
    </row>
    <row r="1677" ht="26.25" customHeight="1">
      <c r="A1677" s="26" t="s">
        <v>3358</v>
      </c>
      <c r="B1677" s="26" t="s">
        <v>3359</v>
      </c>
      <c r="C1677" s="14">
        <v>2.0</v>
      </c>
      <c r="D1677" s="23">
        <v>499.0</v>
      </c>
      <c r="E1677" s="23">
        <v>2.0</v>
      </c>
      <c r="F1677" s="27" t="str">
        <f t="array" ref="F1677">"https://www.google.com/maps/search/?api=1&amp;query=" &amp; A1677 &amp; "," &amp; B1677</f>
        <v>https://www.google.com/maps/search/?api=1&amp;query=-30.9049550795986,-55.53278434665310</v>
      </c>
      <c r="G1677" s="27" t="str">
        <f t="array" ref="G1677">"https://earth.google.com/web/search/" &amp; A1677 &amp; "," &amp; B1677</f>
        <v>https://earth.google.com/web/search/-30.9049550795986,-55.53278434665310</v>
      </c>
      <c r="H1677" s="12"/>
      <c r="I1677" s="12"/>
      <c r="J1677" s="12"/>
      <c r="K1677" s="12"/>
      <c r="L1677" s="12"/>
      <c r="M1677" s="12"/>
      <c r="N1677" s="12"/>
      <c r="O1677" s="12"/>
      <c r="P1677" s="12"/>
      <c r="Q1677" s="12"/>
      <c r="R1677" s="12"/>
      <c r="S1677" s="12"/>
      <c r="T1677" s="12"/>
      <c r="U1677" s="12"/>
      <c r="V1677" s="12"/>
      <c r="W1677" s="12"/>
      <c r="X1677" s="12"/>
      <c r="Y1677" s="12"/>
      <c r="Z1677" s="12"/>
      <c r="AA1677" s="12"/>
    </row>
    <row r="1678" ht="26.25" customHeight="1">
      <c r="A1678" s="26" t="s">
        <v>3360</v>
      </c>
      <c r="B1678" s="26" t="s">
        <v>3361</v>
      </c>
      <c r="C1678" s="14">
        <v>2.0</v>
      </c>
      <c r="D1678" s="23">
        <v>499.0</v>
      </c>
      <c r="E1678" s="23">
        <v>3.0</v>
      </c>
      <c r="F1678" s="27" t="str">
        <f t="array" ref="F1678">"https://www.google.com/maps/search/?api=1&amp;query=" &amp; A1678 &amp; "," &amp; B1678</f>
        <v>https://www.google.com/maps/search/?api=1&amp;query=-30.9050128414965,-55.53281263815000</v>
      </c>
      <c r="G1678" s="27" t="str">
        <f t="array" ref="G1678">"https://earth.google.com/web/search/" &amp; A1678 &amp; "," &amp; B1678</f>
        <v>https://earth.google.com/web/search/-30.9050128414965,-55.53281263815000</v>
      </c>
      <c r="H1678" s="12"/>
      <c r="I1678" s="12"/>
      <c r="J1678" s="12"/>
      <c r="K1678" s="12"/>
      <c r="L1678" s="12"/>
      <c r="M1678" s="12"/>
      <c r="N1678" s="12"/>
      <c r="O1678" s="12"/>
      <c r="P1678" s="12"/>
      <c r="Q1678" s="12"/>
      <c r="R1678" s="12"/>
      <c r="S1678" s="12"/>
      <c r="T1678" s="12"/>
      <c r="U1678" s="12"/>
      <c r="V1678" s="12"/>
      <c r="W1678" s="12"/>
      <c r="X1678" s="12"/>
      <c r="Y1678" s="12"/>
      <c r="Z1678" s="12"/>
      <c r="AA1678" s="12"/>
    </row>
    <row r="1679" ht="26.25" customHeight="1">
      <c r="A1679" s="26" t="s">
        <v>3362</v>
      </c>
      <c r="B1679" s="26" t="s">
        <v>3363</v>
      </c>
      <c r="C1679" s="14">
        <v>2.0</v>
      </c>
      <c r="D1679" s="23">
        <v>499.0</v>
      </c>
      <c r="E1679" s="23">
        <v>4.0</v>
      </c>
      <c r="F1679" s="27" t="str">
        <f t="array" ref="F1679">"https://www.google.com/maps/search/?api=1&amp;query=" &amp; A1679 &amp; "," &amp; B1679</f>
        <v>https://www.google.com/maps/search/?api=1&amp;query=-30.9051100704545,-55.53288274504370</v>
      </c>
      <c r="G1679" s="27" t="str">
        <f t="array" ref="G1679">"https://earth.google.com/web/search/" &amp; A1679 &amp; "," &amp; B1679</f>
        <v>https://earth.google.com/web/search/-30.9051100704545,-55.53288274504370</v>
      </c>
      <c r="H1679" s="12"/>
      <c r="I1679" s="12"/>
      <c r="J1679" s="12"/>
      <c r="K1679" s="12"/>
      <c r="L1679" s="12"/>
      <c r="M1679" s="12"/>
      <c r="N1679" s="12"/>
      <c r="O1679" s="12"/>
      <c r="P1679" s="12"/>
      <c r="Q1679" s="12"/>
      <c r="R1679" s="12"/>
      <c r="S1679" s="12"/>
      <c r="T1679" s="12"/>
      <c r="U1679" s="12"/>
      <c r="V1679" s="12"/>
      <c r="W1679" s="12"/>
      <c r="X1679" s="12"/>
      <c r="Y1679" s="12"/>
      <c r="Z1679" s="12"/>
      <c r="AA1679" s="12"/>
    </row>
    <row r="1680" ht="26.25" customHeight="1">
      <c r="A1680" s="26" t="s">
        <v>3364</v>
      </c>
      <c r="B1680" s="26" t="s">
        <v>3365</v>
      </c>
      <c r="C1680" s="14">
        <v>2.0</v>
      </c>
      <c r="D1680" s="23">
        <v>499.0</v>
      </c>
      <c r="E1680" s="23">
        <v>5.0</v>
      </c>
      <c r="F1680" s="27" t="str">
        <f t="array" ref="F1680">"https://www.google.com/maps/search/?api=1&amp;query=" &amp; A1680 &amp; "," &amp; B1680</f>
        <v>https://www.google.com/maps/search/?api=1&amp;query=-30.9051847053403,-55.53294518619170</v>
      </c>
      <c r="G1680" s="27" t="str">
        <f t="array" ref="G1680">"https://earth.google.com/web/search/" &amp; A1680 &amp; "," &amp; B1680</f>
        <v>https://earth.google.com/web/search/-30.9051847053403,-55.53294518619170</v>
      </c>
      <c r="H1680" s="12"/>
      <c r="I1680" s="12"/>
      <c r="J1680" s="12"/>
      <c r="K1680" s="12"/>
      <c r="L1680" s="12"/>
      <c r="M1680" s="12"/>
      <c r="N1680" s="12"/>
      <c r="O1680" s="12"/>
      <c r="P1680" s="12"/>
      <c r="Q1680" s="12"/>
      <c r="R1680" s="12"/>
      <c r="S1680" s="12"/>
      <c r="T1680" s="12"/>
      <c r="U1680" s="12"/>
      <c r="V1680" s="12"/>
      <c r="W1680" s="12"/>
      <c r="X1680" s="12"/>
      <c r="Y1680" s="12"/>
      <c r="Z1680" s="12"/>
      <c r="AA1680" s="12"/>
    </row>
    <row r="1681" ht="26.25" customHeight="1">
      <c r="A1681" s="26" t="s">
        <v>3366</v>
      </c>
      <c r="B1681" s="26" t="s">
        <v>3367</v>
      </c>
      <c r="C1681" s="14">
        <v>2.0</v>
      </c>
      <c r="D1681" s="23">
        <v>499.0</v>
      </c>
      <c r="E1681" s="23">
        <v>6.0</v>
      </c>
      <c r="F1681" s="27" t="str">
        <f t="array" ref="F1681">"https://www.google.com/maps/search/?api=1&amp;query=" &amp; A1681 &amp; "," &amp; B1681</f>
        <v>https://www.google.com/maps/search/?api=1&amp;query=-30.9052328388159,-55.53295892557610</v>
      </c>
      <c r="G1681" s="27" t="str">
        <f t="array" ref="G1681">"https://earth.google.com/web/search/" &amp; A1681 &amp; "," &amp; B1681</f>
        <v>https://earth.google.com/web/search/-30.9052328388159,-55.53295892557610</v>
      </c>
      <c r="H1681" s="12"/>
      <c r="I1681" s="12"/>
      <c r="J1681" s="12"/>
      <c r="K1681" s="12"/>
      <c r="L1681" s="12"/>
      <c r="M1681" s="12"/>
      <c r="N1681" s="12"/>
      <c r="O1681" s="12"/>
      <c r="P1681" s="12"/>
      <c r="Q1681" s="12"/>
      <c r="R1681" s="12"/>
      <c r="S1681" s="12"/>
      <c r="T1681" s="12"/>
      <c r="U1681" s="12"/>
      <c r="V1681" s="12"/>
      <c r="W1681" s="12"/>
      <c r="X1681" s="12"/>
      <c r="Y1681" s="12"/>
      <c r="Z1681" s="12"/>
      <c r="AA1681" s="12"/>
    </row>
    <row r="1682" ht="26.25" customHeight="1">
      <c r="A1682" s="26" t="s">
        <v>3368</v>
      </c>
      <c r="B1682" s="26" t="s">
        <v>3369</v>
      </c>
      <c r="C1682" s="14">
        <v>2.0</v>
      </c>
      <c r="D1682" s="23">
        <v>499.0</v>
      </c>
      <c r="E1682" s="23">
        <v>7.0</v>
      </c>
      <c r="F1682" s="27" t="str">
        <f t="array" ref="F1682">"https://www.google.com/maps/search/?api=1&amp;query=" &amp; A1682 &amp; "," &amp; B1682</f>
        <v>https://www.google.com/maps/search/?api=1&amp;query=-30.9053043475972,-55.53302074076560</v>
      </c>
      <c r="G1682" s="27" t="str">
        <f t="array" ref="G1682">"https://earth.google.com/web/search/" &amp; A1682 &amp; "," &amp; B1682</f>
        <v>https://earth.google.com/web/search/-30.9053043475972,-55.53302074076560</v>
      </c>
      <c r="H1682" s="12"/>
      <c r="I1682" s="12"/>
      <c r="J1682" s="12"/>
      <c r="K1682" s="12"/>
      <c r="L1682" s="12"/>
      <c r="M1682" s="12"/>
      <c r="N1682" s="12"/>
      <c r="O1682" s="12"/>
      <c r="P1682" s="12"/>
      <c r="Q1682" s="12"/>
      <c r="R1682" s="12"/>
      <c r="S1682" s="12"/>
      <c r="T1682" s="12"/>
      <c r="U1682" s="12"/>
      <c r="V1682" s="12"/>
      <c r="W1682" s="12"/>
      <c r="X1682" s="12"/>
      <c r="Y1682" s="12"/>
      <c r="Z1682" s="12"/>
      <c r="AA1682" s="12"/>
    </row>
    <row r="1683" ht="26.25" customHeight="1">
      <c r="A1683" s="26" t="s">
        <v>3370</v>
      </c>
      <c r="B1683" s="26" t="s">
        <v>3371</v>
      </c>
      <c r="C1683" s="14">
        <v>2.0</v>
      </c>
      <c r="D1683" s="23">
        <v>499.0</v>
      </c>
      <c r="E1683" s="23">
        <v>8.0</v>
      </c>
      <c r="F1683" s="27" t="str">
        <f t="array" ref="F1683">"https://www.google.com/maps/search/?api=1&amp;query=" &amp; A1683 &amp; "," &amp; B1683</f>
        <v>https://www.google.com/maps/search/?api=1&amp;query=-30.9053553950916,-55.53306059394120</v>
      </c>
      <c r="G1683" s="27" t="str">
        <f t="array" ref="G1683">"https://earth.google.com/web/search/" &amp; A1683 &amp; "," &amp; B1683</f>
        <v>https://earth.google.com/web/search/-30.9053553950916,-55.53306059394120</v>
      </c>
      <c r="H1683" s="12"/>
      <c r="I1683" s="12"/>
      <c r="J1683" s="12"/>
      <c r="K1683" s="12"/>
      <c r="L1683" s="12"/>
      <c r="M1683" s="12"/>
      <c r="N1683" s="12"/>
      <c r="O1683" s="12"/>
      <c r="P1683" s="12"/>
      <c r="Q1683" s="12"/>
      <c r="R1683" s="12"/>
      <c r="S1683" s="12"/>
      <c r="T1683" s="12"/>
      <c r="U1683" s="12"/>
      <c r="V1683" s="12"/>
      <c r="W1683" s="12"/>
      <c r="X1683" s="12"/>
      <c r="Y1683" s="12"/>
      <c r="Z1683" s="12"/>
      <c r="AA1683" s="12"/>
    </row>
    <row r="1684" ht="26.25" customHeight="1">
      <c r="A1684" s="26" t="s">
        <v>3372</v>
      </c>
      <c r="B1684" s="26" t="s">
        <v>3373</v>
      </c>
      <c r="C1684" s="14">
        <v>2.0</v>
      </c>
      <c r="D1684" s="23">
        <v>499.0</v>
      </c>
      <c r="E1684" s="23">
        <v>9.0</v>
      </c>
      <c r="F1684" s="27" t="str">
        <f t="array" ref="F1684">"https://www.google.com/maps/search/?api=1&amp;query=" &amp; A1684 &amp; "," &amp; B1684</f>
        <v>https://www.google.com/maps/search/?api=1&amp;query=-30.9053731443127,-55.53306960613270</v>
      </c>
      <c r="G1684" s="27" t="str">
        <f t="array" ref="G1684">"https://earth.google.com/web/search/" &amp; A1684 &amp; "," &amp; B1684</f>
        <v>https://earth.google.com/web/search/-30.9053731443127,-55.53306960613270</v>
      </c>
      <c r="H1684" s="12"/>
      <c r="I1684" s="12"/>
      <c r="J1684" s="12"/>
      <c r="K1684" s="12"/>
      <c r="L1684" s="12"/>
      <c r="M1684" s="12"/>
      <c r="N1684" s="12"/>
      <c r="O1684" s="12"/>
      <c r="P1684" s="12"/>
      <c r="Q1684" s="12"/>
      <c r="R1684" s="12"/>
      <c r="S1684" s="12"/>
      <c r="T1684" s="12"/>
      <c r="U1684" s="12"/>
      <c r="V1684" s="12"/>
      <c r="W1684" s="12"/>
      <c r="X1684" s="12"/>
      <c r="Y1684" s="12"/>
      <c r="Z1684" s="12"/>
      <c r="AA1684" s="12"/>
    </row>
    <row r="1685" ht="26.25" customHeight="1">
      <c r="A1685" s="26" t="s">
        <v>3374</v>
      </c>
      <c r="B1685" s="26" t="s">
        <v>3375</v>
      </c>
      <c r="C1685" s="14">
        <v>2.0</v>
      </c>
      <c r="D1685" s="23">
        <v>499.0</v>
      </c>
      <c r="E1685" s="23">
        <v>10.0</v>
      </c>
      <c r="F1685" s="27" t="str">
        <f t="array" ref="F1685">"https://www.google.com/maps/search/?api=1&amp;query=" &amp; A1685 &amp; "," &amp; B1685</f>
        <v>https://www.google.com/maps/search/?api=1&amp;query=-0.3090541037991,-55.53308462348640</v>
      </c>
      <c r="G1685" s="27" t="str">
        <f t="array" ref="G1685">"https://earth.google.com/web/search/" &amp; A1685 &amp; "," &amp; B1685</f>
        <v>https://earth.google.com/web/search/-0.3090541037991,-55.53308462348640</v>
      </c>
      <c r="H1685" s="12"/>
      <c r="I1685" s="12"/>
      <c r="J1685" s="12"/>
      <c r="K1685" s="12"/>
      <c r="L1685" s="12"/>
      <c r="M1685" s="12"/>
      <c r="N1685" s="12"/>
      <c r="O1685" s="12"/>
      <c r="P1685" s="12"/>
      <c r="Q1685" s="12"/>
      <c r="R1685" s="12"/>
      <c r="S1685" s="12"/>
      <c r="T1685" s="12"/>
      <c r="U1685" s="12"/>
      <c r="V1685" s="12"/>
      <c r="W1685" s="12"/>
      <c r="X1685" s="12"/>
      <c r="Y1685" s="12"/>
      <c r="Z1685" s="12"/>
      <c r="AA1685" s="12"/>
    </row>
    <row r="1686" ht="26.25" customHeight="1">
      <c r="A1686" s="26" t="s">
        <v>3376</v>
      </c>
      <c r="B1686" s="26" t="s">
        <v>3377</v>
      </c>
      <c r="C1686" s="14">
        <v>2.0</v>
      </c>
      <c r="D1686" s="23">
        <v>499.0</v>
      </c>
      <c r="E1686" s="23">
        <v>11.0</v>
      </c>
      <c r="F1686" s="27" t="str">
        <f t="array" ref="F1686">"https://www.google.com/maps/search/?api=1&amp;query=" &amp; A1686 &amp; "," &amp; B1686</f>
        <v>https://www.google.com/maps/search/?api=1&amp;query=-30.9054362719071,-55.53311719864970</v>
      </c>
      <c r="G1686" s="27" t="str">
        <f t="array" ref="G1686">"https://earth.google.com/web/search/" &amp; A1686 &amp; "," &amp; B1686</f>
        <v>https://earth.google.com/web/search/-30.9054362719071,-55.53311719864970</v>
      </c>
      <c r="H1686" s="12"/>
      <c r="I1686" s="12"/>
      <c r="J1686" s="12"/>
      <c r="K1686" s="12"/>
      <c r="L1686" s="12"/>
      <c r="M1686" s="12"/>
      <c r="N1686" s="12"/>
      <c r="O1686" s="12"/>
      <c r="P1686" s="12"/>
      <c r="Q1686" s="12"/>
      <c r="R1686" s="12"/>
      <c r="S1686" s="12"/>
      <c r="T1686" s="12"/>
      <c r="U1686" s="12"/>
      <c r="V1686" s="12"/>
      <c r="W1686" s="12"/>
      <c r="X1686" s="12"/>
      <c r="Y1686" s="12"/>
      <c r="Z1686" s="12"/>
      <c r="AA1686" s="12"/>
    </row>
    <row r="1687" ht="26.25" customHeight="1">
      <c r="A1687" s="26" t="s">
        <v>3378</v>
      </c>
      <c r="B1687" s="26" t="s">
        <v>3379</v>
      </c>
      <c r="C1687" s="14">
        <v>2.0</v>
      </c>
      <c r="D1687" s="23">
        <v>499.0</v>
      </c>
      <c r="E1687" s="23">
        <v>12.0</v>
      </c>
      <c r="F1687" s="27" t="str">
        <f t="array" ref="F1687">"https://www.google.com/maps/search/?api=1&amp;query=" &amp; A1687 &amp; "," &amp; B1687</f>
        <v>https://www.google.com/maps/search/?api=1&amp;query=-30.9054996657740,-55.53315405836850</v>
      </c>
      <c r="G1687" s="27" t="str">
        <f t="array" ref="G1687">"https://earth.google.com/web/search/" &amp; A1687 &amp; "," &amp; B1687</f>
        <v>https://earth.google.com/web/search/-30.9054996657740,-55.53315405836850</v>
      </c>
      <c r="H1687" s="12"/>
      <c r="I1687" s="12"/>
      <c r="J1687" s="12"/>
      <c r="K1687" s="12"/>
      <c r="L1687" s="12"/>
      <c r="M1687" s="12"/>
      <c r="N1687" s="12"/>
      <c r="O1687" s="12"/>
      <c r="P1687" s="12"/>
      <c r="Q1687" s="12"/>
      <c r="R1687" s="12"/>
      <c r="S1687" s="12"/>
      <c r="T1687" s="12"/>
      <c r="U1687" s="12"/>
      <c r="V1687" s="12"/>
      <c r="W1687" s="12"/>
      <c r="X1687" s="12"/>
      <c r="Y1687" s="12"/>
      <c r="Z1687" s="12"/>
      <c r="AA1687" s="12"/>
    </row>
    <row r="1688" ht="26.25" customHeight="1">
      <c r="A1688" s="26" t="s">
        <v>3380</v>
      </c>
      <c r="B1688" s="26" t="s">
        <v>3381</v>
      </c>
      <c r="C1688" s="14">
        <v>2.0</v>
      </c>
      <c r="D1688" s="23">
        <v>499.0</v>
      </c>
      <c r="E1688" s="23">
        <v>13.0</v>
      </c>
      <c r="F1688" s="27" t="str">
        <f t="array" ref="F1688">"https://www.google.com/maps/search/?api=1&amp;query=" &amp; A1688 &amp; "," &amp; B1688</f>
        <v>https://www.google.com/maps/search/?api=1&amp;query=-30.9056029664315,-55.53304991795440</v>
      </c>
      <c r="G1688" s="27" t="str">
        <f t="array" ref="G1688">"https://earth.google.com/web/search/" &amp; A1688 &amp; "," &amp; B1688</f>
        <v>https://earth.google.com/web/search/-30.9056029664315,-55.53304991795440</v>
      </c>
      <c r="H1688" s="12"/>
      <c r="I1688" s="12"/>
      <c r="J1688" s="12"/>
      <c r="K1688" s="12"/>
      <c r="L1688" s="12"/>
      <c r="M1688" s="12"/>
      <c r="N1688" s="12"/>
      <c r="O1688" s="12"/>
      <c r="P1688" s="12"/>
      <c r="Q1688" s="12"/>
      <c r="R1688" s="12"/>
      <c r="S1688" s="12"/>
      <c r="T1688" s="12"/>
      <c r="U1688" s="12"/>
      <c r="V1688" s="12"/>
      <c r="W1688" s="12"/>
      <c r="X1688" s="12"/>
      <c r="Y1688" s="12"/>
      <c r="Z1688" s="12"/>
      <c r="AA1688" s="12"/>
    </row>
    <row r="1689" ht="26.25" customHeight="1">
      <c r="A1689" s="26" t="s">
        <v>3382</v>
      </c>
      <c r="B1689" s="26" t="s">
        <v>3383</v>
      </c>
      <c r="C1689" s="14">
        <v>2.0</v>
      </c>
      <c r="D1689" s="23">
        <v>499.0</v>
      </c>
      <c r="E1689" s="23">
        <v>14.0</v>
      </c>
      <c r="F1689" s="27" t="str">
        <f t="array" ref="F1689">"https://www.google.com/maps/search/?api=1&amp;query=" &amp; A1689 &amp; "," &amp; B1689</f>
        <v>https://www.google.com/maps/search/?api=1&amp;query=-30.9056500815972,-55.53295004200580</v>
      </c>
      <c r="G1689" s="27" t="str">
        <f t="array" ref="G1689">"https://earth.google.com/web/search/" &amp; A1689 &amp; "," &amp; B1689</f>
        <v>https://earth.google.com/web/search/-30.9056500815972,-55.53295004200580</v>
      </c>
      <c r="H1689" s="12"/>
      <c r="I1689" s="12"/>
      <c r="J1689" s="12"/>
      <c r="K1689" s="12"/>
      <c r="L1689" s="12"/>
      <c r="M1689" s="12"/>
      <c r="N1689" s="12"/>
      <c r="O1689" s="12"/>
      <c r="P1689" s="12"/>
      <c r="Q1689" s="12"/>
      <c r="R1689" s="12"/>
      <c r="S1689" s="12"/>
      <c r="T1689" s="12"/>
      <c r="U1689" s="12"/>
      <c r="V1689" s="12"/>
      <c r="W1689" s="12"/>
      <c r="X1689" s="12"/>
      <c r="Y1689" s="12"/>
      <c r="Z1689" s="12"/>
      <c r="AA1689" s="12"/>
    </row>
    <row r="1690" ht="26.25" customHeight="1">
      <c r="A1690" s="26" t="s">
        <v>3384</v>
      </c>
      <c r="B1690" s="26" t="s">
        <v>3385</v>
      </c>
      <c r="C1690" s="14">
        <v>2.0</v>
      </c>
      <c r="D1690" s="23">
        <v>499.0</v>
      </c>
      <c r="E1690" s="23">
        <v>15.0</v>
      </c>
      <c r="F1690" s="27" t="str">
        <f t="array" ref="F1690">"https://www.google.com/maps/search/?api=1&amp;query=" &amp; A1690 &amp; "," &amp; B1690</f>
        <v>https://www.google.com/maps/search/?api=1&amp;query=-3.0905688458914,-55.53286464055210</v>
      </c>
      <c r="G1690" s="27" t="str">
        <f t="array" ref="G1690">"https://earth.google.com/web/search/" &amp; A1690 &amp; "," &amp; B1690</f>
        <v>https://earth.google.com/web/search/-3.0905688458914,-55.53286464055210</v>
      </c>
      <c r="H1690" s="12"/>
      <c r="I1690" s="12"/>
      <c r="J1690" s="12"/>
      <c r="K1690" s="12"/>
      <c r="L1690" s="12"/>
      <c r="M1690" s="12"/>
      <c r="N1690" s="12"/>
      <c r="O1690" s="12"/>
      <c r="P1690" s="12"/>
      <c r="Q1690" s="12"/>
      <c r="R1690" s="12"/>
      <c r="S1690" s="12"/>
      <c r="T1690" s="12"/>
      <c r="U1690" s="12"/>
      <c r="V1690" s="12"/>
      <c r="W1690" s="12"/>
      <c r="X1690" s="12"/>
      <c r="Y1690" s="12"/>
      <c r="Z1690" s="12"/>
      <c r="AA1690" s="12"/>
    </row>
    <row r="1691" ht="26.25" customHeight="1">
      <c r="A1691" s="26" t="s">
        <v>3386</v>
      </c>
      <c r="B1691" s="26" t="s">
        <v>3387</v>
      </c>
      <c r="C1691" s="14">
        <v>2.0</v>
      </c>
      <c r="D1691" s="23">
        <v>499.0</v>
      </c>
      <c r="E1691" s="23">
        <v>16.0</v>
      </c>
      <c r="F1691" s="27" t="str">
        <f t="array" ref="F1691">"https://www.google.com/maps/search/?api=1&amp;query=" &amp; A1691 &amp; "," &amp; B1691</f>
        <v>https://www.google.com/maps/search/?api=1&amp;query=-30.9056034404802,-55.53238802026520</v>
      </c>
      <c r="G1691" s="27" t="str">
        <f t="array" ref="G1691">"https://earth.google.com/web/search/" &amp; A1691 &amp; "," &amp; B1691</f>
        <v>https://earth.google.com/web/search/-30.9056034404802,-55.53238802026520</v>
      </c>
      <c r="H1691" s="12"/>
      <c r="I1691" s="12"/>
      <c r="J1691" s="12"/>
      <c r="K1691" s="12"/>
      <c r="L1691" s="12"/>
      <c r="M1691" s="12"/>
      <c r="N1691" s="12"/>
      <c r="O1691" s="12"/>
      <c r="P1691" s="12"/>
      <c r="Q1691" s="12"/>
      <c r="R1691" s="12"/>
      <c r="S1691" s="12"/>
      <c r="T1691" s="12"/>
      <c r="U1691" s="12"/>
      <c r="V1691" s="12"/>
      <c r="W1691" s="12"/>
      <c r="X1691" s="12"/>
      <c r="Y1691" s="12"/>
      <c r="Z1691" s="12"/>
      <c r="AA1691" s="12"/>
    </row>
    <row r="1692" ht="26.25" customHeight="1">
      <c r="A1692" s="26" t="s">
        <v>3388</v>
      </c>
      <c r="B1692" s="26" t="s">
        <v>3389</v>
      </c>
      <c r="C1692" s="14">
        <v>2.0</v>
      </c>
      <c r="D1692" s="23">
        <v>499.0</v>
      </c>
      <c r="E1692" s="23">
        <v>17.0</v>
      </c>
      <c r="F1692" s="27" t="str">
        <f t="array" ref="F1692">"https://www.google.com/maps/search/?api=1&amp;query=" &amp; A1692 &amp; "," &amp; B1692</f>
        <v>https://www.google.com/maps/search/?api=1&amp;query=-30.9053805744066,-55.53223285234180</v>
      </c>
      <c r="G1692" s="27" t="str">
        <f t="array" ref="G1692">"https://earth.google.com/web/search/" &amp; A1692 &amp; "," &amp; B1692</f>
        <v>https://earth.google.com/web/search/-30.9053805744066,-55.53223285234180</v>
      </c>
      <c r="H1692" s="12"/>
      <c r="I1692" s="12"/>
      <c r="J1692" s="12"/>
      <c r="K1692" s="12"/>
      <c r="L1692" s="12"/>
      <c r="M1692" s="12"/>
      <c r="N1692" s="12"/>
      <c r="O1692" s="12"/>
      <c r="P1692" s="12"/>
      <c r="Q1692" s="12"/>
      <c r="R1692" s="12"/>
      <c r="S1692" s="12"/>
      <c r="T1692" s="12"/>
      <c r="U1692" s="12"/>
      <c r="V1692" s="12"/>
      <c r="W1692" s="12"/>
      <c r="X1692" s="12"/>
      <c r="Y1692" s="12"/>
      <c r="Z1692" s="12"/>
      <c r="AA1692" s="12"/>
    </row>
    <row r="1693" ht="26.25" customHeight="1">
      <c r="A1693" s="26" t="s">
        <v>3390</v>
      </c>
      <c r="B1693" s="26" t="s">
        <v>3391</v>
      </c>
      <c r="C1693" s="14">
        <v>2.0</v>
      </c>
      <c r="D1693" s="23">
        <v>499.0</v>
      </c>
      <c r="E1693" s="23">
        <v>18.0</v>
      </c>
      <c r="F1693" s="27" t="str">
        <f t="array" ref="F1693">"https://www.google.com/maps/search/?api=1&amp;query=" &amp; A1693 &amp; "," &amp; B1693</f>
        <v>https://www.google.com/maps/search/?api=1&amp;query=-30.9052848505986,-55.53216443765070</v>
      </c>
      <c r="G1693" s="27" t="str">
        <f t="array" ref="G1693">"https://earth.google.com/web/search/" &amp; A1693 &amp; "," &amp; B1693</f>
        <v>https://earth.google.com/web/search/-30.9052848505986,-55.53216443765070</v>
      </c>
      <c r="H1693" s="12"/>
      <c r="I1693" s="12"/>
      <c r="J1693" s="12"/>
      <c r="K1693" s="12"/>
      <c r="L1693" s="12"/>
      <c r="M1693" s="12"/>
      <c r="N1693" s="12"/>
      <c r="O1693" s="12"/>
      <c r="P1693" s="12"/>
      <c r="Q1693" s="12"/>
      <c r="R1693" s="12"/>
      <c r="S1693" s="12"/>
      <c r="T1693" s="12"/>
      <c r="U1693" s="12"/>
      <c r="V1693" s="12"/>
      <c r="W1693" s="12"/>
      <c r="X1693" s="12"/>
      <c r="Y1693" s="12"/>
      <c r="Z1693" s="12"/>
      <c r="AA1693" s="12"/>
    </row>
    <row r="1694" ht="26.25" customHeight="1">
      <c r="A1694" s="26" t="s">
        <v>3392</v>
      </c>
      <c r="B1694" s="26" t="s">
        <v>3393</v>
      </c>
      <c r="C1694" s="14">
        <v>2.0</v>
      </c>
      <c r="D1694" s="23">
        <v>499.0</v>
      </c>
      <c r="E1694" s="23">
        <v>19.0</v>
      </c>
      <c r="F1694" s="27" t="str">
        <f t="array" ref="F1694">"https://www.google.com/maps/search/?api=1&amp;query=" &amp; A1694 &amp; "," &amp; B1694</f>
        <v>https://www.google.com/maps/search/?api=1&amp;query=-30.9050158725734,-55.53237295850890</v>
      </c>
      <c r="G1694" s="27" t="str">
        <f t="array" ref="G1694">"https://earth.google.com/web/search/" &amp; A1694 &amp; "," &amp; B1694</f>
        <v>https://earth.google.com/web/search/-30.9050158725734,-55.53237295850890</v>
      </c>
      <c r="H1694" s="12"/>
      <c r="I1694" s="12"/>
      <c r="J1694" s="12"/>
      <c r="K1694" s="12"/>
      <c r="L1694" s="12"/>
      <c r="M1694" s="12"/>
      <c r="N1694" s="12"/>
      <c r="O1694" s="12"/>
      <c r="P1694" s="12"/>
      <c r="Q1694" s="12"/>
      <c r="R1694" s="12"/>
      <c r="S1694" s="12"/>
      <c r="T1694" s="12"/>
      <c r="U1694" s="12"/>
      <c r="V1694" s="12"/>
      <c r="W1694" s="12"/>
      <c r="X1694" s="12"/>
      <c r="Y1694" s="12"/>
      <c r="Z1694" s="12"/>
      <c r="AA1694" s="12"/>
    </row>
    <row r="1695" ht="26.25" customHeight="1">
      <c r="A1695" s="26" t="s">
        <v>3394</v>
      </c>
      <c r="B1695" s="26" t="s">
        <v>3395</v>
      </c>
      <c r="C1695" s="14">
        <v>2.0</v>
      </c>
      <c r="D1695" s="23">
        <v>959.0</v>
      </c>
      <c r="E1695" s="23">
        <v>1.0</v>
      </c>
      <c r="F1695" s="27" t="str">
        <f t="array" ref="F1695">"https://www.google.com/maps/search/?api=1&amp;query=" &amp; A1695 &amp; "," &amp; B1695</f>
        <v>https://www.google.com/maps/search/?api=1&amp;query=-30.9054016024006,-55.53210900159480</v>
      </c>
      <c r="G1695" s="27" t="str">
        <f t="array" ref="G1695">"https://earth.google.com/web/search/" &amp; A1695 &amp; "," &amp; B1695</f>
        <v>https://earth.google.com/web/search/-30.9054016024006,-55.53210900159480</v>
      </c>
      <c r="H1695" s="12"/>
      <c r="I1695" s="12"/>
      <c r="J1695" s="12"/>
      <c r="K1695" s="12"/>
      <c r="L1695" s="12"/>
      <c r="M1695" s="12"/>
      <c r="N1695" s="12"/>
      <c r="O1695" s="12"/>
      <c r="P1695" s="12"/>
      <c r="Q1695" s="12"/>
      <c r="R1695" s="12"/>
      <c r="S1695" s="12"/>
      <c r="T1695" s="12"/>
      <c r="U1695" s="12"/>
      <c r="V1695" s="12"/>
      <c r="W1695" s="12"/>
      <c r="X1695" s="12"/>
      <c r="Y1695" s="12"/>
      <c r="Z1695" s="12"/>
      <c r="AA1695" s="12"/>
    </row>
    <row r="1696" ht="26.25" customHeight="1">
      <c r="A1696" s="26" t="s">
        <v>3396</v>
      </c>
      <c r="B1696" s="26" t="s">
        <v>3397</v>
      </c>
      <c r="C1696" s="14">
        <v>2.0</v>
      </c>
      <c r="D1696" s="23">
        <v>959.0</v>
      </c>
      <c r="E1696" s="23">
        <v>2.0</v>
      </c>
      <c r="F1696" s="27" t="str">
        <f t="array" ref="F1696">"https://www.google.com/maps/search/?api=1&amp;query=" &amp; A1696 &amp; "," &amp; B1696</f>
        <v>https://www.google.com/maps/search/?api=1&amp;query=-30.9056225413796,-55.53228787920530</v>
      </c>
      <c r="G1696" s="27" t="str">
        <f t="array" ref="G1696">"https://earth.google.com/web/search/" &amp; A1696 &amp; "," &amp; B1696</f>
        <v>https://earth.google.com/web/search/-30.9056225413796,-55.53228787920530</v>
      </c>
      <c r="H1696" s="12"/>
      <c r="I1696" s="12"/>
      <c r="J1696" s="12"/>
      <c r="K1696" s="12"/>
      <c r="L1696" s="12"/>
      <c r="M1696" s="12"/>
      <c r="N1696" s="12"/>
      <c r="O1696" s="12"/>
      <c r="P1696" s="12"/>
      <c r="Q1696" s="12"/>
      <c r="R1696" s="12"/>
      <c r="S1696" s="12"/>
      <c r="T1696" s="12"/>
      <c r="U1696" s="12"/>
      <c r="V1696" s="12"/>
      <c r="W1696" s="12"/>
      <c r="X1696" s="12"/>
      <c r="Y1696" s="12"/>
      <c r="Z1696" s="12"/>
      <c r="AA1696" s="12"/>
    </row>
    <row r="1697" ht="26.25" customHeight="1">
      <c r="A1697" s="26" t="s">
        <v>3398</v>
      </c>
      <c r="B1697" s="26" t="s">
        <v>3399</v>
      </c>
      <c r="C1697" s="14">
        <v>2.0</v>
      </c>
      <c r="D1697" s="23">
        <v>959.0</v>
      </c>
      <c r="E1697" s="23">
        <v>3.0</v>
      </c>
      <c r="F1697" s="27" t="str">
        <f t="array" ref="F1697">"https://www.google.com/maps/search/?api=1&amp;query=" &amp; A1697 &amp; "," &amp; B1697</f>
        <v>https://www.google.com/maps/search/?api=1&amp;query=-30.9059920678830,-55.53231098928410</v>
      </c>
      <c r="G1697" s="27" t="str">
        <f t="array" ref="G1697">"https://earth.google.com/web/search/" &amp; A1697 &amp; "," &amp; B1697</f>
        <v>https://earth.google.com/web/search/-30.9059920678830,-55.53231098928410</v>
      </c>
      <c r="H1697" s="12"/>
      <c r="I1697" s="12"/>
      <c r="J1697" s="12"/>
      <c r="K1697" s="12"/>
      <c r="L1697" s="12"/>
      <c r="M1697" s="12"/>
      <c r="N1697" s="12"/>
      <c r="O1697" s="12"/>
      <c r="P1697" s="12"/>
      <c r="Q1697" s="12"/>
      <c r="R1697" s="12"/>
      <c r="S1697" s="12"/>
      <c r="T1697" s="12"/>
      <c r="U1697" s="12"/>
      <c r="V1697" s="12"/>
      <c r="W1697" s="12"/>
      <c r="X1697" s="12"/>
      <c r="Y1697" s="12"/>
      <c r="Z1697" s="12"/>
      <c r="AA1697" s="12"/>
    </row>
    <row r="1698" ht="26.25" customHeight="1">
      <c r="A1698" s="26" t="s">
        <v>3400</v>
      </c>
      <c r="B1698" s="26" t="s">
        <v>3401</v>
      </c>
      <c r="C1698" s="14">
        <v>2.0</v>
      </c>
      <c r="D1698" s="23">
        <v>959.0</v>
      </c>
      <c r="E1698" s="23">
        <v>4.0</v>
      </c>
      <c r="F1698" s="27" t="str">
        <f t="array" ref="F1698">"https://www.google.com/maps/search/?api=1&amp;query=" &amp; A1698 &amp; "," &amp; B1698</f>
        <v>https://www.google.com/maps/search/?api=1&amp;query=-30.9053254020152,-55.53181716401120</v>
      </c>
      <c r="G1698" s="27" t="str">
        <f t="array" ref="G1698">"https://earth.google.com/web/search/" &amp; A1698 &amp; "," &amp; B1698</f>
        <v>https://earth.google.com/web/search/-30.9053254020152,-55.53181716401120</v>
      </c>
      <c r="H1698" s="12"/>
      <c r="I1698" s="12"/>
      <c r="J1698" s="12"/>
      <c r="K1698" s="12"/>
      <c r="L1698" s="12"/>
      <c r="M1698" s="12"/>
      <c r="N1698" s="12"/>
      <c r="O1698" s="12"/>
      <c r="P1698" s="12"/>
      <c r="Q1698" s="12"/>
      <c r="R1698" s="12"/>
      <c r="S1698" s="12"/>
      <c r="T1698" s="12"/>
      <c r="U1698" s="12"/>
      <c r="V1698" s="12"/>
      <c r="W1698" s="12"/>
      <c r="X1698" s="12"/>
      <c r="Y1698" s="12"/>
      <c r="Z1698" s="12"/>
      <c r="AA1698" s="12"/>
    </row>
    <row r="1699" ht="26.25" customHeight="1">
      <c r="A1699" s="26" t="s">
        <v>3402</v>
      </c>
      <c r="B1699" s="26" t="s">
        <v>3403</v>
      </c>
      <c r="C1699" s="14">
        <v>2.0</v>
      </c>
      <c r="D1699" s="23">
        <v>236.0</v>
      </c>
      <c r="E1699" s="23">
        <v>1.0</v>
      </c>
      <c r="F1699" s="27" t="str">
        <f t="array" ref="F1699">"https://www.google.com/maps/search/?api=1&amp;query=" &amp; A1699 &amp; "," &amp; B1699</f>
        <v>https://www.google.com/maps/search/?api=1&amp;query=-30.9035443010804,-55.53739517481720</v>
      </c>
      <c r="G1699" s="27" t="str">
        <f t="array" ref="G1699">"https://earth.google.com/web/search/" &amp; A1699 &amp; "," &amp; B1699</f>
        <v>https://earth.google.com/web/search/-30.9035443010804,-55.53739517481720</v>
      </c>
      <c r="H1699" s="12"/>
      <c r="I1699" s="12"/>
      <c r="J1699" s="12"/>
      <c r="K1699" s="12"/>
      <c r="L1699" s="12"/>
      <c r="M1699" s="12"/>
      <c r="N1699" s="12"/>
      <c r="O1699" s="12"/>
      <c r="P1699" s="12"/>
      <c r="Q1699" s="12"/>
      <c r="R1699" s="12"/>
      <c r="S1699" s="12"/>
      <c r="T1699" s="12"/>
      <c r="U1699" s="12"/>
      <c r="V1699" s="12"/>
      <c r="W1699" s="12"/>
      <c r="X1699" s="12"/>
      <c r="Y1699" s="12"/>
      <c r="Z1699" s="12"/>
      <c r="AA1699" s="12"/>
    </row>
    <row r="1700" ht="26.25" customHeight="1">
      <c r="A1700" s="26" t="s">
        <v>3404</v>
      </c>
      <c r="B1700" s="26" t="s">
        <v>3405</v>
      </c>
      <c r="C1700" s="14">
        <v>2.0</v>
      </c>
      <c r="D1700" s="23">
        <v>236.0</v>
      </c>
      <c r="E1700" s="23">
        <v>2.0</v>
      </c>
      <c r="F1700" s="27" t="str">
        <f t="array" ref="F1700">"https://www.google.com/maps/search/?api=1&amp;query=" &amp; A1700 &amp; "," &amp; B1700</f>
        <v>https://www.google.com/maps/search/?api=1&amp;query=-30.9036028850197,-55.53740400801780</v>
      </c>
      <c r="G1700" s="27" t="str">
        <f t="array" ref="G1700">"https://earth.google.com/web/search/" &amp; A1700 &amp; "," &amp; B1700</f>
        <v>https://earth.google.com/web/search/-30.9036028850197,-55.53740400801780</v>
      </c>
      <c r="H1700" s="12"/>
      <c r="I1700" s="12"/>
      <c r="J1700" s="12"/>
      <c r="K1700" s="12"/>
      <c r="L1700" s="12"/>
      <c r="M1700" s="12"/>
      <c r="N1700" s="12"/>
      <c r="O1700" s="12"/>
      <c r="P1700" s="12"/>
      <c r="Q1700" s="12"/>
      <c r="R1700" s="12"/>
      <c r="S1700" s="12"/>
      <c r="T1700" s="12"/>
      <c r="U1700" s="12"/>
      <c r="V1700" s="12"/>
      <c r="W1700" s="12"/>
      <c r="X1700" s="12"/>
      <c r="Y1700" s="12"/>
      <c r="Z1700" s="12"/>
      <c r="AA1700" s="12"/>
    </row>
    <row r="1701" ht="26.25" customHeight="1">
      <c r="A1701" s="26" t="s">
        <v>3406</v>
      </c>
      <c r="B1701" s="26" t="s">
        <v>3407</v>
      </c>
      <c r="C1701" s="14">
        <v>2.0</v>
      </c>
      <c r="D1701" s="23">
        <v>236.0</v>
      </c>
      <c r="E1701" s="23">
        <v>3.0</v>
      </c>
      <c r="F1701" s="27" t="str">
        <f t="array" ref="F1701">"https://www.google.com/maps/search/?api=1&amp;query=" &amp; A1701 &amp; "," &amp; B1701</f>
        <v>https://www.google.com/maps/search/?api=1&amp;query=-30.9036114757534,-55.53745553100010</v>
      </c>
      <c r="G1701" s="27" t="str">
        <f t="array" ref="G1701">"https://earth.google.com/web/search/" &amp; A1701 &amp; "," &amp; B1701</f>
        <v>https://earth.google.com/web/search/-30.9036114757534,-55.53745553100010</v>
      </c>
      <c r="H1701" s="12"/>
      <c r="I1701" s="12"/>
      <c r="J1701" s="12"/>
      <c r="K1701" s="12"/>
      <c r="L1701" s="12"/>
      <c r="M1701" s="12"/>
      <c r="N1701" s="12"/>
      <c r="O1701" s="12"/>
      <c r="P1701" s="12"/>
      <c r="Q1701" s="12"/>
      <c r="R1701" s="12"/>
      <c r="S1701" s="12"/>
      <c r="T1701" s="12"/>
      <c r="U1701" s="12"/>
      <c r="V1701" s="12"/>
      <c r="W1701" s="12"/>
      <c r="X1701" s="12"/>
      <c r="Y1701" s="12"/>
      <c r="Z1701" s="12"/>
      <c r="AA1701" s="12"/>
    </row>
    <row r="1702" ht="26.25" customHeight="1">
      <c r="A1702" s="26" t="s">
        <v>3408</v>
      </c>
      <c r="B1702" s="26" t="s">
        <v>3409</v>
      </c>
      <c r="C1702" s="14">
        <v>2.0</v>
      </c>
      <c r="D1702" s="23">
        <v>236.0</v>
      </c>
      <c r="E1702" s="23">
        <v>4.0</v>
      </c>
      <c r="F1702" s="27" t="str">
        <f t="array" ref="F1702">"https://www.google.com/maps/search/?api=1&amp;query=" &amp; A1702 &amp; "," &amp; B1702</f>
        <v>https://www.google.com/maps/search/?api=1&amp;query=-30.9036602833817,-55.53747606527380</v>
      </c>
      <c r="G1702" s="27" t="str">
        <f t="array" ref="G1702">"https://earth.google.com/web/search/" &amp; A1702 &amp; "," &amp; B1702</f>
        <v>https://earth.google.com/web/search/-30.9036602833817,-55.53747606527380</v>
      </c>
      <c r="H1702" s="12"/>
      <c r="I1702" s="12"/>
      <c r="J1702" s="12"/>
      <c r="K1702" s="12"/>
      <c r="L1702" s="12"/>
      <c r="M1702" s="12"/>
      <c r="N1702" s="12"/>
      <c r="O1702" s="12"/>
      <c r="P1702" s="12"/>
      <c r="Q1702" s="12"/>
      <c r="R1702" s="12"/>
      <c r="S1702" s="12"/>
      <c r="T1702" s="12"/>
      <c r="U1702" s="12"/>
      <c r="V1702" s="12"/>
      <c r="W1702" s="12"/>
      <c r="X1702" s="12"/>
      <c r="Y1702" s="12"/>
      <c r="Z1702" s="12"/>
      <c r="AA1702" s="12"/>
    </row>
    <row r="1703" ht="26.25" customHeight="1">
      <c r="A1703" s="26" t="s">
        <v>3410</v>
      </c>
      <c r="B1703" s="26" t="s">
        <v>3411</v>
      </c>
      <c r="C1703" s="14">
        <v>2.0</v>
      </c>
      <c r="D1703" s="23">
        <v>236.0</v>
      </c>
      <c r="E1703" s="23">
        <v>5.0</v>
      </c>
      <c r="F1703" s="27" t="str">
        <f t="array" ref="F1703">"https://www.google.com/maps/search/?api=1&amp;query=" &amp; A1703 &amp; "," &amp; B1703</f>
        <v>https://www.google.com/maps/search/?api=1&amp;query=-30.9042081732914,-55.53775290825440</v>
      </c>
      <c r="G1703" s="27" t="str">
        <f t="array" ref="G1703">"https://earth.google.com/web/search/" &amp; A1703 &amp; "," &amp; B1703</f>
        <v>https://earth.google.com/web/search/-30.9042081732914,-55.53775290825440</v>
      </c>
      <c r="H1703" s="12"/>
      <c r="I1703" s="12"/>
      <c r="J1703" s="12"/>
      <c r="K1703" s="12"/>
      <c r="L1703" s="12"/>
      <c r="M1703" s="12"/>
      <c r="N1703" s="12"/>
      <c r="O1703" s="12"/>
      <c r="P1703" s="12"/>
      <c r="Q1703" s="12"/>
      <c r="R1703" s="12"/>
      <c r="S1703" s="12"/>
      <c r="T1703" s="12"/>
      <c r="U1703" s="12"/>
      <c r="V1703" s="12"/>
      <c r="W1703" s="12"/>
      <c r="X1703" s="12"/>
      <c r="Y1703" s="12"/>
      <c r="Z1703" s="12"/>
      <c r="AA1703" s="12"/>
    </row>
    <row r="1704" ht="26.25" customHeight="1">
      <c r="A1704" s="26" t="s">
        <v>3412</v>
      </c>
      <c r="B1704" s="26" t="s">
        <v>3413</v>
      </c>
      <c r="C1704" s="14">
        <v>2.0</v>
      </c>
      <c r="D1704" s="23">
        <v>236.0</v>
      </c>
      <c r="E1704" s="23">
        <v>6.0</v>
      </c>
      <c r="F1704" s="27" t="str">
        <f t="array" ref="F1704">"https://www.google.com/maps/search/?api=1&amp;query=" &amp; A1704 &amp; "," &amp; B1704</f>
        <v>https://www.google.com/maps/search/?api=1&amp;query=-30.9042625492370,-55.53770038787400</v>
      </c>
      <c r="G1704" s="27" t="str">
        <f t="array" ref="G1704">"https://earth.google.com/web/search/" &amp; A1704 &amp; "," &amp; B1704</f>
        <v>https://earth.google.com/web/search/-30.9042625492370,-55.53770038787400</v>
      </c>
      <c r="H1704" s="12"/>
      <c r="I1704" s="12"/>
      <c r="J1704" s="12"/>
      <c r="K1704" s="12"/>
      <c r="L1704" s="12"/>
      <c r="M1704" s="12"/>
      <c r="N1704" s="12"/>
      <c r="O1704" s="12"/>
      <c r="P1704" s="12"/>
      <c r="Q1704" s="12"/>
      <c r="R1704" s="12"/>
      <c r="S1704" s="12"/>
      <c r="T1704" s="12"/>
      <c r="U1704" s="12"/>
      <c r="V1704" s="12"/>
      <c r="W1704" s="12"/>
      <c r="X1704" s="12"/>
      <c r="Y1704" s="12"/>
      <c r="Z1704" s="12"/>
      <c r="AA1704" s="12"/>
    </row>
    <row r="1705" ht="26.25" customHeight="1">
      <c r="A1705" s="26" t="s">
        <v>3414</v>
      </c>
      <c r="B1705" s="26" t="s">
        <v>3415</v>
      </c>
      <c r="C1705" s="14">
        <v>2.0</v>
      </c>
      <c r="D1705" s="23">
        <v>236.0</v>
      </c>
      <c r="E1705" s="23">
        <v>7.0</v>
      </c>
      <c r="F1705" s="27" t="str">
        <f t="array" ref="F1705">"https://www.google.com/maps/search/?api=1&amp;query=" &amp; A1705 &amp; "," &amp; B1705</f>
        <v>https://www.google.com/maps/search/?api=1&amp;query=-0.3090439056223,-55.53747821852900</v>
      </c>
      <c r="G1705" s="27" t="str">
        <f t="array" ref="G1705">"https://earth.google.com/web/search/" &amp; A1705 &amp; "," &amp; B1705</f>
        <v>https://earth.google.com/web/search/-0.3090439056223,-55.53747821852900</v>
      </c>
      <c r="H1705" s="12"/>
      <c r="I1705" s="12"/>
      <c r="J1705" s="12"/>
      <c r="K1705" s="12"/>
      <c r="L1705" s="12"/>
      <c r="M1705" s="12"/>
      <c r="N1705" s="12"/>
      <c r="O1705" s="12"/>
      <c r="P1705" s="12"/>
      <c r="Q1705" s="12"/>
      <c r="R1705" s="12"/>
      <c r="S1705" s="12"/>
      <c r="T1705" s="12"/>
      <c r="U1705" s="12"/>
      <c r="V1705" s="12"/>
      <c r="W1705" s="12"/>
      <c r="X1705" s="12"/>
      <c r="Y1705" s="12"/>
      <c r="Z1705" s="12"/>
      <c r="AA1705" s="12"/>
    </row>
    <row r="1706" ht="26.25" customHeight="1">
      <c r="A1706" s="26" t="s">
        <v>3416</v>
      </c>
      <c r="B1706" s="26" t="s">
        <v>3417</v>
      </c>
      <c r="C1706" s="14">
        <v>2.0</v>
      </c>
      <c r="D1706" s="23">
        <v>236.0</v>
      </c>
      <c r="E1706" s="23">
        <v>8.0</v>
      </c>
      <c r="F1706" s="27" t="str">
        <f t="array" ref="F1706">"https://www.google.com/maps/search/?api=1&amp;query=" &amp; A1706 &amp; "," &amp; B1706</f>
        <v>https://www.google.com/maps/search/?api=1&amp;query=-30.9044567029329,-55.53731127326440</v>
      </c>
      <c r="G1706" s="27" t="str">
        <f t="array" ref="G1706">"https://earth.google.com/web/search/" &amp; A1706 &amp; "," &amp; B1706</f>
        <v>https://earth.google.com/web/search/-30.9044567029329,-55.53731127326440</v>
      </c>
      <c r="H1706" s="12"/>
      <c r="I1706" s="12"/>
      <c r="J1706" s="12"/>
      <c r="K1706" s="12"/>
      <c r="L1706" s="12"/>
      <c r="M1706" s="12"/>
      <c r="N1706" s="12"/>
      <c r="O1706" s="12"/>
      <c r="P1706" s="12"/>
      <c r="Q1706" s="12"/>
      <c r="R1706" s="12"/>
      <c r="S1706" s="12"/>
      <c r="T1706" s="12"/>
      <c r="U1706" s="12"/>
      <c r="V1706" s="12"/>
      <c r="W1706" s="12"/>
      <c r="X1706" s="12"/>
      <c r="Y1706" s="12"/>
      <c r="Z1706" s="12"/>
      <c r="AA1706" s="12"/>
    </row>
    <row r="1707" ht="26.25" customHeight="1">
      <c r="A1707" s="26" t="s">
        <v>3418</v>
      </c>
      <c r="B1707" s="26" t="s">
        <v>3419</v>
      </c>
      <c r="C1707" s="14">
        <v>2.0</v>
      </c>
      <c r="D1707" s="23">
        <v>236.0</v>
      </c>
      <c r="E1707" s="23">
        <v>9.0</v>
      </c>
      <c r="F1707" s="27" t="str">
        <f t="array" ref="F1707">"https://www.google.com/maps/search/?api=1&amp;query=" &amp; A1707 &amp; "," &amp; B1707</f>
        <v>https://www.google.com/maps/search/?api=1&amp;query=-3.0904586180613,-5.55369677892074</v>
      </c>
      <c r="G1707" s="27" t="str">
        <f t="array" ref="G1707">"https://earth.google.com/web/search/" &amp; A1707 &amp; "," &amp; B1707</f>
        <v>https://earth.google.com/web/search/-3.0904586180613,-5.55369677892074</v>
      </c>
      <c r="H1707" s="12"/>
      <c r="I1707" s="12"/>
      <c r="J1707" s="12"/>
      <c r="K1707" s="12"/>
      <c r="L1707" s="12"/>
      <c r="M1707" s="12"/>
      <c r="N1707" s="12"/>
      <c r="O1707" s="12"/>
      <c r="P1707" s="12"/>
      <c r="Q1707" s="12"/>
      <c r="R1707" s="12"/>
      <c r="S1707" s="12"/>
      <c r="T1707" s="12"/>
      <c r="U1707" s="12"/>
      <c r="V1707" s="12"/>
      <c r="W1707" s="12"/>
      <c r="X1707" s="12"/>
      <c r="Y1707" s="12"/>
      <c r="Z1707" s="12"/>
      <c r="AA1707" s="12"/>
    </row>
    <row r="1708" ht="26.25" customHeight="1">
      <c r="A1708" s="26" t="s">
        <v>3420</v>
      </c>
      <c r="B1708" s="26" t="s">
        <v>3421</v>
      </c>
      <c r="C1708" s="14">
        <v>2.0</v>
      </c>
      <c r="D1708" s="23">
        <v>904.0</v>
      </c>
      <c r="E1708" s="23">
        <v>1.0</v>
      </c>
      <c r="F1708" s="27" t="str">
        <f t="array" ref="F1708">"https://www.google.com/maps/search/?api=1&amp;query=" &amp; A1708 &amp; "," &amp; B1708</f>
        <v>https://www.google.com/maps/search/?api=1&amp;query=-30.9046429872192,-55.53566190265220</v>
      </c>
      <c r="G1708" s="27" t="str">
        <f t="array" ref="G1708">"https://earth.google.com/web/search/" &amp; A1708 &amp; "," &amp; B1708</f>
        <v>https://earth.google.com/web/search/-30.9046429872192,-55.53566190265220</v>
      </c>
      <c r="H1708" s="12"/>
      <c r="I1708" s="12"/>
      <c r="J1708" s="12"/>
      <c r="K1708" s="12"/>
      <c r="L1708" s="12"/>
      <c r="M1708" s="12"/>
      <c r="N1708" s="12"/>
      <c r="O1708" s="12"/>
      <c r="P1708" s="12"/>
      <c r="Q1708" s="12"/>
      <c r="R1708" s="12"/>
      <c r="S1708" s="12"/>
      <c r="T1708" s="12"/>
      <c r="U1708" s="12"/>
      <c r="V1708" s="12"/>
      <c r="W1708" s="12"/>
      <c r="X1708" s="12"/>
      <c r="Y1708" s="12"/>
      <c r="Z1708" s="12"/>
      <c r="AA1708" s="12"/>
    </row>
    <row r="1709" ht="26.25" customHeight="1">
      <c r="A1709" s="26" t="s">
        <v>3422</v>
      </c>
      <c r="B1709" s="26" t="s">
        <v>3423</v>
      </c>
      <c r="C1709" s="14">
        <v>2.0</v>
      </c>
      <c r="D1709" s="23">
        <v>904.0</v>
      </c>
      <c r="E1709" s="23">
        <v>2.0</v>
      </c>
      <c r="F1709" s="27" t="str">
        <f t="array" ref="F1709">"https://www.google.com/maps/search/?api=1&amp;query=" &amp; A1709 &amp; "," &amp; B1709</f>
        <v>https://www.google.com/maps/search/?api=1&amp;query=-30.9047709188986,-55.53579082693620</v>
      </c>
      <c r="G1709" s="27" t="str">
        <f t="array" ref="G1709">"https://earth.google.com/web/search/" &amp; A1709 &amp; "," &amp; B1709</f>
        <v>https://earth.google.com/web/search/-30.9047709188986,-55.53579082693620</v>
      </c>
      <c r="H1709" s="12"/>
      <c r="I1709" s="12"/>
      <c r="J1709" s="12"/>
      <c r="K1709" s="12"/>
      <c r="L1709" s="12"/>
      <c r="M1709" s="12"/>
      <c r="N1709" s="12"/>
      <c r="O1709" s="12"/>
      <c r="P1709" s="12"/>
      <c r="Q1709" s="12"/>
      <c r="R1709" s="12"/>
      <c r="S1709" s="12"/>
      <c r="T1709" s="12"/>
      <c r="U1709" s="12"/>
      <c r="V1709" s="12"/>
      <c r="W1709" s="12"/>
      <c r="X1709" s="12"/>
      <c r="Y1709" s="12"/>
      <c r="Z1709" s="12"/>
      <c r="AA1709" s="12"/>
    </row>
    <row r="1710" ht="26.25" customHeight="1">
      <c r="A1710" s="26" t="s">
        <v>3424</v>
      </c>
      <c r="B1710" s="26" t="s">
        <v>3425</v>
      </c>
      <c r="C1710" s="14">
        <v>2.0</v>
      </c>
      <c r="D1710" s="23">
        <v>904.0</v>
      </c>
      <c r="E1710" s="23">
        <v>3.0</v>
      </c>
      <c r="F1710" s="27" t="str">
        <f t="array" ref="F1710">"https://www.google.com/maps/search/?api=1&amp;query=" &amp; A1710 &amp; "," &amp; B1710</f>
        <v>https://www.google.com/maps/search/?api=1&amp;query=-30.9048450266388,-55.53580943829780</v>
      </c>
      <c r="G1710" s="27" t="str">
        <f t="array" ref="G1710">"https://earth.google.com/web/search/" &amp; A1710 &amp; "," &amp; B1710</f>
        <v>https://earth.google.com/web/search/-30.9048450266388,-55.53580943829780</v>
      </c>
      <c r="H1710" s="12"/>
      <c r="I1710" s="12"/>
      <c r="J1710" s="12"/>
      <c r="K1710" s="12"/>
      <c r="L1710" s="12"/>
      <c r="M1710" s="12"/>
      <c r="N1710" s="12"/>
      <c r="O1710" s="12"/>
      <c r="P1710" s="12"/>
      <c r="Q1710" s="12"/>
      <c r="R1710" s="12"/>
      <c r="S1710" s="12"/>
      <c r="T1710" s="12"/>
      <c r="U1710" s="12"/>
      <c r="V1710" s="12"/>
      <c r="W1710" s="12"/>
      <c r="X1710" s="12"/>
      <c r="Y1710" s="12"/>
      <c r="Z1710" s="12"/>
      <c r="AA1710" s="12"/>
    </row>
    <row r="1711" ht="26.25" customHeight="1">
      <c r="A1711" s="26" t="s">
        <v>3426</v>
      </c>
      <c r="B1711" s="26" t="s">
        <v>3427</v>
      </c>
      <c r="C1711" s="14">
        <v>2.0</v>
      </c>
      <c r="D1711" s="23">
        <v>904.0</v>
      </c>
      <c r="E1711" s="23">
        <v>4.0</v>
      </c>
      <c r="F1711" s="27" t="str">
        <f t="array" ref="F1711">"https://www.google.com/maps/search/?api=1&amp;query=" &amp; A1711 &amp; "," &amp; B1711</f>
        <v>https://www.google.com/maps/search/?api=1&amp;query=-30.9048812286594,-55.53583895883330</v>
      </c>
      <c r="G1711" s="27" t="str">
        <f t="array" ref="G1711">"https://earth.google.com/web/search/" &amp; A1711 &amp; "," &amp; B1711</f>
        <v>https://earth.google.com/web/search/-30.9048812286594,-55.53583895883330</v>
      </c>
      <c r="H1711" s="12"/>
      <c r="I1711" s="12"/>
      <c r="J1711" s="12"/>
      <c r="K1711" s="12"/>
      <c r="L1711" s="12"/>
      <c r="M1711" s="12"/>
      <c r="N1711" s="12"/>
      <c r="O1711" s="12"/>
      <c r="P1711" s="12"/>
      <c r="Q1711" s="12"/>
      <c r="R1711" s="12"/>
      <c r="S1711" s="12"/>
      <c r="T1711" s="12"/>
      <c r="U1711" s="12"/>
      <c r="V1711" s="12"/>
      <c r="W1711" s="12"/>
      <c r="X1711" s="12"/>
      <c r="Y1711" s="12"/>
      <c r="Z1711" s="12"/>
      <c r="AA1711" s="12"/>
    </row>
    <row r="1712" ht="26.25" customHeight="1">
      <c r="A1712" s="26" t="s">
        <v>3428</v>
      </c>
      <c r="B1712" s="26" t="s">
        <v>3429</v>
      </c>
      <c r="C1712" s="14">
        <v>2.0</v>
      </c>
      <c r="D1712" s="23">
        <v>904.0</v>
      </c>
      <c r="E1712" s="23">
        <v>5.0</v>
      </c>
      <c r="F1712" s="27" t="str">
        <f t="array" ref="F1712">"https://www.google.com/maps/search/?api=1&amp;query=" &amp; A1712 &amp; "," &amp; B1712</f>
        <v>https://www.google.com/maps/search/?api=1&amp;query=-30.9049482077906,-55.53589341746150</v>
      </c>
      <c r="G1712" s="27" t="str">
        <f t="array" ref="G1712">"https://earth.google.com/web/search/" &amp; A1712 &amp; "," &amp; B1712</f>
        <v>https://earth.google.com/web/search/-30.9049482077906,-55.53589341746150</v>
      </c>
      <c r="H1712" s="12"/>
      <c r="I1712" s="12"/>
      <c r="J1712" s="12"/>
      <c r="K1712" s="12"/>
      <c r="L1712" s="12"/>
      <c r="M1712" s="12"/>
      <c r="N1712" s="12"/>
      <c r="O1712" s="12"/>
      <c r="P1712" s="12"/>
      <c r="Q1712" s="12"/>
      <c r="R1712" s="12"/>
      <c r="S1712" s="12"/>
      <c r="T1712" s="12"/>
      <c r="U1712" s="12"/>
      <c r="V1712" s="12"/>
      <c r="W1712" s="12"/>
      <c r="X1712" s="12"/>
      <c r="Y1712" s="12"/>
      <c r="Z1712" s="12"/>
      <c r="AA1712" s="12"/>
    </row>
    <row r="1713" ht="26.25" customHeight="1">
      <c r="A1713" s="26" t="s">
        <v>3430</v>
      </c>
      <c r="B1713" s="26" t="s">
        <v>3431</v>
      </c>
      <c r="C1713" s="14">
        <v>2.0</v>
      </c>
      <c r="D1713" s="23">
        <v>904.0</v>
      </c>
      <c r="E1713" s="23">
        <v>6.0</v>
      </c>
      <c r="F1713" s="27" t="str">
        <f t="array" ref="F1713">"https://www.google.com/maps/search/?api=1&amp;query=" &amp; A1713 &amp; "," &amp; B1713</f>
        <v>https://www.google.com/maps/search/?api=1&amp;query=-30.9054624771556,-55.53543931500300</v>
      </c>
      <c r="G1713" s="27" t="str">
        <f t="array" ref="G1713">"https://earth.google.com/web/search/" &amp; A1713 &amp; "," &amp; B1713</f>
        <v>https://earth.google.com/web/search/-30.9054624771556,-55.53543931500300</v>
      </c>
      <c r="H1713" s="12"/>
      <c r="I1713" s="12"/>
      <c r="J1713" s="12"/>
      <c r="K1713" s="12"/>
      <c r="L1713" s="12"/>
      <c r="M1713" s="12"/>
      <c r="N1713" s="12"/>
      <c r="O1713" s="12"/>
      <c r="P1713" s="12"/>
      <c r="Q1713" s="12"/>
      <c r="R1713" s="12"/>
      <c r="S1713" s="12"/>
      <c r="T1713" s="12"/>
      <c r="U1713" s="12"/>
      <c r="V1713" s="12"/>
      <c r="W1713" s="12"/>
      <c r="X1713" s="12"/>
      <c r="Y1713" s="12"/>
      <c r="Z1713" s="12"/>
      <c r="AA1713" s="12"/>
    </row>
    <row r="1714" ht="26.25" customHeight="1">
      <c r="A1714" s="26" t="s">
        <v>3432</v>
      </c>
      <c r="B1714" s="26" t="s">
        <v>3433</v>
      </c>
      <c r="C1714" s="14">
        <v>2.0</v>
      </c>
      <c r="D1714" s="23">
        <v>904.0</v>
      </c>
      <c r="E1714" s="23">
        <v>7.0</v>
      </c>
      <c r="F1714" s="27" t="str">
        <f t="array" ref="F1714">"https://www.google.com/maps/search/?api=1&amp;query=" &amp; A1714 &amp; "," &amp; B1714</f>
        <v>https://www.google.com/maps/search/?api=1&amp;query=-30.9053333568741,-5.55353124577269</v>
      </c>
      <c r="G1714" s="27" t="str">
        <f t="array" ref="G1714">"https://earth.google.com/web/search/" &amp; A1714 &amp; "," &amp; B1714</f>
        <v>https://earth.google.com/web/search/-30.9053333568741,-5.55353124577269</v>
      </c>
      <c r="H1714" s="12"/>
      <c r="I1714" s="12"/>
      <c r="J1714" s="12"/>
      <c r="K1714" s="12"/>
      <c r="L1714" s="12"/>
      <c r="M1714" s="12"/>
      <c r="N1714" s="12"/>
      <c r="O1714" s="12"/>
      <c r="P1714" s="12"/>
      <c r="Q1714" s="12"/>
      <c r="R1714" s="12"/>
      <c r="S1714" s="12"/>
      <c r="T1714" s="12"/>
      <c r="U1714" s="12"/>
      <c r="V1714" s="12"/>
      <c r="W1714" s="12"/>
      <c r="X1714" s="12"/>
      <c r="Y1714" s="12"/>
      <c r="Z1714" s="12"/>
      <c r="AA1714" s="12"/>
    </row>
    <row r="1715" ht="26.25" customHeight="1">
      <c r="A1715" s="26" t="s">
        <v>3434</v>
      </c>
      <c r="B1715" s="26" t="s">
        <v>3435</v>
      </c>
      <c r="C1715" s="14">
        <v>2.0</v>
      </c>
      <c r="D1715" s="23">
        <v>904.0</v>
      </c>
      <c r="E1715" s="23">
        <v>8.0</v>
      </c>
      <c r="F1715" s="27" t="str">
        <f t="array" ref="F1715">"https://www.google.com/maps/search/?api=1&amp;query=" &amp; A1715 &amp; "," &amp; B1715</f>
        <v>https://www.google.com/maps/search/?api=1&amp;query=-30.9049569593198,-5.55350165306799</v>
      </c>
      <c r="G1715" s="27" t="str">
        <f t="array" ref="G1715">"https://earth.google.com/web/search/" &amp; A1715 &amp; "," &amp; B1715</f>
        <v>https://earth.google.com/web/search/-30.9049569593198,-5.55350165306799</v>
      </c>
      <c r="H1715" s="12"/>
      <c r="I1715" s="12"/>
      <c r="J1715" s="12"/>
      <c r="K1715" s="12"/>
      <c r="L1715" s="12"/>
      <c r="M1715" s="12"/>
      <c r="N1715" s="12"/>
      <c r="O1715" s="12"/>
      <c r="P1715" s="12"/>
      <c r="Q1715" s="12"/>
      <c r="R1715" s="12"/>
      <c r="S1715" s="12"/>
      <c r="T1715" s="12"/>
      <c r="U1715" s="12"/>
      <c r="V1715" s="12"/>
      <c r="W1715" s="12"/>
      <c r="X1715" s="12"/>
      <c r="Y1715" s="12"/>
      <c r="Z1715" s="12"/>
      <c r="AA1715" s="12"/>
    </row>
    <row r="1716" ht="26.25" customHeight="1">
      <c r="A1716" s="26" t="s">
        <v>3436</v>
      </c>
      <c r="B1716" s="26" t="s">
        <v>3437</v>
      </c>
      <c r="C1716" s="14">
        <v>2.0</v>
      </c>
      <c r="D1716" s="23">
        <v>904.0</v>
      </c>
      <c r="E1716" s="23">
        <v>9.0</v>
      </c>
      <c r="F1716" s="27" t="str">
        <f t="array" ref="F1716">"https://www.google.com/maps/search/?api=1&amp;query=" &amp; A1716 &amp; "," &amp; B1716</f>
        <v>https://www.google.com/maps/search/?api=1&amp;query=-30.9047436847719,-55.53497651218170</v>
      </c>
      <c r="G1716" s="27" t="str">
        <f t="array" ref="G1716">"https://earth.google.com/web/search/" &amp; A1716 &amp; "," &amp; B1716</f>
        <v>https://earth.google.com/web/search/-30.9047436847719,-55.53497651218170</v>
      </c>
      <c r="H1716" s="12"/>
      <c r="I1716" s="12"/>
      <c r="J1716" s="12"/>
      <c r="K1716" s="12"/>
      <c r="L1716" s="12"/>
      <c r="M1716" s="12"/>
      <c r="N1716" s="12"/>
      <c r="O1716" s="12"/>
      <c r="P1716" s="12"/>
      <c r="Q1716" s="12"/>
      <c r="R1716" s="12"/>
      <c r="S1716" s="12"/>
      <c r="T1716" s="12"/>
      <c r="U1716" s="12"/>
      <c r="V1716" s="12"/>
      <c r="W1716" s="12"/>
      <c r="X1716" s="12"/>
      <c r="Y1716" s="12"/>
      <c r="Z1716" s="12"/>
      <c r="AA1716" s="12"/>
    </row>
    <row r="1717" ht="26.25" customHeight="1">
      <c r="A1717" s="26" t="s">
        <v>3438</v>
      </c>
      <c r="B1717" s="26" t="s">
        <v>3439</v>
      </c>
      <c r="C1717" s="14">
        <v>2.0</v>
      </c>
      <c r="D1717" s="23">
        <v>904.0</v>
      </c>
      <c r="E1717" s="23">
        <v>10.0</v>
      </c>
      <c r="F1717" s="27" t="str">
        <f t="array" ref="F1717">"https://www.google.com/maps/search/?api=1&amp;query=" &amp; A1717 &amp; "," &amp; B1717</f>
        <v>https://www.google.com/maps/search/?api=1&amp;query=-30.9044917907256,-55.53547024957320</v>
      </c>
      <c r="G1717" s="27" t="str">
        <f t="array" ref="G1717">"https://earth.google.com/web/search/" &amp; A1717 &amp; "," &amp; B1717</f>
        <v>https://earth.google.com/web/search/-30.9044917907256,-55.53547024957320</v>
      </c>
      <c r="H1717" s="12"/>
      <c r="I1717" s="12"/>
      <c r="J1717" s="12"/>
      <c r="K1717" s="12"/>
      <c r="L1717" s="12"/>
      <c r="M1717" s="12"/>
      <c r="N1717" s="12"/>
      <c r="O1717" s="12"/>
      <c r="P1717" s="12"/>
      <c r="Q1717" s="12"/>
      <c r="R1717" s="12"/>
      <c r="S1717" s="12"/>
      <c r="T1717" s="12"/>
      <c r="U1717" s="12"/>
      <c r="V1717" s="12"/>
      <c r="W1717" s="12"/>
      <c r="X1717" s="12"/>
      <c r="Y1717" s="12"/>
      <c r="Z1717" s="12"/>
      <c r="AA1717" s="12"/>
    </row>
    <row r="1718" ht="26.25" customHeight="1">
      <c r="A1718" s="26" t="s">
        <v>3440</v>
      </c>
      <c r="B1718" s="26" t="s">
        <v>3441</v>
      </c>
      <c r="C1718" s="14">
        <v>2.0</v>
      </c>
      <c r="D1718" s="23">
        <v>905.0</v>
      </c>
      <c r="E1718" s="23">
        <v>5.0</v>
      </c>
      <c r="F1718" s="27" t="str">
        <f t="array" ref="F1718">"https://www.google.com/maps/search/?api=1&amp;query=" &amp; A1718 &amp; "," &amp; B1718</f>
        <v>https://www.google.com/maps/search/?api=1&amp;query=-30.9057781735136,-55.53480750501030</v>
      </c>
      <c r="G1718" s="27" t="str">
        <f t="array" ref="G1718">"https://earth.google.com/web/search/" &amp; A1718 &amp; "," &amp; B1718</f>
        <v>https://earth.google.com/web/search/-30.9057781735136,-55.53480750501030</v>
      </c>
      <c r="H1718" s="12"/>
      <c r="I1718" s="12"/>
      <c r="J1718" s="12"/>
      <c r="K1718" s="12"/>
      <c r="L1718" s="12"/>
      <c r="M1718" s="12"/>
      <c r="N1718" s="12"/>
      <c r="O1718" s="12"/>
      <c r="P1718" s="12"/>
      <c r="Q1718" s="12"/>
      <c r="R1718" s="12"/>
      <c r="S1718" s="12"/>
      <c r="T1718" s="12"/>
      <c r="U1718" s="12"/>
      <c r="V1718" s="12"/>
      <c r="W1718" s="12"/>
      <c r="X1718" s="12"/>
      <c r="Y1718" s="12"/>
      <c r="Z1718" s="12"/>
      <c r="AA1718" s="12"/>
    </row>
    <row r="1719" ht="26.25" customHeight="1">
      <c r="A1719" s="26" t="s">
        <v>3442</v>
      </c>
      <c r="B1719" s="26" t="s">
        <v>3443</v>
      </c>
      <c r="C1719" s="14">
        <v>2.0</v>
      </c>
      <c r="D1719" s="23">
        <v>905.0</v>
      </c>
      <c r="E1719" s="23">
        <v>6.0</v>
      </c>
      <c r="F1719" s="27" t="str">
        <f t="array" ref="F1719">"https://www.google.com/maps/search/?api=1&amp;query=" &amp; A1719 &amp; "," &amp; B1719</f>
        <v>https://www.google.com/maps/search/?api=1&amp;query=-30.9059985311803,-55.53445010275300</v>
      </c>
      <c r="G1719" s="27" t="str">
        <f t="array" ref="G1719">"https://earth.google.com/web/search/" &amp; A1719 &amp; "," &amp; B1719</f>
        <v>https://earth.google.com/web/search/-30.9059985311803,-55.53445010275300</v>
      </c>
      <c r="H1719" s="12"/>
      <c r="I1719" s="12"/>
      <c r="J1719" s="12"/>
      <c r="K1719" s="12"/>
      <c r="L1719" s="12"/>
      <c r="M1719" s="12"/>
      <c r="N1719" s="12"/>
      <c r="O1719" s="12"/>
      <c r="P1719" s="12"/>
      <c r="Q1719" s="12"/>
      <c r="R1719" s="12"/>
      <c r="S1719" s="12"/>
      <c r="T1719" s="12"/>
      <c r="U1719" s="12"/>
      <c r="V1719" s="12"/>
      <c r="W1719" s="12"/>
      <c r="X1719" s="12"/>
      <c r="Y1719" s="12"/>
      <c r="Z1719" s="12"/>
      <c r="AA1719" s="12"/>
    </row>
    <row r="1720" ht="26.25" customHeight="1">
      <c r="A1720" s="26" t="s">
        <v>3444</v>
      </c>
      <c r="B1720" s="26" t="s">
        <v>3445</v>
      </c>
      <c r="C1720" s="14">
        <v>2.0</v>
      </c>
      <c r="D1720" s="23">
        <v>905.0</v>
      </c>
      <c r="E1720" s="23">
        <v>7.0</v>
      </c>
      <c r="F1720" s="27" t="str">
        <f t="array" ref="F1720">"https://www.google.com/maps/search/?api=1&amp;query=" &amp; A1720 &amp; "," &amp; B1720</f>
        <v>https://www.google.com/maps/search/?api=1&amp;query=-30.9061069663160,-55.53422552400300</v>
      </c>
      <c r="G1720" s="27" t="str">
        <f t="array" ref="G1720">"https://earth.google.com/web/search/" &amp; A1720 &amp; "," &amp; B1720</f>
        <v>https://earth.google.com/web/search/-30.9061069663160,-55.53422552400300</v>
      </c>
      <c r="H1720" s="12"/>
      <c r="I1720" s="12"/>
      <c r="J1720" s="12"/>
      <c r="K1720" s="12"/>
      <c r="L1720" s="12"/>
      <c r="M1720" s="12"/>
      <c r="N1720" s="12"/>
      <c r="O1720" s="12"/>
      <c r="P1720" s="12"/>
      <c r="Q1720" s="12"/>
      <c r="R1720" s="12"/>
      <c r="S1720" s="12"/>
      <c r="T1720" s="12"/>
      <c r="U1720" s="12"/>
      <c r="V1720" s="12"/>
      <c r="W1720" s="12"/>
      <c r="X1720" s="12"/>
      <c r="Y1720" s="12"/>
      <c r="Z1720" s="12"/>
      <c r="AA1720" s="12"/>
    </row>
    <row r="1721" ht="26.25" customHeight="1">
      <c r="A1721" s="26" t="s">
        <v>3446</v>
      </c>
      <c r="B1721" s="26" t="s">
        <v>3447</v>
      </c>
      <c r="C1721" s="14">
        <v>2.0</v>
      </c>
      <c r="D1721" s="23">
        <v>905.0</v>
      </c>
      <c r="E1721" s="23">
        <v>8.0</v>
      </c>
      <c r="F1721" s="27" t="str">
        <f t="array" ref="F1721">"https://www.google.com/maps/search/?api=1&amp;query=" &amp; A1721 &amp; "," &amp; B1721</f>
        <v>https://www.google.com/maps/search/?api=1&amp;query=-30.9061899993122,-55.53401373640040</v>
      </c>
      <c r="G1721" s="27" t="str">
        <f t="array" ref="G1721">"https://earth.google.com/web/search/" &amp; A1721 &amp; "," &amp; B1721</f>
        <v>https://earth.google.com/web/search/-30.9061899993122,-55.53401373640040</v>
      </c>
      <c r="H1721" s="12"/>
      <c r="I1721" s="12"/>
      <c r="J1721" s="12"/>
      <c r="K1721" s="12"/>
      <c r="L1721" s="12"/>
      <c r="M1721" s="12"/>
      <c r="N1721" s="12"/>
      <c r="O1721" s="12"/>
      <c r="P1721" s="12"/>
      <c r="Q1721" s="12"/>
      <c r="R1721" s="12"/>
      <c r="S1721" s="12"/>
      <c r="T1721" s="12"/>
      <c r="U1721" s="12"/>
      <c r="V1721" s="12"/>
      <c r="W1721" s="12"/>
      <c r="X1721" s="12"/>
      <c r="Y1721" s="12"/>
      <c r="Z1721" s="12"/>
      <c r="AA1721" s="12"/>
    </row>
    <row r="1722" ht="26.25" customHeight="1">
      <c r="A1722" s="26" t="s">
        <v>3448</v>
      </c>
      <c r="B1722" s="26" t="s">
        <v>3449</v>
      </c>
      <c r="C1722" s="14">
        <v>2.0</v>
      </c>
      <c r="D1722" s="23">
        <v>905.0</v>
      </c>
      <c r="E1722" s="23">
        <v>1.0</v>
      </c>
      <c r="F1722" s="27" t="str">
        <f t="array" ref="F1722">"https://www.google.com/maps/search/?api=1&amp;query=" &amp; A1722 &amp; "," &amp; B1722</f>
        <v>https://www.google.com/maps/search/?api=1&amp;query=-30.9048078674021,-55.53426799873660</v>
      </c>
      <c r="G1722" s="27" t="str">
        <f t="array" ref="G1722">"https://earth.google.com/web/search/" &amp; A1722 &amp; "," &amp; B1722</f>
        <v>https://earth.google.com/web/search/-30.9048078674021,-55.53426799873660</v>
      </c>
      <c r="H1722" s="12"/>
      <c r="I1722" s="12"/>
      <c r="J1722" s="12"/>
      <c r="K1722" s="12"/>
      <c r="L1722" s="12"/>
      <c r="M1722" s="12"/>
      <c r="N1722" s="12"/>
      <c r="O1722" s="12"/>
      <c r="P1722" s="12"/>
      <c r="Q1722" s="12"/>
      <c r="R1722" s="12"/>
      <c r="S1722" s="12"/>
      <c r="T1722" s="12"/>
      <c r="U1722" s="12"/>
      <c r="V1722" s="12"/>
      <c r="W1722" s="12"/>
      <c r="X1722" s="12"/>
      <c r="Y1722" s="12"/>
      <c r="Z1722" s="12"/>
      <c r="AA1722" s="12"/>
    </row>
    <row r="1723" ht="26.25" customHeight="1">
      <c r="A1723" s="26" t="s">
        <v>3450</v>
      </c>
      <c r="B1723" s="26" t="s">
        <v>3451</v>
      </c>
      <c r="C1723" s="14">
        <v>2.0</v>
      </c>
      <c r="D1723" s="23">
        <v>905.0</v>
      </c>
      <c r="E1723" s="23">
        <v>2.0</v>
      </c>
      <c r="F1723" s="27" t="str">
        <f t="array" ref="F1723">"https://www.google.com/maps/search/?api=1&amp;query=" &amp; A1723 &amp; "," &amp; B1723</f>
        <v>https://www.google.com/maps/search/?api=1&amp;query=-30.9048267050107,-55.53441202738630</v>
      </c>
      <c r="G1723" s="27" t="str">
        <f t="array" ref="G1723">"https://earth.google.com/web/search/" &amp; A1723 &amp; "," &amp; B1723</f>
        <v>https://earth.google.com/web/search/-30.9048267050107,-55.53441202738630</v>
      </c>
      <c r="H1723" s="12"/>
      <c r="I1723" s="12"/>
      <c r="J1723" s="12"/>
      <c r="K1723" s="12"/>
      <c r="L1723" s="12"/>
      <c r="M1723" s="12"/>
      <c r="N1723" s="12"/>
      <c r="O1723" s="12"/>
      <c r="P1723" s="12"/>
      <c r="Q1723" s="12"/>
      <c r="R1723" s="12"/>
      <c r="S1723" s="12"/>
      <c r="T1723" s="12"/>
      <c r="U1723" s="12"/>
      <c r="V1723" s="12"/>
      <c r="W1723" s="12"/>
      <c r="X1723" s="12"/>
      <c r="Y1723" s="12"/>
      <c r="Z1723" s="12"/>
      <c r="AA1723" s="12"/>
    </row>
    <row r="1724" ht="26.25" customHeight="1">
      <c r="A1724" s="26" t="s">
        <v>3452</v>
      </c>
      <c r="B1724" s="26" t="s">
        <v>3453</v>
      </c>
      <c r="C1724" s="14">
        <v>2.0</v>
      </c>
      <c r="D1724" s="23">
        <v>905.0</v>
      </c>
      <c r="E1724" s="23">
        <v>3.0</v>
      </c>
      <c r="F1724" s="27" t="str">
        <f t="array" ref="F1724">"https://www.google.com/maps/search/?api=1&amp;query=" &amp; A1724 &amp; "," &amp; B1724</f>
        <v>https://www.google.com/maps/search/?api=1&amp;query=-30.9051435425421,-55.53500108830570</v>
      </c>
      <c r="G1724" s="27" t="str">
        <f t="array" ref="G1724">"https://earth.google.com/web/search/" &amp; A1724 &amp; "," &amp; B1724</f>
        <v>https://earth.google.com/web/search/-30.9051435425421,-55.53500108830570</v>
      </c>
      <c r="H1724" s="12"/>
      <c r="I1724" s="12"/>
      <c r="J1724" s="12"/>
      <c r="K1724" s="12"/>
      <c r="L1724" s="12"/>
      <c r="M1724" s="12"/>
      <c r="N1724" s="12"/>
      <c r="O1724" s="12"/>
      <c r="P1724" s="12"/>
      <c r="Q1724" s="12"/>
      <c r="R1724" s="12"/>
      <c r="S1724" s="12"/>
      <c r="T1724" s="12"/>
      <c r="U1724" s="12"/>
      <c r="V1724" s="12"/>
      <c r="W1724" s="12"/>
      <c r="X1724" s="12"/>
      <c r="Y1724" s="12"/>
      <c r="Z1724" s="12"/>
      <c r="AA1724" s="12"/>
    </row>
    <row r="1725" ht="26.25" customHeight="1">
      <c r="A1725" s="26" t="s">
        <v>3454</v>
      </c>
      <c r="B1725" s="26" t="s">
        <v>3455</v>
      </c>
      <c r="C1725" s="14">
        <v>2.0</v>
      </c>
      <c r="D1725" s="23">
        <v>905.0</v>
      </c>
      <c r="E1725" s="23">
        <v>4.0</v>
      </c>
      <c r="F1725" s="27" t="str">
        <f t="array" ref="F1725">"https://www.google.com/maps/search/?api=1&amp;query=" &amp; A1725 &amp; "," &amp; B1725</f>
        <v>https://www.google.com/maps/search/?api=1&amp;query=-30.9056651521217,-55.53507297192900</v>
      </c>
      <c r="G1725" s="27" t="str">
        <f t="array" ref="G1725">"https://earth.google.com/web/search/" &amp; A1725 &amp; "," &amp; B1725</f>
        <v>https://earth.google.com/web/search/-30.9056651521217,-55.53507297192900</v>
      </c>
      <c r="H1725" s="12"/>
      <c r="I1725" s="12"/>
      <c r="J1725" s="12"/>
      <c r="K1725" s="12"/>
      <c r="L1725" s="12"/>
      <c r="M1725" s="12"/>
      <c r="N1725" s="12"/>
      <c r="O1725" s="12"/>
      <c r="P1725" s="12"/>
      <c r="Q1725" s="12"/>
      <c r="R1725" s="12"/>
      <c r="S1725" s="12"/>
      <c r="T1725" s="12"/>
      <c r="U1725" s="12"/>
      <c r="V1725" s="12"/>
      <c r="W1725" s="12"/>
      <c r="X1725" s="12"/>
      <c r="Y1725" s="12"/>
      <c r="Z1725" s="12"/>
      <c r="AA1725" s="12"/>
    </row>
    <row r="1726" ht="26.25" customHeight="1">
      <c r="A1726" s="26" t="s">
        <v>3456</v>
      </c>
      <c r="B1726" s="26" t="s">
        <v>3457</v>
      </c>
      <c r="C1726" s="14">
        <v>2.0</v>
      </c>
      <c r="D1726" s="23">
        <v>905.0</v>
      </c>
      <c r="E1726" s="23">
        <v>9.0</v>
      </c>
      <c r="F1726" s="27" t="str">
        <f t="array" ref="F1726">"https://www.google.com/maps/search/?api=1&amp;query=" &amp; A1726 &amp; "," &amp; B1726</f>
        <v>https://www.google.com/maps/search/?api=1&amp;query=-30.9051207061258,-55.53363775043880</v>
      </c>
      <c r="G1726" s="27" t="str">
        <f t="array" ref="G1726">"https://earth.google.com/web/search/" &amp; A1726 &amp; "," &amp; B1726</f>
        <v>https://earth.google.com/web/search/-30.9051207061258,-55.53363775043880</v>
      </c>
      <c r="H1726" s="12"/>
      <c r="I1726" s="12"/>
      <c r="J1726" s="12"/>
      <c r="K1726" s="12"/>
      <c r="L1726" s="12"/>
      <c r="M1726" s="12"/>
      <c r="N1726" s="12"/>
      <c r="O1726" s="12"/>
      <c r="P1726" s="12"/>
      <c r="Q1726" s="12"/>
      <c r="R1726" s="12"/>
      <c r="S1726" s="12"/>
      <c r="T1726" s="12"/>
      <c r="U1726" s="12"/>
      <c r="V1726" s="12"/>
      <c r="W1726" s="12"/>
      <c r="X1726" s="12"/>
      <c r="Y1726" s="12"/>
      <c r="Z1726" s="12"/>
      <c r="AA1726" s="12"/>
    </row>
    <row r="1727" ht="26.25" customHeight="1">
      <c r="A1727" s="26" t="s">
        <v>3458</v>
      </c>
      <c r="B1727" s="26" t="s">
        <v>3459</v>
      </c>
      <c r="C1727" s="14">
        <v>2.0</v>
      </c>
      <c r="D1727" s="23">
        <v>500.0</v>
      </c>
      <c r="E1727" s="23">
        <v>1.0</v>
      </c>
      <c r="F1727" s="27" t="str">
        <f t="array" ref="F1727">"https://www.google.com/maps/search/?api=1&amp;query=" &amp; A1727 &amp; "," &amp; B1727</f>
        <v>https://www.google.com/maps/search/?api=1&amp;query=-30.9057272566249,-55.53337563254150</v>
      </c>
      <c r="G1727" s="27" t="str">
        <f t="array" ref="G1727">"https://earth.google.com/web/search/" &amp; A1727 &amp; "," &amp; B1727</f>
        <v>https://earth.google.com/web/search/-30.9057272566249,-55.53337563254150</v>
      </c>
      <c r="H1727" s="12"/>
      <c r="I1727" s="12"/>
      <c r="J1727" s="12"/>
      <c r="K1727" s="12"/>
      <c r="L1727" s="12"/>
      <c r="M1727" s="12"/>
      <c r="N1727" s="12"/>
      <c r="O1727" s="12"/>
      <c r="P1727" s="12"/>
      <c r="Q1727" s="12"/>
      <c r="R1727" s="12"/>
      <c r="S1727" s="12"/>
      <c r="T1727" s="12"/>
      <c r="U1727" s="12"/>
      <c r="V1727" s="12"/>
      <c r="W1727" s="12"/>
      <c r="X1727" s="12"/>
      <c r="Y1727" s="12"/>
      <c r="Z1727" s="12"/>
      <c r="AA1727" s="12"/>
    </row>
    <row r="1728" ht="26.25" customHeight="1">
      <c r="A1728" s="26" t="s">
        <v>3460</v>
      </c>
      <c r="B1728" s="26" t="s">
        <v>3461</v>
      </c>
      <c r="C1728" s="14">
        <v>2.0</v>
      </c>
      <c r="D1728" s="23">
        <v>500.0</v>
      </c>
      <c r="E1728" s="23">
        <v>2.0</v>
      </c>
      <c r="F1728" s="27" t="str">
        <f t="array" ref="F1728">"https://www.google.com/maps/search/?api=1&amp;query=" &amp; A1728 &amp; "," &amp; B1728</f>
        <v>https://www.google.com/maps/search/?api=1&amp;query=-30.9059590217502,-55.53354287837300</v>
      </c>
      <c r="G1728" s="27" t="str">
        <f t="array" ref="G1728">"https://earth.google.com/web/search/" &amp; A1728 &amp; "," &amp; B1728</f>
        <v>https://earth.google.com/web/search/-30.9059590217502,-55.53354287837300</v>
      </c>
      <c r="H1728" s="12"/>
      <c r="I1728" s="12"/>
      <c r="J1728" s="12"/>
      <c r="K1728" s="12"/>
      <c r="L1728" s="12"/>
      <c r="M1728" s="12"/>
      <c r="N1728" s="12"/>
      <c r="O1728" s="12"/>
      <c r="P1728" s="12"/>
      <c r="Q1728" s="12"/>
      <c r="R1728" s="12"/>
      <c r="S1728" s="12"/>
      <c r="T1728" s="12"/>
      <c r="U1728" s="12"/>
      <c r="V1728" s="12"/>
      <c r="W1728" s="12"/>
      <c r="X1728" s="12"/>
      <c r="Y1728" s="12"/>
      <c r="Z1728" s="12"/>
      <c r="AA1728" s="12"/>
    </row>
    <row r="1729" ht="26.25" customHeight="1">
      <c r="A1729" s="26" t="s">
        <v>3462</v>
      </c>
      <c r="B1729" s="26" t="s">
        <v>3463</v>
      </c>
      <c r="C1729" s="14">
        <v>2.0</v>
      </c>
      <c r="D1729" s="23">
        <v>500.0</v>
      </c>
      <c r="E1729" s="23">
        <v>3.0</v>
      </c>
      <c r="F1729" s="27" t="str">
        <f t="array" ref="F1729">"https://www.google.com/maps/search/?api=1&amp;query=" &amp; A1729 &amp; "," &amp; B1729</f>
        <v>https://www.google.com/maps/search/?api=1&amp;query=-30.9063727797962,-55.53375894613060</v>
      </c>
      <c r="G1729" s="27" t="str">
        <f t="array" ref="G1729">"https://earth.google.com/web/search/" &amp; A1729 &amp; "," &amp; B1729</f>
        <v>https://earth.google.com/web/search/-30.9063727797962,-55.53375894613060</v>
      </c>
      <c r="H1729" s="12"/>
      <c r="I1729" s="12"/>
      <c r="J1729" s="12"/>
      <c r="K1729" s="12"/>
      <c r="L1729" s="12"/>
      <c r="M1729" s="12"/>
      <c r="N1729" s="12"/>
      <c r="O1729" s="12"/>
      <c r="P1729" s="12"/>
      <c r="Q1729" s="12"/>
      <c r="R1729" s="12"/>
      <c r="S1729" s="12"/>
      <c r="T1729" s="12"/>
      <c r="U1729" s="12"/>
      <c r="V1729" s="12"/>
      <c r="W1729" s="12"/>
      <c r="X1729" s="12"/>
      <c r="Y1729" s="12"/>
      <c r="Z1729" s="12"/>
      <c r="AA1729" s="12"/>
    </row>
    <row r="1730" ht="26.25" customHeight="1">
      <c r="A1730" s="26" t="s">
        <v>3464</v>
      </c>
      <c r="B1730" s="26" t="s">
        <v>3465</v>
      </c>
      <c r="C1730" s="14">
        <v>2.0</v>
      </c>
      <c r="D1730" s="23">
        <v>500.0</v>
      </c>
      <c r="E1730" s="23">
        <v>4.0</v>
      </c>
      <c r="F1730" s="27" t="str">
        <f t="array" ref="F1730">"https://www.google.com/maps/search/?api=1&amp;query=" &amp; A1730 &amp; "," &amp; B1730</f>
        <v>https://www.google.com/maps/search/?api=1&amp;query=-30.9057866748338,-55.53300680658830</v>
      </c>
      <c r="G1730" s="27" t="str">
        <f t="array" ref="G1730">"https://earth.google.com/web/search/" &amp; A1730 &amp; "," &amp; B1730</f>
        <v>https://earth.google.com/web/search/-30.9057866748338,-55.53300680658830</v>
      </c>
      <c r="H1730" s="12"/>
      <c r="I1730" s="12"/>
      <c r="J1730" s="12"/>
      <c r="K1730" s="12"/>
      <c r="L1730" s="12"/>
      <c r="M1730" s="12"/>
      <c r="N1730" s="12"/>
      <c r="O1730" s="12"/>
      <c r="P1730" s="12"/>
      <c r="Q1730" s="12"/>
      <c r="R1730" s="12"/>
      <c r="S1730" s="12"/>
      <c r="T1730" s="12"/>
      <c r="U1730" s="12"/>
      <c r="V1730" s="12"/>
      <c r="W1730" s="12"/>
      <c r="X1730" s="12"/>
      <c r="Y1730" s="12"/>
      <c r="Z1730" s="12"/>
      <c r="AA1730" s="12"/>
    </row>
    <row r="1731" ht="26.25" customHeight="1">
      <c r="A1731" s="26" t="s">
        <v>3466</v>
      </c>
      <c r="B1731" s="26" t="s">
        <v>3467</v>
      </c>
      <c r="C1731" s="14">
        <v>2.0</v>
      </c>
      <c r="D1731" s="23">
        <v>501.0</v>
      </c>
      <c r="E1731" s="23">
        <v>1.0</v>
      </c>
      <c r="F1731" s="27" t="str">
        <f t="array" ref="F1731">"https://www.google.com/maps/search/?api=1&amp;query=" &amp; A1731 &amp; "," &amp; B1731</f>
        <v>https://www.google.com/maps/search/?api=1&amp;query=-30.9061027934294,-55.53263971328430</v>
      </c>
      <c r="G1731" s="27" t="str">
        <f t="array" ref="G1731">"https://earth.google.com/web/search/" &amp; A1731 &amp; "," &amp; B1731</f>
        <v>https://earth.google.com/web/search/-30.9061027934294,-55.53263971328430</v>
      </c>
      <c r="H1731" s="12"/>
      <c r="I1731" s="12"/>
      <c r="J1731" s="12"/>
      <c r="K1731" s="12"/>
      <c r="L1731" s="12"/>
      <c r="M1731" s="12"/>
      <c r="N1731" s="12"/>
      <c r="O1731" s="12"/>
      <c r="P1731" s="12"/>
      <c r="Q1731" s="12"/>
      <c r="R1731" s="12"/>
      <c r="S1731" s="12"/>
      <c r="T1731" s="12"/>
      <c r="U1731" s="12"/>
      <c r="V1731" s="12"/>
      <c r="W1731" s="12"/>
      <c r="X1731" s="12"/>
      <c r="Y1731" s="12"/>
      <c r="Z1731" s="12"/>
      <c r="AA1731" s="12"/>
    </row>
    <row r="1732" ht="26.25" customHeight="1">
      <c r="A1732" s="26" t="s">
        <v>3468</v>
      </c>
      <c r="B1732" s="26" t="s">
        <v>3469</v>
      </c>
      <c r="C1732" s="14">
        <v>2.0</v>
      </c>
      <c r="D1732" s="23">
        <v>501.0</v>
      </c>
      <c r="E1732" s="23">
        <v>2.0</v>
      </c>
      <c r="F1732" s="27" t="str">
        <f t="array" ref="F1732">"https://www.google.com/maps/search/?api=1&amp;query=" &amp; A1732 &amp; "," &amp; B1732</f>
        <v>https://www.google.com/maps/search/?api=1&amp;query=-30.9061683276388,-5.55326844491104</v>
      </c>
      <c r="G1732" s="27" t="str">
        <f t="array" ref="G1732">"https://earth.google.com/web/search/" &amp; A1732 &amp; "," &amp; B1732</f>
        <v>https://earth.google.com/web/search/-30.9061683276388,-5.55326844491104</v>
      </c>
      <c r="H1732" s="12"/>
      <c r="I1732" s="12"/>
      <c r="J1732" s="12"/>
      <c r="K1732" s="12"/>
      <c r="L1732" s="12"/>
      <c r="M1732" s="12"/>
      <c r="N1732" s="12"/>
      <c r="O1732" s="12"/>
      <c r="P1732" s="12"/>
      <c r="Q1732" s="12"/>
      <c r="R1732" s="12"/>
      <c r="S1732" s="12"/>
      <c r="T1732" s="12"/>
      <c r="U1732" s="12"/>
      <c r="V1732" s="12"/>
      <c r="W1732" s="12"/>
      <c r="X1732" s="12"/>
      <c r="Y1732" s="12"/>
      <c r="Z1732" s="12"/>
      <c r="AA1732" s="12"/>
    </row>
    <row r="1733" ht="26.25" customHeight="1">
      <c r="A1733" s="26" t="s">
        <v>3470</v>
      </c>
      <c r="B1733" s="26" t="s">
        <v>3471</v>
      </c>
      <c r="C1733" s="14">
        <v>2.0</v>
      </c>
      <c r="D1733" s="23">
        <v>501.0</v>
      </c>
      <c r="E1733" s="23">
        <v>3.0</v>
      </c>
      <c r="F1733" s="27" t="str">
        <f t="array" ref="F1733">"https://www.google.com/maps/search/?api=1&amp;query=" &amp; A1733 &amp; "," &amp; B1733</f>
        <v>https://www.google.com/maps/search/?api=1&amp;query=-30.9062845971603,-55.53273758056630</v>
      </c>
      <c r="G1733" s="27" t="str">
        <f t="array" ref="G1733">"https://earth.google.com/web/search/" &amp; A1733 &amp; "," &amp; B1733</f>
        <v>https://earth.google.com/web/search/-30.9062845971603,-55.53273758056630</v>
      </c>
      <c r="H1733" s="12"/>
      <c r="I1733" s="12"/>
      <c r="J1733" s="12"/>
      <c r="K1733" s="12"/>
      <c r="L1733" s="12"/>
      <c r="M1733" s="12"/>
      <c r="N1733" s="12"/>
      <c r="O1733" s="12"/>
      <c r="P1733" s="12"/>
      <c r="Q1733" s="12"/>
      <c r="R1733" s="12"/>
      <c r="S1733" s="12"/>
      <c r="T1733" s="12"/>
      <c r="U1733" s="12"/>
      <c r="V1733" s="12"/>
      <c r="W1733" s="12"/>
      <c r="X1733" s="12"/>
      <c r="Y1733" s="12"/>
      <c r="Z1733" s="12"/>
      <c r="AA1733" s="12"/>
    </row>
    <row r="1734" ht="26.25" customHeight="1">
      <c r="A1734" s="26" t="s">
        <v>3472</v>
      </c>
      <c r="B1734" s="26" t="s">
        <v>3473</v>
      </c>
      <c r="C1734" s="14">
        <v>2.0</v>
      </c>
      <c r="D1734" s="23">
        <v>501.0</v>
      </c>
      <c r="E1734" s="23">
        <v>4.0</v>
      </c>
      <c r="F1734" s="27" t="str">
        <f t="array" ref="F1734">"https://www.google.com/maps/search/?api=1&amp;query=" &amp; A1734 &amp; "," &amp; B1734</f>
        <v>https://www.google.com/maps/search/?api=1&amp;query=-30.9068590594160,-5.55328519071678</v>
      </c>
      <c r="G1734" s="27" t="str">
        <f t="array" ref="G1734">"https://earth.google.com/web/search/" &amp; A1734 &amp; "," &amp; B1734</f>
        <v>https://earth.google.com/web/search/-30.9068590594160,-5.55328519071678</v>
      </c>
      <c r="H1734" s="12"/>
      <c r="I1734" s="12"/>
      <c r="J1734" s="12"/>
      <c r="K1734" s="12"/>
      <c r="L1734" s="12"/>
      <c r="M1734" s="12"/>
      <c r="N1734" s="12"/>
      <c r="O1734" s="12"/>
      <c r="P1734" s="12"/>
      <c r="Q1734" s="12"/>
      <c r="R1734" s="12"/>
      <c r="S1734" s="12"/>
      <c r="T1734" s="12"/>
      <c r="U1734" s="12"/>
      <c r="V1734" s="12"/>
      <c r="W1734" s="12"/>
      <c r="X1734" s="12"/>
      <c r="Y1734" s="12"/>
      <c r="Z1734" s="12"/>
      <c r="AA1734" s="12"/>
    </row>
    <row r="1735" ht="26.25" customHeight="1">
      <c r="A1735" s="26" t="s">
        <v>3474</v>
      </c>
      <c r="B1735" s="26" t="s">
        <v>3475</v>
      </c>
      <c r="C1735" s="14">
        <v>2.0</v>
      </c>
      <c r="D1735" s="23">
        <v>501.0</v>
      </c>
      <c r="E1735" s="23">
        <v>5.0</v>
      </c>
      <c r="F1735" s="27" t="str">
        <f t="array" ref="F1735">"https://www.google.com/maps/search/?api=1&amp;query=" &amp; A1735 &amp; "," &amp; B1735</f>
        <v>https://www.google.com/maps/search/?api=1&amp;query=-30.9069744475185,-55.53262299448810</v>
      </c>
      <c r="G1735" s="27" t="str">
        <f t="array" ref="G1735">"https://earth.google.com/web/search/" &amp; A1735 &amp; "," &amp; B1735</f>
        <v>https://earth.google.com/web/search/-30.9069744475185,-55.53262299448810</v>
      </c>
      <c r="H1735" s="12"/>
      <c r="I1735" s="12"/>
      <c r="J1735" s="12"/>
      <c r="K1735" s="12"/>
      <c r="L1735" s="12"/>
      <c r="M1735" s="12"/>
      <c r="N1735" s="12"/>
      <c r="O1735" s="12"/>
      <c r="P1735" s="12"/>
      <c r="Q1735" s="12"/>
      <c r="R1735" s="12"/>
      <c r="S1735" s="12"/>
      <c r="T1735" s="12"/>
      <c r="U1735" s="12"/>
      <c r="V1735" s="12"/>
      <c r="W1735" s="12"/>
      <c r="X1735" s="12"/>
      <c r="Y1735" s="12"/>
      <c r="Z1735" s="12"/>
      <c r="AA1735" s="12"/>
    </row>
    <row r="1736" ht="26.25" customHeight="1">
      <c r="A1736" s="26" t="s">
        <v>3476</v>
      </c>
      <c r="B1736" s="26" t="s">
        <v>3477</v>
      </c>
      <c r="C1736" s="14">
        <v>2.0</v>
      </c>
      <c r="D1736" s="23">
        <v>501.0</v>
      </c>
      <c r="E1736" s="23">
        <v>6.0</v>
      </c>
      <c r="F1736" s="27" t="str">
        <f t="array" ref="F1736">"https://www.google.com/maps/search/?api=1&amp;query=" &amp; A1736 &amp; "," &amp; B1736</f>
        <v>https://www.google.com/maps/search/?api=1&amp;query=-30.9068335056876,-55.53219663654650</v>
      </c>
      <c r="G1736" s="27" t="str">
        <f t="array" ref="G1736">"https://earth.google.com/web/search/" &amp; A1736 &amp; "," &amp; B1736</f>
        <v>https://earth.google.com/web/search/-30.9068335056876,-55.53219663654650</v>
      </c>
      <c r="H1736" s="12"/>
      <c r="I1736" s="12"/>
      <c r="J1736" s="12"/>
      <c r="K1736" s="12"/>
      <c r="L1736" s="12"/>
      <c r="M1736" s="12"/>
      <c r="N1736" s="12"/>
      <c r="O1736" s="12"/>
      <c r="P1736" s="12"/>
      <c r="Q1736" s="12"/>
      <c r="R1736" s="12"/>
      <c r="S1736" s="12"/>
      <c r="T1736" s="12"/>
      <c r="U1736" s="12"/>
      <c r="V1736" s="12"/>
      <c r="W1736" s="12"/>
      <c r="X1736" s="12"/>
      <c r="Y1736" s="12"/>
      <c r="Z1736" s="12"/>
      <c r="AA1736" s="12"/>
    </row>
    <row r="1737" ht="26.25" customHeight="1">
      <c r="A1737" s="26" t="s">
        <v>3478</v>
      </c>
      <c r="B1737" s="26" t="s">
        <v>3479</v>
      </c>
      <c r="C1737" s="14">
        <v>2.0</v>
      </c>
      <c r="D1737" s="23">
        <v>501.0</v>
      </c>
      <c r="E1737" s="23">
        <v>7.0</v>
      </c>
      <c r="F1737" s="27" t="str">
        <f t="array" ref="F1737">"https://www.google.com/maps/search/?api=1&amp;query=" &amp; A1737 &amp; "," &amp; B1737</f>
        <v>https://www.google.com/maps/search/?api=1&amp;query=-30.9066422120150,-55.53206635466060</v>
      </c>
      <c r="G1737" s="27" t="str">
        <f t="array" ref="G1737">"https://earth.google.com/web/search/" &amp; A1737 &amp; "," &amp; B1737</f>
        <v>https://earth.google.com/web/search/-30.9066422120150,-55.53206635466060</v>
      </c>
      <c r="H1737" s="12"/>
      <c r="I1737" s="12"/>
      <c r="J1737" s="12"/>
      <c r="K1737" s="12"/>
      <c r="L1737" s="12"/>
      <c r="M1737" s="12"/>
      <c r="N1737" s="12"/>
      <c r="O1737" s="12"/>
      <c r="P1737" s="12"/>
      <c r="Q1737" s="12"/>
      <c r="R1737" s="12"/>
      <c r="S1737" s="12"/>
      <c r="T1737" s="12"/>
      <c r="U1737" s="12"/>
      <c r="V1737" s="12"/>
      <c r="W1737" s="12"/>
      <c r="X1737" s="12"/>
      <c r="Y1737" s="12"/>
      <c r="Z1737" s="12"/>
      <c r="AA1737" s="12"/>
    </row>
    <row r="1738" ht="26.25" customHeight="1">
      <c r="A1738" s="26" t="s">
        <v>3480</v>
      </c>
      <c r="B1738" s="26" t="s">
        <v>3481</v>
      </c>
      <c r="C1738" s="14">
        <v>2.0</v>
      </c>
      <c r="D1738" s="23">
        <v>501.0</v>
      </c>
      <c r="E1738" s="23">
        <v>8.0</v>
      </c>
      <c r="F1738" s="27" t="str">
        <f t="array" ref="F1738">"https://www.google.com/maps/search/?api=1&amp;query=" &amp; A1738 &amp; "," &amp; B1738</f>
        <v>https://www.google.com/maps/search/?api=1&amp;query=-30.9064008004301,-55.53190380131990</v>
      </c>
      <c r="G1738" s="27" t="str">
        <f t="array" ref="G1738">"https://earth.google.com/web/search/" &amp; A1738 &amp; "," &amp; B1738</f>
        <v>https://earth.google.com/web/search/-30.9064008004301,-55.53190380131990</v>
      </c>
      <c r="H1738" s="12"/>
      <c r="I1738" s="12"/>
      <c r="J1738" s="12"/>
      <c r="K1738" s="12"/>
      <c r="L1738" s="12"/>
      <c r="M1738" s="12"/>
      <c r="N1738" s="12"/>
      <c r="O1738" s="12"/>
      <c r="P1738" s="12"/>
      <c r="Q1738" s="12"/>
      <c r="R1738" s="12"/>
      <c r="S1738" s="12"/>
      <c r="T1738" s="12"/>
      <c r="U1738" s="12"/>
      <c r="V1738" s="12"/>
      <c r="W1738" s="12"/>
      <c r="X1738" s="12"/>
      <c r="Y1738" s="12"/>
      <c r="Z1738" s="12"/>
      <c r="AA1738" s="12"/>
    </row>
    <row r="1739" ht="26.25" customHeight="1">
      <c r="A1739" s="26" t="s">
        <v>3482</v>
      </c>
      <c r="B1739" s="26" t="s">
        <v>3483</v>
      </c>
      <c r="C1739" s="14">
        <v>2.0</v>
      </c>
      <c r="D1739" s="23">
        <v>285.0</v>
      </c>
      <c r="E1739" s="23">
        <v>1.0</v>
      </c>
      <c r="F1739" s="27" t="str">
        <f t="array" ref="F1739">"https://www.google.com/maps/search/?api=1&amp;query=" &amp; A1739 &amp; "," &amp; B1739</f>
        <v>https://www.google.com/maps/search/?api=1&amp;query=-30.9042943738868,-55.53794673701950</v>
      </c>
      <c r="G1739" s="27" t="str">
        <f t="array" ref="G1739">"https://earth.google.com/web/search/" &amp; A1739 &amp; "," &amp; B1739</f>
        <v>https://earth.google.com/web/search/-30.9042943738868,-55.53794673701950</v>
      </c>
      <c r="H1739" s="12"/>
      <c r="I1739" s="12"/>
      <c r="J1739" s="12"/>
      <c r="K1739" s="12"/>
      <c r="L1739" s="12"/>
      <c r="M1739" s="12"/>
      <c r="N1739" s="12"/>
      <c r="O1739" s="12"/>
      <c r="P1739" s="12"/>
      <c r="Q1739" s="12"/>
      <c r="R1739" s="12"/>
      <c r="S1739" s="12"/>
      <c r="T1739" s="12"/>
      <c r="U1739" s="12"/>
      <c r="V1739" s="12"/>
      <c r="W1739" s="12"/>
      <c r="X1739" s="12"/>
      <c r="Y1739" s="12"/>
      <c r="Z1739" s="12"/>
      <c r="AA1739" s="12"/>
    </row>
    <row r="1740" ht="26.25" customHeight="1">
      <c r="A1740" s="26" t="s">
        <v>3484</v>
      </c>
      <c r="B1740" s="26" t="s">
        <v>3485</v>
      </c>
      <c r="C1740" s="14">
        <v>2.0</v>
      </c>
      <c r="D1740" s="23">
        <v>285.0</v>
      </c>
      <c r="E1740" s="23">
        <v>2.0</v>
      </c>
      <c r="F1740" s="27" t="str">
        <f t="array" ref="F1740">"https://www.google.com/maps/search/?api=1&amp;query=" &amp; A1740 &amp; "," &amp; B1740</f>
        <v>https://www.google.com/maps/search/?api=1&amp;query=-30.9044942420856,-55.53805564535040</v>
      </c>
      <c r="G1740" s="27" t="str">
        <f t="array" ref="G1740">"https://earth.google.com/web/search/" &amp; A1740 &amp; "," &amp; B1740</f>
        <v>https://earth.google.com/web/search/-30.9044942420856,-55.53805564535040</v>
      </c>
      <c r="H1740" s="12"/>
      <c r="I1740" s="12"/>
      <c r="J1740" s="12"/>
      <c r="K1740" s="12"/>
      <c r="L1740" s="12"/>
      <c r="M1740" s="12"/>
      <c r="N1740" s="12"/>
      <c r="O1740" s="12"/>
      <c r="P1740" s="12"/>
      <c r="Q1740" s="12"/>
      <c r="R1740" s="12"/>
      <c r="S1740" s="12"/>
      <c r="T1740" s="12"/>
      <c r="U1740" s="12"/>
      <c r="V1740" s="12"/>
      <c r="W1740" s="12"/>
      <c r="X1740" s="12"/>
      <c r="Y1740" s="12"/>
      <c r="Z1740" s="12"/>
      <c r="AA1740" s="12"/>
    </row>
    <row r="1741" ht="26.25" customHeight="1">
      <c r="A1741" s="26" t="s">
        <v>3486</v>
      </c>
      <c r="B1741" s="26" t="s">
        <v>3487</v>
      </c>
      <c r="C1741" s="14">
        <v>2.0</v>
      </c>
      <c r="D1741" s="23">
        <v>285.0</v>
      </c>
      <c r="E1741" s="23">
        <v>3.0</v>
      </c>
      <c r="F1741" s="27" t="str">
        <f t="array" ref="F1741">"https://www.google.com/maps/search/?api=1&amp;query=" &amp; A1741 &amp; "," &amp; B1741</f>
        <v>https://www.google.com/maps/search/?api=1&amp;query=-30.9050607043511,-5.55382296634039</v>
      </c>
      <c r="G1741" s="27" t="str">
        <f t="array" ref="G1741">"https://earth.google.com/web/search/" &amp; A1741 &amp; "," &amp; B1741</f>
        <v>https://earth.google.com/web/search/-30.9050607043511,-5.55382296634039</v>
      </c>
      <c r="H1741" s="12"/>
      <c r="I1741" s="12"/>
      <c r="J1741" s="12"/>
      <c r="K1741" s="12"/>
      <c r="L1741" s="12"/>
      <c r="M1741" s="12"/>
      <c r="N1741" s="12"/>
      <c r="O1741" s="12"/>
      <c r="P1741" s="12"/>
      <c r="Q1741" s="12"/>
      <c r="R1741" s="12"/>
      <c r="S1741" s="12"/>
      <c r="T1741" s="12"/>
      <c r="U1741" s="12"/>
      <c r="V1741" s="12"/>
      <c r="W1741" s="12"/>
      <c r="X1741" s="12"/>
      <c r="Y1741" s="12"/>
      <c r="Z1741" s="12"/>
      <c r="AA1741" s="12"/>
    </row>
    <row r="1742" ht="26.25" customHeight="1">
      <c r="A1742" s="26" t="s">
        <v>3488</v>
      </c>
      <c r="B1742" s="26" t="s">
        <v>3489</v>
      </c>
      <c r="C1742" s="14">
        <v>2.0</v>
      </c>
      <c r="D1742" s="23">
        <v>285.0</v>
      </c>
      <c r="E1742" s="23">
        <v>4.0</v>
      </c>
      <c r="F1742" s="27" t="str">
        <f t="array" ref="F1742">"https://www.google.com/maps/search/?api=1&amp;query=" &amp; A1742 &amp; "," &amp; B1742</f>
        <v>https://www.google.com/maps/search/?api=1&amp;query=-3.0905206148688,-55.53794806984790</v>
      </c>
      <c r="G1742" s="27" t="str">
        <f t="array" ref="G1742">"https://earth.google.com/web/search/" &amp; A1742 &amp; "," &amp; B1742</f>
        <v>https://earth.google.com/web/search/-3.0905206148688,-55.53794806984790</v>
      </c>
      <c r="H1742" s="12"/>
      <c r="I1742" s="12"/>
      <c r="J1742" s="12"/>
      <c r="K1742" s="12"/>
      <c r="L1742" s="12"/>
      <c r="M1742" s="12"/>
      <c r="N1742" s="12"/>
      <c r="O1742" s="12"/>
      <c r="P1742" s="12"/>
      <c r="Q1742" s="12"/>
      <c r="R1742" s="12"/>
      <c r="S1742" s="12"/>
      <c r="T1742" s="12"/>
      <c r="U1742" s="12"/>
      <c r="V1742" s="12"/>
      <c r="W1742" s="12"/>
      <c r="X1742" s="12"/>
      <c r="Y1742" s="12"/>
      <c r="Z1742" s="12"/>
      <c r="AA1742" s="12"/>
    </row>
    <row r="1743" ht="26.25" customHeight="1">
      <c r="A1743" s="26" t="s">
        <v>3490</v>
      </c>
      <c r="B1743" s="26" t="s">
        <v>3491</v>
      </c>
      <c r="C1743" s="14">
        <v>2.0</v>
      </c>
      <c r="D1743" s="23">
        <v>285.0</v>
      </c>
      <c r="E1743" s="23">
        <v>5.0</v>
      </c>
      <c r="F1743" s="27" t="str">
        <f t="array" ref="F1743">"https://www.google.com/maps/search/?api=1&amp;query=" &amp; A1743 &amp; "," &amp; B1743</f>
        <v>https://www.google.com/maps/search/?api=1&amp;query=-30.9053299503994,-55.53772521796080</v>
      </c>
      <c r="G1743" s="27" t="str">
        <f t="array" ref="G1743">"https://earth.google.com/web/search/" &amp; A1743 &amp; "," &amp; B1743</f>
        <v>https://earth.google.com/web/search/-30.9053299503994,-55.53772521796080</v>
      </c>
      <c r="H1743" s="12"/>
      <c r="I1743" s="12"/>
      <c r="J1743" s="12"/>
      <c r="K1743" s="12"/>
      <c r="L1743" s="12"/>
      <c r="M1743" s="12"/>
      <c r="N1743" s="12"/>
      <c r="O1743" s="12"/>
      <c r="P1743" s="12"/>
      <c r="Q1743" s="12"/>
      <c r="R1743" s="12"/>
      <c r="S1743" s="12"/>
      <c r="T1743" s="12"/>
      <c r="U1743" s="12"/>
      <c r="V1743" s="12"/>
      <c r="W1743" s="12"/>
      <c r="X1743" s="12"/>
      <c r="Y1743" s="12"/>
      <c r="Z1743" s="12"/>
      <c r="AA1743" s="12"/>
    </row>
    <row r="1744" ht="26.25" customHeight="1">
      <c r="A1744" s="26" t="s">
        <v>3492</v>
      </c>
      <c r="B1744" s="26" t="s">
        <v>3493</v>
      </c>
      <c r="C1744" s="14">
        <v>2.0</v>
      </c>
      <c r="D1744" s="23">
        <v>285.0</v>
      </c>
      <c r="E1744" s="23">
        <v>6.0</v>
      </c>
      <c r="F1744" s="27" t="str">
        <f t="array" ref="F1744">"https://www.google.com/maps/search/?api=1&amp;query=" &amp; A1744 &amp; "," &amp; B1744</f>
        <v>https://www.google.com/maps/search/?api=1&amp;query=-30.9053672962665,-55.53763040114670</v>
      </c>
      <c r="G1744" s="27" t="str">
        <f t="array" ref="G1744">"https://earth.google.com/web/search/" &amp; A1744 &amp; "," &amp; B1744</f>
        <v>https://earth.google.com/web/search/-30.9053672962665,-55.53763040114670</v>
      </c>
      <c r="H1744" s="12"/>
      <c r="I1744" s="12"/>
      <c r="J1744" s="12"/>
      <c r="K1744" s="12"/>
      <c r="L1744" s="12"/>
      <c r="M1744" s="12"/>
      <c r="N1744" s="12"/>
      <c r="O1744" s="12"/>
      <c r="P1744" s="12"/>
      <c r="Q1744" s="12"/>
      <c r="R1744" s="12"/>
      <c r="S1744" s="12"/>
      <c r="T1744" s="12"/>
      <c r="U1744" s="12"/>
      <c r="V1744" s="12"/>
      <c r="W1744" s="12"/>
      <c r="X1744" s="12"/>
      <c r="Y1744" s="12"/>
      <c r="Z1744" s="12"/>
      <c r="AA1744" s="12"/>
    </row>
    <row r="1745" ht="26.25" customHeight="1">
      <c r="A1745" s="26" t="s">
        <v>3494</v>
      </c>
      <c r="B1745" s="26" t="s">
        <v>3495</v>
      </c>
      <c r="C1745" s="14">
        <v>2.0</v>
      </c>
      <c r="D1745" s="23">
        <v>285.0</v>
      </c>
      <c r="E1745" s="23">
        <v>7.0</v>
      </c>
      <c r="F1745" s="27" t="str">
        <f t="array" ref="F1745">"https://www.google.com/maps/search/?api=1&amp;query=" &amp; A1745 &amp; "," &amp; B1745</f>
        <v>https://www.google.com/maps/search/?api=1&amp;query=-30.9051500895000,-55.53740556041950</v>
      </c>
      <c r="G1745" s="27" t="str">
        <f t="array" ref="G1745">"https://earth.google.com/web/search/" &amp; A1745 &amp; "," &amp; B1745</f>
        <v>https://earth.google.com/web/search/-30.9051500895000,-55.53740556041950</v>
      </c>
      <c r="H1745" s="12"/>
      <c r="I1745" s="12"/>
      <c r="J1745" s="12"/>
      <c r="K1745" s="12"/>
      <c r="L1745" s="12"/>
      <c r="M1745" s="12"/>
      <c r="N1745" s="12"/>
      <c r="O1745" s="12"/>
      <c r="P1745" s="12"/>
      <c r="Q1745" s="12"/>
      <c r="R1745" s="12"/>
      <c r="S1745" s="12"/>
      <c r="T1745" s="12"/>
      <c r="U1745" s="12"/>
      <c r="V1745" s="12"/>
      <c r="W1745" s="12"/>
      <c r="X1745" s="12"/>
      <c r="Y1745" s="12"/>
      <c r="Z1745" s="12"/>
      <c r="AA1745" s="12"/>
    </row>
    <row r="1746" ht="26.25" customHeight="1">
      <c r="A1746" s="26" t="s">
        <v>3496</v>
      </c>
      <c r="B1746" s="26" t="s">
        <v>3497</v>
      </c>
      <c r="C1746" s="14">
        <v>2.0</v>
      </c>
      <c r="D1746" s="23">
        <v>285.0</v>
      </c>
      <c r="E1746" s="23">
        <v>8.0</v>
      </c>
      <c r="F1746" s="27" t="str">
        <f t="array" ref="F1746">"https://www.google.com/maps/search/?api=1&amp;query=" &amp; A1746 &amp; "," &amp; B1746</f>
        <v>https://www.google.com/maps/search/?api=1&amp;query=-30.9045433044071,-55.53734219365340</v>
      </c>
      <c r="G1746" s="27" t="str">
        <f t="array" ref="G1746">"https://earth.google.com/web/search/" &amp; A1746 &amp; "," &amp; B1746</f>
        <v>https://earth.google.com/web/search/-30.9045433044071,-55.53734219365340</v>
      </c>
      <c r="H1746" s="12"/>
      <c r="I1746" s="12"/>
      <c r="J1746" s="12"/>
      <c r="K1746" s="12"/>
      <c r="L1746" s="12"/>
      <c r="M1746" s="12"/>
      <c r="N1746" s="12"/>
      <c r="O1746" s="12"/>
      <c r="P1746" s="12"/>
      <c r="Q1746" s="12"/>
      <c r="R1746" s="12"/>
      <c r="S1746" s="12"/>
      <c r="T1746" s="12"/>
      <c r="U1746" s="12"/>
      <c r="V1746" s="12"/>
      <c r="W1746" s="12"/>
      <c r="X1746" s="12"/>
      <c r="Y1746" s="12"/>
      <c r="Z1746" s="12"/>
      <c r="AA1746" s="12"/>
    </row>
    <row r="1747" ht="26.25" customHeight="1">
      <c r="A1747" s="26" t="s">
        <v>3498</v>
      </c>
      <c r="B1747" s="26" t="s">
        <v>3499</v>
      </c>
      <c r="C1747" s="14">
        <v>2.0</v>
      </c>
      <c r="D1747" s="23">
        <v>285.0</v>
      </c>
      <c r="E1747" s="23">
        <v>9.0</v>
      </c>
      <c r="F1747" s="27" t="str">
        <f t="array" ref="F1747">"https://www.google.com/maps/search/?api=1&amp;query=" &amp; A1747 &amp; "," &amp; B1747</f>
        <v>https://www.google.com/maps/search/?api=1&amp;query=-3.0904459764264,-55.53747362174270</v>
      </c>
      <c r="G1747" s="27" t="str">
        <f t="array" ref="G1747">"https://earth.google.com/web/search/" &amp; A1747 &amp; "," &amp; B1747</f>
        <v>https://earth.google.com/web/search/-3.0904459764264,-55.53747362174270</v>
      </c>
      <c r="H1747" s="12"/>
      <c r="I1747" s="12"/>
      <c r="J1747" s="12"/>
      <c r="K1747" s="12"/>
      <c r="L1747" s="12"/>
      <c r="M1747" s="12"/>
      <c r="N1747" s="12"/>
      <c r="O1747" s="12"/>
      <c r="P1747" s="12"/>
      <c r="Q1747" s="12"/>
      <c r="R1747" s="12"/>
      <c r="S1747" s="12"/>
      <c r="T1747" s="12"/>
      <c r="U1747" s="12"/>
      <c r="V1747" s="12"/>
      <c r="W1747" s="12"/>
      <c r="X1747" s="12"/>
      <c r="Y1747" s="12"/>
      <c r="Z1747" s="12"/>
      <c r="AA1747" s="12"/>
    </row>
    <row r="1748" ht="26.25" customHeight="1">
      <c r="A1748" s="26" t="s">
        <v>3500</v>
      </c>
      <c r="B1748" s="26" t="s">
        <v>3501</v>
      </c>
      <c r="C1748" s="14">
        <v>2.0</v>
      </c>
      <c r="D1748" s="23">
        <v>495.0</v>
      </c>
      <c r="E1748" s="23">
        <v>1.0</v>
      </c>
      <c r="F1748" s="27" t="str">
        <f t="array" ref="F1748">"https://www.google.com/maps/search/?api=1&amp;query=" &amp; A1748 &amp; "," &amp; B1748</f>
        <v>https://www.google.com/maps/search/?api=1&amp;query=-30.9048436742058,-55.53689425988400</v>
      </c>
      <c r="G1748" s="27" t="str">
        <f t="array" ref="G1748">"https://earth.google.com/web/search/" &amp; A1748 &amp; "," &amp; B1748</f>
        <v>https://earth.google.com/web/search/-30.9048436742058,-55.53689425988400</v>
      </c>
      <c r="H1748" s="12"/>
      <c r="I1748" s="12"/>
      <c r="J1748" s="12"/>
      <c r="K1748" s="12"/>
      <c r="L1748" s="12"/>
      <c r="M1748" s="12"/>
      <c r="N1748" s="12"/>
      <c r="O1748" s="12"/>
      <c r="P1748" s="12"/>
      <c r="Q1748" s="12"/>
      <c r="R1748" s="12"/>
      <c r="S1748" s="12"/>
      <c r="T1748" s="12"/>
      <c r="U1748" s="12"/>
      <c r="V1748" s="12"/>
      <c r="W1748" s="12"/>
      <c r="X1748" s="12"/>
      <c r="Y1748" s="12"/>
      <c r="Z1748" s="12"/>
      <c r="AA1748" s="12"/>
    </row>
    <row r="1749" ht="26.25" customHeight="1">
      <c r="A1749" s="26" t="s">
        <v>3502</v>
      </c>
      <c r="B1749" s="26" t="s">
        <v>3503</v>
      </c>
      <c r="C1749" s="14">
        <v>2.0</v>
      </c>
      <c r="D1749" s="23">
        <v>495.0</v>
      </c>
      <c r="E1749" s="23">
        <v>2.0</v>
      </c>
      <c r="F1749" s="27" t="str">
        <f t="array" ref="F1749">"https://www.google.com/maps/search/?api=1&amp;query=" &amp; A1749 &amp; "," &amp; B1749</f>
        <v>https://www.google.com/maps/search/?api=1&amp;query=-30.9049035755514,-55.53693759971050</v>
      </c>
      <c r="G1749" s="27" t="str">
        <f t="array" ref="G1749">"https://earth.google.com/web/search/" &amp; A1749 &amp; "," &amp; B1749</f>
        <v>https://earth.google.com/web/search/-30.9049035755514,-55.53693759971050</v>
      </c>
      <c r="H1749" s="12"/>
      <c r="I1749" s="12"/>
      <c r="J1749" s="12"/>
      <c r="K1749" s="12"/>
      <c r="L1749" s="12"/>
      <c r="M1749" s="12"/>
      <c r="N1749" s="12"/>
      <c r="O1749" s="12"/>
      <c r="P1749" s="12"/>
      <c r="Q1749" s="12"/>
      <c r="R1749" s="12"/>
      <c r="S1749" s="12"/>
      <c r="T1749" s="12"/>
      <c r="U1749" s="12"/>
      <c r="V1749" s="12"/>
      <c r="W1749" s="12"/>
      <c r="X1749" s="12"/>
      <c r="Y1749" s="12"/>
      <c r="Z1749" s="12"/>
      <c r="AA1749" s="12"/>
    </row>
    <row r="1750" ht="26.25" customHeight="1">
      <c r="A1750" s="26" t="s">
        <v>3504</v>
      </c>
      <c r="B1750" s="26" t="s">
        <v>3505</v>
      </c>
      <c r="C1750" s="14">
        <v>2.0</v>
      </c>
      <c r="D1750" s="23">
        <v>495.0</v>
      </c>
      <c r="E1750" s="23">
        <v>3.0</v>
      </c>
      <c r="F1750" s="27" t="str">
        <f t="array" ref="F1750">"https://www.google.com/maps/search/?api=1&amp;query=" &amp; A1750 &amp; "," &amp; B1750</f>
        <v>https://www.google.com/maps/search/?api=1&amp;query=-30.9049644634594,-55.53697235793160</v>
      </c>
      <c r="G1750" s="27" t="str">
        <f t="array" ref="G1750">"https://earth.google.com/web/search/" &amp; A1750 &amp; "," &amp; B1750</f>
        <v>https://earth.google.com/web/search/-30.9049644634594,-55.53697235793160</v>
      </c>
      <c r="H1750" s="12"/>
      <c r="I1750" s="12"/>
      <c r="J1750" s="12"/>
      <c r="K1750" s="12"/>
      <c r="L1750" s="12"/>
      <c r="M1750" s="12"/>
      <c r="N1750" s="12"/>
      <c r="O1750" s="12"/>
      <c r="P1750" s="12"/>
      <c r="Q1750" s="12"/>
      <c r="R1750" s="12"/>
      <c r="S1750" s="12"/>
      <c r="T1750" s="12"/>
      <c r="U1750" s="12"/>
      <c r="V1750" s="12"/>
      <c r="W1750" s="12"/>
      <c r="X1750" s="12"/>
      <c r="Y1750" s="12"/>
      <c r="Z1750" s="12"/>
      <c r="AA1750" s="12"/>
    </row>
    <row r="1751" ht="26.25" customHeight="1">
      <c r="A1751" s="26" t="s">
        <v>3506</v>
      </c>
      <c r="B1751" s="26" t="s">
        <v>3507</v>
      </c>
      <c r="C1751" s="14">
        <v>2.0</v>
      </c>
      <c r="D1751" s="23">
        <v>495.0</v>
      </c>
      <c r="E1751" s="23">
        <v>4.0</v>
      </c>
      <c r="F1751" s="27" t="str">
        <f t="array" ref="F1751">"https://www.google.com/maps/search/?api=1&amp;query=" &amp; A1751 &amp; "," &amp; B1751</f>
        <v>https://www.google.com/maps/search/?api=1&amp;query=-30.9050184781609,-55.53700771575380</v>
      </c>
      <c r="G1751" s="27" t="str">
        <f t="array" ref="G1751">"https://earth.google.com/web/search/" &amp; A1751 &amp; "," &amp; B1751</f>
        <v>https://earth.google.com/web/search/-30.9050184781609,-55.53700771575380</v>
      </c>
      <c r="H1751" s="12"/>
      <c r="I1751" s="12"/>
      <c r="J1751" s="12"/>
      <c r="K1751" s="12"/>
      <c r="L1751" s="12"/>
      <c r="M1751" s="12"/>
      <c r="N1751" s="12"/>
      <c r="O1751" s="12"/>
      <c r="P1751" s="12"/>
      <c r="Q1751" s="12"/>
      <c r="R1751" s="12"/>
      <c r="S1751" s="12"/>
      <c r="T1751" s="12"/>
      <c r="U1751" s="12"/>
      <c r="V1751" s="12"/>
      <c r="W1751" s="12"/>
      <c r="X1751" s="12"/>
      <c r="Y1751" s="12"/>
      <c r="Z1751" s="12"/>
      <c r="AA1751" s="12"/>
    </row>
    <row r="1752" ht="26.25" customHeight="1">
      <c r="A1752" s="26" t="s">
        <v>3508</v>
      </c>
      <c r="B1752" s="26" t="s">
        <v>3509</v>
      </c>
      <c r="C1752" s="14">
        <v>2.0</v>
      </c>
      <c r="D1752" s="23">
        <v>495.0</v>
      </c>
      <c r="E1752" s="23">
        <v>5.0</v>
      </c>
      <c r="F1752" s="27" t="str">
        <f t="array" ref="F1752">"https://www.google.com/maps/search/?api=1&amp;query=" &amp; A1752 &amp; "," &amp; B1752</f>
        <v>https://www.google.com/maps/search/?api=1&amp;query=-30.9052764294069,-55.53718178843340</v>
      </c>
      <c r="G1752" s="27" t="str">
        <f t="array" ref="G1752">"https://earth.google.com/web/search/" &amp; A1752 &amp; "," &amp; B1752</f>
        <v>https://earth.google.com/web/search/-30.9052764294069,-55.53718178843340</v>
      </c>
      <c r="H1752" s="12"/>
      <c r="I1752" s="12"/>
      <c r="J1752" s="12"/>
      <c r="K1752" s="12"/>
      <c r="L1752" s="12"/>
      <c r="M1752" s="12"/>
      <c r="N1752" s="12"/>
      <c r="O1752" s="12"/>
      <c r="P1752" s="12"/>
      <c r="Q1752" s="12"/>
      <c r="R1752" s="12"/>
      <c r="S1752" s="12"/>
      <c r="T1752" s="12"/>
      <c r="U1752" s="12"/>
      <c r="V1752" s="12"/>
      <c r="W1752" s="12"/>
      <c r="X1752" s="12"/>
      <c r="Y1752" s="12"/>
      <c r="Z1752" s="12"/>
      <c r="AA1752" s="12"/>
    </row>
    <row r="1753" ht="26.25" customHeight="1">
      <c r="A1753" s="26" t="s">
        <v>3510</v>
      </c>
      <c r="B1753" s="26" t="s">
        <v>3511</v>
      </c>
      <c r="C1753" s="14">
        <v>2.0</v>
      </c>
      <c r="D1753" s="23">
        <v>495.0</v>
      </c>
      <c r="E1753" s="23">
        <v>6.0</v>
      </c>
      <c r="F1753" s="27" t="str">
        <f t="array" ref="F1753">"https://www.google.com/maps/search/?api=1&amp;query=" &amp; A1753 &amp; "," &amp; B1753</f>
        <v>https://www.google.com/maps/search/?api=1&amp;query=-30.9054032401116,-55.53727458457190</v>
      </c>
      <c r="G1753" s="27" t="str">
        <f t="array" ref="G1753">"https://earth.google.com/web/search/" &amp; A1753 &amp; "," &amp; B1753</f>
        <v>https://earth.google.com/web/search/-30.9054032401116,-55.53727458457190</v>
      </c>
      <c r="H1753" s="12"/>
      <c r="I1753" s="12"/>
      <c r="J1753" s="12"/>
      <c r="K1753" s="12"/>
      <c r="L1753" s="12"/>
      <c r="M1753" s="12"/>
      <c r="N1753" s="12"/>
      <c r="O1753" s="12"/>
      <c r="P1753" s="12"/>
      <c r="Q1753" s="12"/>
      <c r="R1753" s="12"/>
      <c r="S1753" s="12"/>
      <c r="T1753" s="12"/>
      <c r="U1753" s="12"/>
      <c r="V1753" s="12"/>
      <c r="W1753" s="12"/>
      <c r="X1753" s="12"/>
      <c r="Y1753" s="12"/>
      <c r="Z1753" s="12"/>
      <c r="AA1753" s="12"/>
    </row>
    <row r="1754" ht="26.25" customHeight="1">
      <c r="A1754" s="26" t="s">
        <v>3512</v>
      </c>
      <c r="B1754" s="26" t="s">
        <v>3513</v>
      </c>
      <c r="C1754" s="14">
        <v>2.0</v>
      </c>
      <c r="D1754" s="23">
        <v>495.0</v>
      </c>
      <c r="E1754" s="23">
        <v>7.0</v>
      </c>
      <c r="F1754" s="27" t="str">
        <f t="array" ref="F1754">"https://www.google.com/maps/search/?api=1&amp;query=" &amp; A1754 &amp; "," &amp; B1754</f>
        <v>https://www.google.com/maps/search/?api=1&amp;query=-30.9054489232445,-55.53733460003440</v>
      </c>
      <c r="G1754" s="27" t="str">
        <f t="array" ref="G1754">"https://earth.google.com/web/search/" &amp; A1754 &amp; "," &amp; B1754</f>
        <v>https://earth.google.com/web/search/-30.9054489232445,-55.53733460003440</v>
      </c>
      <c r="H1754" s="12"/>
      <c r="I1754" s="12"/>
      <c r="J1754" s="12"/>
      <c r="K1754" s="12"/>
      <c r="L1754" s="12"/>
      <c r="M1754" s="12"/>
      <c r="N1754" s="12"/>
      <c r="O1754" s="12"/>
      <c r="P1754" s="12"/>
      <c r="Q1754" s="12"/>
      <c r="R1754" s="12"/>
      <c r="S1754" s="12"/>
      <c r="T1754" s="12"/>
      <c r="U1754" s="12"/>
      <c r="V1754" s="12"/>
      <c r="W1754" s="12"/>
      <c r="X1754" s="12"/>
      <c r="Y1754" s="12"/>
      <c r="Z1754" s="12"/>
      <c r="AA1754" s="12"/>
    </row>
    <row r="1755" ht="26.25" customHeight="1">
      <c r="A1755" s="26" t="s">
        <v>3514</v>
      </c>
      <c r="B1755" s="26" t="s">
        <v>3515</v>
      </c>
      <c r="C1755" s="14">
        <v>2.0</v>
      </c>
      <c r="D1755" s="23">
        <v>495.0</v>
      </c>
      <c r="E1755" s="23">
        <v>8.0</v>
      </c>
      <c r="F1755" s="27" t="str">
        <f t="array" ref="F1755">"https://www.google.com/maps/search/?api=1&amp;query=" &amp; A1755 &amp; "," &amp; B1755</f>
        <v>https://www.google.com/maps/search/?api=1&amp;query=-30.9055960020548,-55.53719122280710</v>
      </c>
      <c r="G1755" s="27" t="str">
        <f t="array" ref="G1755">"https://earth.google.com/web/search/" &amp; A1755 &amp; "," &amp; B1755</f>
        <v>https://earth.google.com/web/search/-30.9055960020548,-55.53719122280710</v>
      </c>
      <c r="H1755" s="12"/>
      <c r="I1755" s="12"/>
      <c r="J1755" s="12"/>
      <c r="K1755" s="12"/>
      <c r="L1755" s="12"/>
      <c r="M1755" s="12"/>
      <c r="N1755" s="12"/>
      <c r="O1755" s="12"/>
      <c r="P1755" s="12"/>
      <c r="Q1755" s="12"/>
      <c r="R1755" s="12"/>
      <c r="S1755" s="12"/>
      <c r="T1755" s="12"/>
      <c r="U1755" s="12"/>
      <c r="V1755" s="12"/>
      <c r="W1755" s="12"/>
      <c r="X1755" s="12"/>
      <c r="Y1755" s="12"/>
      <c r="Z1755" s="12"/>
      <c r="AA1755" s="12"/>
    </row>
    <row r="1756" ht="26.25" customHeight="1">
      <c r="A1756" s="26" t="s">
        <v>3516</v>
      </c>
      <c r="B1756" s="26" t="s">
        <v>3517</v>
      </c>
      <c r="C1756" s="14">
        <v>2.0</v>
      </c>
      <c r="D1756" s="23">
        <v>495.0</v>
      </c>
      <c r="E1756" s="23">
        <v>9.0</v>
      </c>
      <c r="F1756" s="27" t="str">
        <f t="array" ref="F1756">"https://www.google.com/maps/search/?api=1&amp;query=" &amp; A1756 &amp; "," &amp; B1756</f>
        <v>https://www.google.com/maps/search/?api=1&amp;query=-30.9057849909958,-55.53686932704230</v>
      </c>
      <c r="G1756" s="27" t="str">
        <f t="array" ref="G1756">"https://earth.google.com/web/search/" &amp; A1756 &amp; "," &amp; B1756</f>
        <v>https://earth.google.com/web/search/-30.9057849909958,-55.53686932704230</v>
      </c>
      <c r="H1756" s="12"/>
      <c r="I1756" s="12"/>
      <c r="J1756" s="12"/>
      <c r="K1756" s="12"/>
      <c r="L1756" s="12"/>
      <c r="M1756" s="12"/>
      <c r="N1756" s="12"/>
      <c r="O1756" s="12"/>
      <c r="P1756" s="12"/>
      <c r="Q1756" s="12"/>
      <c r="R1756" s="12"/>
      <c r="S1756" s="12"/>
      <c r="T1756" s="12"/>
      <c r="U1756" s="12"/>
      <c r="V1756" s="12"/>
      <c r="W1756" s="12"/>
      <c r="X1756" s="12"/>
      <c r="Y1756" s="12"/>
      <c r="Z1756" s="12"/>
      <c r="AA1756" s="12"/>
    </row>
    <row r="1757" ht="26.25" customHeight="1">
      <c r="A1757" s="26" t="s">
        <v>3518</v>
      </c>
      <c r="B1757" s="26" t="s">
        <v>3519</v>
      </c>
      <c r="C1757" s="14">
        <v>2.0</v>
      </c>
      <c r="D1757" s="23">
        <v>495.0</v>
      </c>
      <c r="E1757" s="23">
        <v>10.0</v>
      </c>
      <c r="F1757" s="27" t="str">
        <f t="array" ref="F1757">"https://www.google.com/maps/search/?api=1&amp;query=" &amp; A1757 &amp; "," &amp; B1757</f>
        <v>https://www.google.com/maps/search/?api=1&amp;query=-30.9055021180505,-55.53640517644610</v>
      </c>
      <c r="G1757" s="27" t="str">
        <f t="array" ref="G1757">"https://earth.google.com/web/search/" &amp; A1757 &amp; "," &amp; B1757</f>
        <v>https://earth.google.com/web/search/-30.9055021180505,-55.53640517644610</v>
      </c>
      <c r="H1757" s="12"/>
      <c r="I1757" s="12"/>
      <c r="J1757" s="12"/>
      <c r="K1757" s="12"/>
      <c r="L1757" s="12"/>
      <c r="M1757" s="12"/>
      <c r="N1757" s="12"/>
      <c r="O1757" s="12"/>
      <c r="P1757" s="12"/>
      <c r="Q1757" s="12"/>
      <c r="R1757" s="12"/>
      <c r="S1757" s="12"/>
      <c r="T1757" s="12"/>
      <c r="U1757" s="12"/>
      <c r="V1757" s="12"/>
      <c r="W1757" s="12"/>
      <c r="X1757" s="12"/>
      <c r="Y1757" s="12"/>
      <c r="Z1757" s="12"/>
      <c r="AA1757" s="12"/>
    </row>
    <row r="1758" ht="26.25" customHeight="1">
      <c r="A1758" s="26" t="s">
        <v>3520</v>
      </c>
      <c r="B1758" s="26" t="s">
        <v>3521</v>
      </c>
      <c r="C1758" s="14">
        <v>2.0</v>
      </c>
      <c r="D1758" s="23">
        <v>495.0</v>
      </c>
      <c r="E1758" s="23">
        <v>11.0</v>
      </c>
      <c r="F1758" s="27" t="str">
        <f t="array" ref="F1758">"https://www.google.com/maps/search/?api=1&amp;query=" &amp; A1758 &amp; "," &amp; B1758</f>
        <v>https://www.google.com/maps/search/?api=1&amp;query=-30.9051610005742,-55.53621987106690</v>
      </c>
      <c r="G1758" s="27" t="str">
        <f t="array" ref="G1758">"https://earth.google.com/web/search/" &amp; A1758 &amp; "," &amp; B1758</f>
        <v>https://earth.google.com/web/search/-30.9051610005742,-55.53621987106690</v>
      </c>
      <c r="H1758" s="12"/>
      <c r="I1758" s="12"/>
      <c r="J1758" s="12"/>
      <c r="K1758" s="12"/>
      <c r="L1758" s="12"/>
      <c r="M1758" s="12"/>
      <c r="N1758" s="12"/>
      <c r="O1758" s="12"/>
      <c r="P1758" s="12"/>
      <c r="Q1758" s="12"/>
      <c r="R1758" s="12"/>
      <c r="S1758" s="12"/>
      <c r="T1758" s="12"/>
      <c r="U1758" s="12"/>
      <c r="V1758" s="12"/>
      <c r="W1758" s="12"/>
      <c r="X1758" s="12"/>
      <c r="Y1758" s="12"/>
      <c r="Z1758" s="12"/>
      <c r="AA1758" s="12"/>
    </row>
    <row r="1759" ht="26.25" customHeight="1">
      <c r="A1759" s="26" t="s">
        <v>3522</v>
      </c>
      <c r="B1759" s="26" t="s">
        <v>3523</v>
      </c>
      <c r="C1759" s="14">
        <v>2.0</v>
      </c>
      <c r="D1759" s="23">
        <v>495.0</v>
      </c>
      <c r="E1759" s="23">
        <v>12.0</v>
      </c>
      <c r="F1759" s="27" t="str">
        <f t="array" ref="F1759">"https://www.google.com/maps/search/?api=1&amp;query=" &amp; A1759 &amp; "," &amp; B1759</f>
        <v>https://www.google.com/maps/search/?api=1&amp;query=-30.9051130455744,-5.55362766635876</v>
      </c>
      <c r="G1759" s="27" t="str">
        <f t="array" ref="G1759">"https://earth.google.com/web/search/" &amp; A1759 &amp; "," &amp; B1759</f>
        <v>https://earth.google.com/web/search/-30.9051130455744,-5.55362766635876</v>
      </c>
      <c r="H1759" s="12"/>
      <c r="I1759" s="12"/>
      <c r="J1759" s="12"/>
      <c r="K1759" s="12"/>
      <c r="L1759" s="12"/>
      <c r="M1759" s="12"/>
      <c r="N1759" s="12"/>
      <c r="O1759" s="12"/>
      <c r="P1759" s="12"/>
      <c r="Q1759" s="12"/>
      <c r="R1759" s="12"/>
      <c r="S1759" s="12"/>
      <c r="T1759" s="12"/>
      <c r="U1759" s="12"/>
      <c r="V1759" s="12"/>
      <c r="W1759" s="12"/>
      <c r="X1759" s="12"/>
      <c r="Y1759" s="12"/>
      <c r="Z1759" s="12"/>
      <c r="AA1759" s="12"/>
    </row>
    <row r="1760" ht="26.25" customHeight="1">
      <c r="A1760" s="26" t="s">
        <v>3524</v>
      </c>
      <c r="B1760" s="26" t="s">
        <v>3525</v>
      </c>
      <c r="C1760" s="14">
        <v>2.0</v>
      </c>
      <c r="D1760" s="23">
        <v>495.0</v>
      </c>
      <c r="E1760" s="23">
        <v>13.0</v>
      </c>
      <c r="F1760" s="27" t="str">
        <f t="array" ref="F1760">"https://www.google.com/maps/search/?api=1&amp;query=" &amp; A1760 &amp; "," &amp; B1760</f>
        <v>https://www.google.com/maps/search/?api=1&amp;query=-30.9050851213897,-55.53632254947860</v>
      </c>
      <c r="G1760" s="27" t="str">
        <f t="array" ref="G1760">"https://earth.google.com/web/search/" &amp; A1760 &amp; "," &amp; B1760</f>
        <v>https://earth.google.com/web/search/-30.9050851213897,-55.53632254947860</v>
      </c>
      <c r="H1760" s="12"/>
      <c r="I1760" s="12"/>
      <c r="J1760" s="12"/>
      <c r="K1760" s="12"/>
      <c r="L1760" s="12"/>
      <c r="M1760" s="12"/>
      <c r="N1760" s="12"/>
      <c r="O1760" s="12"/>
      <c r="P1760" s="12"/>
      <c r="Q1760" s="12"/>
      <c r="R1760" s="12"/>
      <c r="S1760" s="12"/>
      <c r="T1760" s="12"/>
      <c r="U1760" s="12"/>
      <c r="V1760" s="12"/>
      <c r="W1760" s="12"/>
      <c r="X1760" s="12"/>
      <c r="Y1760" s="12"/>
      <c r="Z1760" s="12"/>
      <c r="AA1760" s="12"/>
    </row>
    <row r="1761" ht="26.25" customHeight="1">
      <c r="A1761" s="26" t="s">
        <v>3526</v>
      </c>
      <c r="B1761" s="26" t="s">
        <v>3527</v>
      </c>
      <c r="C1761" s="14">
        <v>2.0</v>
      </c>
      <c r="D1761" s="23">
        <v>495.0</v>
      </c>
      <c r="E1761" s="23">
        <v>14.0</v>
      </c>
      <c r="F1761" s="27" t="str">
        <f t="array" ref="F1761">"https://www.google.com/maps/search/?api=1&amp;query=" &amp; A1761 &amp; "," &amp; B1761</f>
        <v>https://www.google.com/maps/search/?api=1&amp;query=-30.9050616018506,-55.53635682301690</v>
      </c>
      <c r="G1761" s="27" t="str">
        <f t="array" ref="G1761">"https://earth.google.com/web/search/" &amp; A1761 &amp; "," &amp; B1761</f>
        <v>https://earth.google.com/web/search/-30.9050616018506,-55.53635682301690</v>
      </c>
      <c r="H1761" s="12"/>
      <c r="I1761" s="12"/>
      <c r="J1761" s="12"/>
      <c r="K1761" s="12"/>
      <c r="L1761" s="12"/>
      <c r="M1761" s="12"/>
      <c r="N1761" s="12"/>
      <c r="O1761" s="12"/>
      <c r="P1761" s="12"/>
      <c r="Q1761" s="12"/>
      <c r="R1761" s="12"/>
      <c r="S1761" s="12"/>
      <c r="T1761" s="12"/>
      <c r="U1761" s="12"/>
      <c r="V1761" s="12"/>
      <c r="W1761" s="12"/>
      <c r="X1761" s="12"/>
      <c r="Y1761" s="12"/>
      <c r="Z1761" s="12"/>
      <c r="AA1761" s="12"/>
    </row>
    <row r="1762" ht="26.25" customHeight="1">
      <c r="A1762" s="26" t="s">
        <v>3528</v>
      </c>
      <c r="B1762" s="26" t="s">
        <v>3529</v>
      </c>
      <c r="C1762" s="14">
        <v>2.0</v>
      </c>
      <c r="D1762" s="23">
        <v>495.0</v>
      </c>
      <c r="E1762" s="23">
        <v>15.0</v>
      </c>
      <c r="F1762" s="27" t="str">
        <f t="array" ref="F1762">"https://www.google.com/maps/search/?api=1&amp;query=" &amp; A1762 &amp; "," &amp; B1762</f>
        <v>https://www.google.com/maps/search/?api=1&amp;query=-30.9050487824079,-55.53641657658630</v>
      </c>
      <c r="G1762" s="27" t="str">
        <f t="array" ref="G1762">"https://earth.google.com/web/search/" &amp; A1762 &amp; "," &amp; B1762</f>
        <v>https://earth.google.com/web/search/-30.9050487824079,-55.53641657658630</v>
      </c>
      <c r="H1762" s="12"/>
      <c r="I1762" s="12"/>
      <c r="J1762" s="12"/>
      <c r="K1762" s="12"/>
      <c r="L1762" s="12"/>
      <c r="M1762" s="12"/>
      <c r="N1762" s="12"/>
      <c r="O1762" s="12"/>
      <c r="P1762" s="12"/>
      <c r="Q1762" s="12"/>
      <c r="R1762" s="12"/>
      <c r="S1762" s="12"/>
      <c r="T1762" s="12"/>
      <c r="U1762" s="12"/>
      <c r="V1762" s="12"/>
      <c r="W1762" s="12"/>
      <c r="X1762" s="12"/>
      <c r="Y1762" s="12"/>
      <c r="Z1762" s="12"/>
      <c r="AA1762" s="12"/>
    </row>
    <row r="1763" ht="26.25" customHeight="1">
      <c r="A1763" s="26" t="s">
        <v>3530</v>
      </c>
      <c r="B1763" s="26" t="s">
        <v>3531</v>
      </c>
      <c r="C1763" s="14">
        <v>2.0</v>
      </c>
      <c r="D1763" s="23">
        <v>496.0</v>
      </c>
      <c r="E1763" s="23">
        <v>1.0</v>
      </c>
      <c r="F1763" s="27" t="str">
        <f t="array" ref="F1763">"https://www.google.com/maps/search/?api=1&amp;query=" &amp; A1763 &amp; "," &amp; B1763</f>
        <v>https://www.google.com/maps/search/?api=1&amp;query=-30.9052768009813,-55.53610851623710</v>
      </c>
      <c r="G1763" s="27" t="str">
        <f t="array" ref="G1763">"https://earth.google.com/web/search/" &amp; A1763 &amp; "," &amp; B1763</f>
        <v>https://earth.google.com/web/search/-30.9052768009813,-55.53610851623710</v>
      </c>
      <c r="H1763" s="12"/>
      <c r="I1763" s="12"/>
      <c r="J1763" s="12"/>
      <c r="K1763" s="12"/>
      <c r="L1763" s="12"/>
      <c r="M1763" s="12"/>
      <c r="N1763" s="12"/>
      <c r="O1763" s="12"/>
      <c r="P1763" s="12"/>
      <c r="Q1763" s="12"/>
      <c r="R1763" s="12"/>
      <c r="S1763" s="12"/>
      <c r="T1763" s="12"/>
      <c r="U1763" s="12"/>
      <c r="V1763" s="12"/>
      <c r="W1763" s="12"/>
      <c r="X1763" s="12"/>
      <c r="Y1763" s="12"/>
      <c r="Z1763" s="12"/>
      <c r="AA1763" s="12"/>
    </row>
    <row r="1764" ht="26.25" customHeight="1">
      <c r="A1764" s="26" t="s">
        <v>3532</v>
      </c>
      <c r="B1764" s="26" t="s">
        <v>3533</v>
      </c>
      <c r="C1764" s="14">
        <v>2.0</v>
      </c>
      <c r="D1764" s="23">
        <v>496.0</v>
      </c>
      <c r="E1764" s="23">
        <v>2.0</v>
      </c>
      <c r="F1764" s="27" t="str">
        <f t="array" ref="F1764">"https://www.google.com/maps/search/?api=1&amp;query=" &amp; A1764 &amp; "," &amp; B1764</f>
        <v>https://www.google.com/maps/search/?api=1&amp;query=-30.9054790656944,-55.53628376255410</v>
      </c>
      <c r="G1764" s="27" t="str">
        <f t="array" ref="G1764">"https://earth.google.com/web/search/" &amp; A1764 &amp; "," &amp; B1764</f>
        <v>https://earth.google.com/web/search/-30.9054790656944,-55.53628376255410</v>
      </c>
      <c r="H1764" s="12"/>
      <c r="I1764" s="12"/>
      <c r="J1764" s="12"/>
      <c r="K1764" s="12"/>
      <c r="L1764" s="12"/>
      <c r="M1764" s="12"/>
      <c r="N1764" s="12"/>
      <c r="O1764" s="12"/>
      <c r="P1764" s="12"/>
      <c r="Q1764" s="12"/>
      <c r="R1764" s="12"/>
      <c r="S1764" s="12"/>
      <c r="T1764" s="12"/>
      <c r="U1764" s="12"/>
      <c r="V1764" s="12"/>
      <c r="W1764" s="12"/>
      <c r="X1764" s="12"/>
      <c r="Y1764" s="12"/>
      <c r="Z1764" s="12"/>
      <c r="AA1764" s="12"/>
    </row>
    <row r="1765" ht="26.25" customHeight="1">
      <c r="A1765" s="26" t="s">
        <v>3534</v>
      </c>
      <c r="B1765" s="26" t="s">
        <v>3535</v>
      </c>
      <c r="C1765" s="14">
        <v>2.0</v>
      </c>
      <c r="D1765" s="23">
        <v>496.0</v>
      </c>
      <c r="E1765" s="23">
        <v>3.0</v>
      </c>
      <c r="F1765" s="27" t="str">
        <f t="array" ref="F1765">"https://www.google.com/maps/search/?api=1&amp;query=" &amp; A1765 &amp; "," &amp; B1765</f>
        <v>https://www.google.com/maps/search/?api=1&amp;query=-3.0905554066951,-55.53632320318870</v>
      </c>
      <c r="G1765" s="27" t="str">
        <f t="array" ref="G1765">"https://earth.google.com/web/search/" &amp; A1765 &amp; "," &amp; B1765</f>
        <v>https://earth.google.com/web/search/-3.0905554066951,-55.53632320318870</v>
      </c>
      <c r="H1765" s="12"/>
      <c r="I1765" s="12"/>
      <c r="J1765" s="12"/>
      <c r="K1765" s="12"/>
      <c r="L1765" s="12"/>
      <c r="M1765" s="12"/>
      <c r="N1765" s="12"/>
      <c r="O1765" s="12"/>
      <c r="P1765" s="12"/>
      <c r="Q1765" s="12"/>
      <c r="R1765" s="12"/>
      <c r="S1765" s="12"/>
      <c r="T1765" s="12"/>
      <c r="U1765" s="12"/>
      <c r="V1765" s="12"/>
      <c r="W1765" s="12"/>
      <c r="X1765" s="12"/>
      <c r="Y1765" s="12"/>
      <c r="Z1765" s="12"/>
      <c r="AA1765" s="12"/>
    </row>
    <row r="1766" ht="26.25" customHeight="1">
      <c r="A1766" s="26" t="s">
        <v>3536</v>
      </c>
      <c r="B1766" s="26" t="s">
        <v>3537</v>
      </c>
      <c r="C1766" s="14">
        <v>2.0</v>
      </c>
      <c r="D1766" s="23">
        <v>496.0</v>
      </c>
      <c r="E1766" s="23">
        <v>4.0</v>
      </c>
      <c r="F1766" s="27" t="str">
        <f t="array" ref="F1766">"https://www.google.com/maps/search/?api=1&amp;query=" &amp; A1766 &amp; "," &amp; B1766</f>
        <v>https://www.google.com/maps/search/?api=1&amp;query=-30.9057333295201,-55.53644210715180</v>
      </c>
      <c r="G1766" s="27" t="str">
        <f t="array" ref="G1766">"https://earth.google.com/web/search/" &amp; A1766 &amp; "," &amp; B1766</f>
        <v>https://earth.google.com/web/search/-30.9057333295201,-55.53644210715180</v>
      </c>
      <c r="H1766" s="12"/>
      <c r="I1766" s="12"/>
      <c r="J1766" s="12"/>
      <c r="K1766" s="12"/>
      <c r="L1766" s="12"/>
      <c r="M1766" s="12"/>
      <c r="N1766" s="12"/>
      <c r="O1766" s="12"/>
      <c r="P1766" s="12"/>
      <c r="Q1766" s="12"/>
      <c r="R1766" s="12"/>
      <c r="S1766" s="12"/>
      <c r="T1766" s="12"/>
      <c r="U1766" s="12"/>
      <c r="V1766" s="12"/>
      <c r="W1766" s="12"/>
      <c r="X1766" s="12"/>
      <c r="Y1766" s="12"/>
      <c r="Z1766" s="12"/>
      <c r="AA1766" s="12"/>
    </row>
    <row r="1767" ht="26.25" customHeight="1">
      <c r="A1767" s="26" t="s">
        <v>3538</v>
      </c>
      <c r="B1767" s="26" t="s">
        <v>3539</v>
      </c>
      <c r="C1767" s="14">
        <v>2.0</v>
      </c>
      <c r="D1767" s="23">
        <v>496.0</v>
      </c>
      <c r="E1767" s="23">
        <v>5.0</v>
      </c>
      <c r="F1767" s="27" t="str">
        <f t="array" ref="F1767">"https://www.google.com/maps/search/?api=1&amp;query=" &amp; A1767 &amp; "," &amp; B1767</f>
        <v>https://www.google.com/maps/search/?api=1&amp;query=-30.9061051593736,-55.53624765193790</v>
      </c>
      <c r="G1767" s="27" t="str">
        <f t="array" ref="G1767">"https://earth.google.com/web/search/" &amp; A1767 &amp; "," &amp; B1767</f>
        <v>https://earth.google.com/web/search/-30.9061051593736,-55.53624765193790</v>
      </c>
      <c r="H1767" s="12"/>
      <c r="I1767" s="12"/>
      <c r="J1767" s="12"/>
      <c r="K1767" s="12"/>
      <c r="L1767" s="12"/>
      <c r="M1767" s="12"/>
      <c r="N1767" s="12"/>
      <c r="O1767" s="12"/>
      <c r="P1767" s="12"/>
      <c r="Q1767" s="12"/>
      <c r="R1767" s="12"/>
      <c r="S1767" s="12"/>
      <c r="T1767" s="12"/>
      <c r="U1767" s="12"/>
      <c r="V1767" s="12"/>
      <c r="W1767" s="12"/>
      <c r="X1767" s="12"/>
      <c r="Y1767" s="12"/>
      <c r="Z1767" s="12"/>
      <c r="AA1767" s="12"/>
    </row>
    <row r="1768" ht="26.25" customHeight="1">
      <c r="A1768" s="26" t="s">
        <v>3540</v>
      </c>
      <c r="B1768" s="26" t="s">
        <v>3541</v>
      </c>
      <c r="C1768" s="14">
        <v>2.0</v>
      </c>
      <c r="D1768" s="23">
        <v>496.0</v>
      </c>
      <c r="E1768" s="23">
        <v>6.0</v>
      </c>
      <c r="F1768" s="27" t="str">
        <f t="array" ref="F1768">"https://www.google.com/maps/search/?api=1&amp;query=" &amp; A1768 &amp; "," &amp; B1768</f>
        <v>https://www.google.com/maps/search/?api=1&amp;query=-30.9062063799501,-5.55360759620048</v>
      </c>
      <c r="G1768" s="27" t="str">
        <f t="array" ref="G1768">"https://earth.google.com/web/search/" &amp; A1768 &amp; "," &amp; B1768</f>
        <v>https://earth.google.com/web/search/-30.9062063799501,-5.55360759620048</v>
      </c>
      <c r="H1768" s="12"/>
      <c r="I1768" s="12"/>
      <c r="J1768" s="12"/>
      <c r="K1768" s="12"/>
      <c r="L1768" s="12"/>
      <c r="M1768" s="12"/>
      <c r="N1768" s="12"/>
      <c r="O1768" s="12"/>
      <c r="P1768" s="12"/>
      <c r="Q1768" s="12"/>
      <c r="R1768" s="12"/>
      <c r="S1768" s="12"/>
      <c r="T1768" s="12"/>
      <c r="U1768" s="12"/>
      <c r="V1768" s="12"/>
      <c r="W1768" s="12"/>
      <c r="X1768" s="12"/>
      <c r="Y1768" s="12"/>
      <c r="Z1768" s="12"/>
      <c r="AA1768" s="12"/>
    </row>
    <row r="1769" ht="26.25" customHeight="1">
      <c r="A1769" s="26" t="s">
        <v>3542</v>
      </c>
      <c r="B1769" s="26" t="s">
        <v>3543</v>
      </c>
      <c r="C1769" s="14">
        <v>2.0</v>
      </c>
      <c r="D1769" s="23">
        <v>496.0</v>
      </c>
      <c r="E1769" s="23">
        <v>7.0</v>
      </c>
      <c r="F1769" s="27" t="str">
        <f t="array" ref="F1769">"https://www.google.com/maps/search/?api=1&amp;query=" &amp; A1769 &amp; "," &amp; B1769</f>
        <v>https://www.google.com/maps/search/?api=1&amp;query=-30.9062413474000,-55.53601242356190</v>
      </c>
      <c r="G1769" s="27" t="str">
        <f t="array" ref="G1769">"https://earth.google.com/web/search/" &amp; A1769 &amp; "," &amp; B1769</f>
        <v>https://earth.google.com/web/search/-30.9062413474000,-55.53601242356190</v>
      </c>
      <c r="H1769" s="12"/>
      <c r="I1769" s="12"/>
      <c r="J1769" s="12"/>
      <c r="K1769" s="12"/>
      <c r="L1769" s="12"/>
      <c r="M1769" s="12"/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/>
    </row>
    <row r="1770" ht="26.25" customHeight="1">
      <c r="A1770" s="26" t="s">
        <v>3544</v>
      </c>
      <c r="B1770" s="26" t="s">
        <v>3545</v>
      </c>
      <c r="C1770" s="14">
        <v>2.0</v>
      </c>
      <c r="D1770" s="23">
        <v>496.0</v>
      </c>
      <c r="E1770" s="23">
        <v>8.0</v>
      </c>
      <c r="F1770" s="27" t="str">
        <f t="array" ref="F1770">"https://www.google.com/maps/search/?api=1&amp;query=" &amp; A1770 &amp; "," &amp; B1770</f>
        <v>https://www.google.com/maps/search/?api=1&amp;query=-30.9060636660535,-55.53579569990800</v>
      </c>
      <c r="G1770" s="27" t="str">
        <f t="array" ref="G1770">"https://earth.google.com/web/search/" &amp; A1770 &amp; "," &amp; B1770</f>
        <v>https://earth.google.com/web/search/-30.9060636660535,-55.53579569990800</v>
      </c>
      <c r="H1770" s="12"/>
      <c r="I1770" s="12"/>
      <c r="J1770" s="12"/>
      <c r="K1770" s="12"/>
      <c r="L1770" s="12"/>
      <c r="M1770" s="12"/>
      <c r="N1770" s="12"/>
      <c r="O1770" s="12"/>
      <c r="P1770" s="12"/>
      <c r="Q1770" s="12"/>
      <c r="R1770" s="12"/>
      <c r="S1770" s="12"/>
      <c r="T1770" s="12"/>
      <c r="U1770" s="12"/>
      <c r="V1770" s="12"/>
      <c r="W1770" s="12"/>
      <c r="X1770" s="12"/>
      <c r="Y1770" s="12"/>
      <c r="Z1770" s="12"/>
      <c r="AA1770" s="12"/>
    </row>
    <row r="1771" ht="26.25" customHeight="1">
      <c r="A1771" s="26" t="s">
        <v>3546</v>
      </c>
      <c r="B1771" s="26" t="s">
        <v>3547</v>
      </c>
      <c r="C1771" s="14">
        <v>2.0</v>
      </c>
      <c r="D1771" s="23">
        <v>496.0</v>
      </c>
      <c r="E1771" s="23">
        <v>9.0</v>
      </c>
      <c r="F1771" s="27" t="str">
        <f t="array" ref="F1771">"https://www.google.com/maps/search/?api=1&amp;query=" &amp; A1771 &amp; "," &amp; B1771</f>
        <v>https://www.google.com/maps/search/?api=1&amp;query=-30.9052779981245,-5.55359698228494</v>
      </c>
      <c r="G1771" s="27" t="str">
        <f t="array" ref="G1771">"https://earth.google.com/web/search/" &amp; A1771 &amp; "," &amp; B1771</f>
        <v>https://earth.google.com/web/search/-30.9052779981245,-5.55359698228494</v>
      </c>
      <c r="H1771" s="12"/>
      <c r="I1771" s="12"/>
      <c r="J1771" s="12"/>
      <c r="K1771" s="12"/>
      <c r="L1771" s="12"/>
      <c r="M1771" s="12"/>
      <c r="N1771" s="12"/>
      <c r="O1771" s="12"/>
      <c r="P1771" s="12"/>
      <c r="Q1771" s="12"/>
      <c r="R1771" s="12"/>
      <c r="S1771" s="12"/>
      <c r="T1771" s="12"/>
      <c r="U1771" s="12"/>
      <c r="V1771" s="12"/>
      <c r="W1771" s="12"/>
      <c r="X1771" s="12"/>
      <c r="Y1771" s="12"/>
      <c r="Z1771" s="12"/>
      <c r="AA1771" s="12"/>
    </row>
    <row r="1772" ht="26.25" customHeight="1">
      <c r="A1772" s="26" t="s">
        <v>3548</v>
      </c>
      <c r="B1772" s="26" t="s">
        <v>3549</v>
      </c>
      <c r="C1772" s="14">
        <v>2.0</v>
      </c>
      <c r="D1772" s="23">
        <v>497.0</v>
      </c>
      <c r="E1772" s="23">
        <v>1.0</v>
      </c>
      <c r="F1772" s="27" t="str">
        <f t="array" ref="F1772">"https://www.google.com/maps/search/?api=1&amp;query=" &amp; A1772 &amp; "," &amp; B1772</f>
        <v>https://www.google.com/maps/search/?api=1&amp;query=-30.9060319408231,-55.53566659288470</v>
      </c>
      <c r="G1772" s="27" t="str">
        <f t="array" ref="G1772">"https://earth.google.com/web/search/" &amp; A1772 &amp; "," &amp; B1772</f>
        <v>https://earth.google.com/web/search/-30.9060319408231,-55.53566659288470</v>
      </c>
      <c r="H1772" s="12"/>
      <c r="I1772" s="12"/>
      <c r="J1772" s="12"/>
      <c r="K1772" s="12"/>
      <c r="L1772" s="12"/>
      <c r="M1772" s="12"/>
      <c r="N1772" s="12"/>
      <c r="O1772" s="12"/>
      <c r="P1772" s="12"/>
      <c r="Q1772" s="12"/>
      <c r="R1772" s="12"/>
      <c r="S1772" s="12"/>
      <c r="T1772" s="12"/>
      <c r="U1772" s="12"/>
      <c r="V1772" s="12"/>
      <c r="W1772" s="12"/>
      <c r="X1772" s="12"/>
      <c r="Y1772" s="12"/>
      <c r="Z1772" s="12"/>
      <c r="AA1772" s="12"/>
    </row>
    <row r="1773" ht="26.25" customHeight="1">
      <c r="A1773" s="26" t="s">
        <v>3550</v>
      </c>
      <c r="B1773" s="26" t="s">
        <v>3551</v>
      </c>
      <c r="C1773" s="14">
        <v>2.0</v>
      </c>
      <c r="D1773" s="23">
        <v>497.0</v>
      </c>
      <c r="E1773" s="23">
        <v>2.0</v>
      </c>
      <c r="F1773" s="27" t="str">
        <f t="array" ref="F1773">"https://www.google.com/maps/search/?api=1&amp;query=" &amp; A1773 &amp; "," &amp; B1773</f>
        <v>https://www.google.com/maps/search/?api=1&amp;query=-30.9063746495897,-5.55357654767142</v>
      </c>
      <c r="G1773" s="27" t="str">
        <f t="array" ref="G1773">"https://earth.google.com/web/search/" &amp; A1773 &amp; "," &amp; B1773</f>
        <v>https://earth.google.com/web/search/-30.9063746495897,-5.55357654767142</v>
      </c>
      <c r="H1773" s="12"/>
      <c r="I1773" s="12"/>
      <c r="J1773" s="12"/>
      <c r="K1773" s="12"/>
      <c r="L1773" s="12"/>
      <c r="M1773" s="12"/>
      <c r="N1773" s="12"/>
      <c r="O1773" s="12"/>
      <c r="P1773" s="12"/>
      <c r="Q1773" s="12"/>
      <c r="R1773" s="12"/>
      <c r="S1773" s="12"/>
      <c r="T1773" s="12"/>
      <c r="U1773" s="12"/>
      <c r="V1773" s="12"/>
      <c r="W1773" s="12"/>
      <c r="X1773" s="12"/>
      <c r="Y1773" s="12"/>
      <c r="Z1773" s="12"/>
      <c r="AA1773" s="12"/>
    </row>
    <row r="1774" ht="26.25" customHeight="1">
      <c r="A1774" s="26" t="s">
        <v>3552</v>
      </c>
      <c r="B1774" s="26" t="s">
        <v>3553</v>
      </c>
      <c r="C1774" s="14">
        <v>2.0</v>
      </c>
      <c r="D1774" s="23">
        <v>497.0</v>
      </c>
      <c r="E1774" s="23">
        <v>3.0</v>
      </c>
      <c r="F1774" s="27" t="str">
        <f t="array" ref="F1774">"https://www.google.com/maps/search/?api=1&amp;query=" &amp; A1774 &amp; "," &amp; B1774</f>
        <v>https://www.google.com/maps/search/?api=1&amp;query=-30.9064694289468,-5.55355767460419</v>
      </c>
      <c r="G1774" s="27" t="str">
        <f t="array" ref="G1774">"https://earth.google.com/web/search/" &amp; A1774 &amp; "," &amp; B1774</f>
        <v>https://earth.google.com/web/search/-30.9064694289468,-5.55355767460419</v>
      </c>
      <c r="H1774" s="12"/>
      <c r="I1774" s="12"/>
      <c r="J1774" s="12"/>
      <c r="K1774" s="12"/>
      <c r="L1774" s="12"/>
      <c r="M1774" s="12"/>
      <c r="N1774" s="12"/>
      <c r="O1774" s="12"/>
      <c r="P1774" s="12"/>
      <c r="Q1774" s="12"/>
      <c r="R1774" s="12"/>
      <c r="S1774" s="12"/>
      <c r="T1774" s="12"/>
      <c r="U1774" s="12"/>
      <c r="V1774" s="12"/>
      <c r="W1774" s="12"/>
      <c r="X1774" s="12"/>
      <c r="Y1774" s="12"/>
      <c r="Z1774" s="12"/>
      <c r="AA1774" s="12"/>
    </row>
    <row r="1775" ht="26.25" customHeight="1">
      <c r="A1775" s="26" t="s">
        <v>3554</v>
      </c>
      <c r="B1775" s="26" t="s">
        <v>3555</v>
      </c>
      <c r="C1775" s="14">
        <v>2.0</v>
      </c>
      <c r="D1775" s="23">
        <v>497.0</v>
      </c>
      <c r="E1775" s="23">
        <v>4.0</v>
      </c>
      <c r="F1775" s="27" t="str">
        <f t="array" ref="F1775">"https://www.google.com/maps/search/?api=1&amp;query=" &amp; A1775 &amp; "," &amp; B1775</f>
        <v>https://www.google.com/maps/search/?api=1&amp;query=-30.9061343130864,-55.53483127654630</v>
      </c>
      <c r="G1775" s="27" t="str">
        <f t="array" ref="G1775">"https://earth.google.com/web/search/" &amp; A1775 &amp; "," &amp; B1775</f>
        <v>https://earth.google.com/web/search/-30.9061343130864,-55.53483127654630</v>
      </c>
      <c r="H1775" s="12"/>
      <c r="I1775" s="12"/>
      <c r="J1775" s="12"/>
      <c r="K1775" s="12"/>
      <c r="L1775" s="12"/>
      <c r="M1775" s="12"/>
      <c r="N1775" s="12"/>
      <c r="O1775" s="12"/>
      <c r="P1775" s="12"/>
      <c r="Q1775" s="12"/>
      <c r="R1775" s="12"/>
      <c r="S1775" s="12"/>
      <c r="T1775" s="12"/>
      <c r="U1775" s="12"/>
      <c r="V1775" s="12"/>
      <c r="W1775" s="12"/>
      <c r="X1775" s="12"/>
      <c r="Y1775" s="12"/>
      <c r="Z1775" s="12"/>
      <c r="AA1775" s="12"/>
    </row>
    <row r="1776" ht="26.25" customHeight="1">
      <c r="A1776" s="26" t="s">
        <v>3556</v>
      </c>
      <c r="B1776" s="26" t="s">
        <v>3557</v>
      </c>
      <c r="C1776" s="14">
        <v>2.0</v>
      </c>
      <c r="D1776" s="23">
        <v>497.0</v>
      </c>
      <c r="E1776" s="23">
        <v>5.0</v>
      </c>
      <c r="F1776" s="27" t="str">
        <f t="array" ref="F1776">"https://www.google.com/maps/search/?api=1&amp;query=" &amp; A1776 &amp; "," &amp; B1776</f>
        <v>https://www.google.com/maps/search/?api=1&amp;query=-30.9057783779758,-55.53503258878400</v>
      </c>
      <c r="G1776" s="27" t="str">
        <f t="array" ref="G1776">"https://earth.google.com/web/search/" &amp; A1776 &amp; "," &amp; B1776</f>
        <v>https://earth.google.com/web/search/-30.9057783779758,-55.53503258878400</v>
      </c>
      <c r="H1776" s="12"/>
      <c r="I1776" s="12"/>
      <c r="J1776" s="12"/>
      <c r="K1776" s="12"/>
      <c r="L1776" s="12"/>
      <c r="M1776" s="12"/>
      <c r="N1776" s="12"/>
      <c r="O1776" s="12"/>
      <c r="P1776" s="12"/>
      <c r="Q1776" s="12"/>
      <c r="R1776" s="12"/>
      <c r="S1776" s="12"/>
      <c r="T1776" s="12"/>
      <c r="U1776" s="12"/>
      <c r="V1776" s="12"/>
      <c r="W1776" s="12"/>
      <c r="X1776" s="12"/>
      <c r="Y1776" s="12"/>
      <c r="Z1776" s="12"/>
      <c r="AA1776" s="12"/>
    </row>
    <row r="1777" ht="26.25" customHeight="1">
      <c r="A1777" s="26" t="s">
        <v>3558</v>
      </c>
      <c r="B1777" s="26" t="s">
        <v>3559</v>
      </c>
      <c r="C1777" s="14">
        <v>2.0</v>
      </c>
      <c r="D1777" s="23">
        <v>876.0</v>
      </c>
      <c r="E1777" s="23">
        <v>1.0</v>
      </c>
      <c r="F1777" s="27" t="str">
        <f t="array" ref="F1777">"https://www.google.com/maps/search/?api=1&amp;query=" &amp; A1777 &amp; "," &amp; B1777</f>
        <v>https://www.google.com/maps/search/?api=1&amp;query=-30.9060825673719,-55.53466319545920</v>
      </c>
      <c r="G1777" s="27" t="str">
        <f t="array" ref="G1777">"https://earth.google.com/web/search/" &amp; A1777 &amp; "," &amp; B1777</f>
        <v>https://earth.google.com/web/search/-30.9060825673719,-55.53466319545920</v>
      </c>
      <c r="H1777" s="12"/>
      <c r="I1777" s="12"/>
      <c r="J1777" s="12"/>
      <c r="K1777" s="12"/>
      <c r="L1777" s="12"/>
      <c r="M1777" s="12"/>
      <c r="N1777" s="12"/>
      <c r="O1777" s="12"/>
      <c r="P1777" s="12"/>
      <c r="Q1777" s="12"/>
      <c r="R1777" s="12"/>
      <c r="S1777" s="12"/>
      <c r="T1777" s="12"/>
      <c r="U1777" s="12"/>
      <c r="V1777" s="12"/>
      <c r="W1777" s="12"/>
      <c r="X1777" s="12"/>
      <c r="Y1777" s="12"/>
      <c r="Z1777" s="12"/>
      <c r="AA1777" s="12"/>
    </row>
    <row r="1778" ht="26.25" customHeight="1">
      <c r="A1778" s="26" t="s">
        <v>3560</v>
      </c>
      <c r="B1778" s="26" t="s">
        <v>3561</v>
      </c>
      <c r="C1778" s="14">
        <v>2.0</v>
      </c>
      <c r="D1778" s="23">
        <v>876.0</v>
      </c>
      <c r="E1778" s="23">
        <v>2.0</v>
      </c>
      <c r="F1778" s="27" t="str">
        <f t="array" ref="F1778">"https://www.google.com/maps/search/?api=1&amp;query=" &amp; A1778 &amp; "," &amp; B1778</f>
        <v>https://www.google.com/maps/search/?api=1&amp;query=-30.9062950535840,-55.53481140201620</v>
      </c>
      <c r="G1778" s="27" t="str">
        <f t="array" ref="G1778">"https://earth.google.com/web/search/" &amp; A1778 &amp; "," &amp; B1778</f>
        <v>https://earth.google.com/web/search/-30.9062950535840,-55.53481140201620</v>
      </c>
      <c r="H1778" s="12"/>
      <c r="I1778" s="12"/>
      <c r="J1778" s="12"/>
      <c r="K1778" s="12"/>
      <c r="L1778" s="12"/>
      <c r="M1778" s="12"/>
      <c r="N1778" s="12"/>
      <c r="O1778" s="12"/>
      <c r="P1778" s="12"/>
      <c r="Q1778" s="12"/>
      <c r="R1778" s="12"/>
      <c r="S1778" s="12"/>
      <c r="T1778" s="12"/>
      <c r="U1778" s="12"/>
      <c r="V1778" s="12"/>
      <c r="W1778" s="12"/>
      <c r="X1778" s="12"/>
      <c r="Y1778" s="12"/>
      <c r="Z1778" s="12"/>
      <c r="AA1778" s="12"/>
    </row>
    <row r="1779" ht="26.25" customHeight="1">
      <c r="A1779" s="26" t="s">
        <v>3562</v>
      </c>
      <c r="B1779" s="26" t="s">
        <v>3563</v>
      </c>
      <c r="C1779" s="14">
        <v>2.0</v>
      </c>
      <c r="D1779" s="23">
        <v>876.0</v>
      </c>
      <c r="E1779" s="23">
        <v>3.0</v>
      </c>
      <c r="F1779" s="27" t="str">
        <f t="array" ref="F1779">"https://www.google.com/maps/search/?api=1&amp;query=" &amp; A1779 &amp; "," &amp; B1779</f>
        <v>https://www.google.com/maps/search/?api=1&amp;query=-30.9063955805265,-55.53487679743750</v>
      </c>
      <c r="G1779" s="27" t="str">
        <f t="array" ref="G1779">"https://earth.google.com/web/search/" &amp; A1779 &amp; "," &amp; B1779</f>
        <v>https://earth.google.com/web/search/-30.9063955805265,-55.53487679743750</v>
      </c>
      <c r="H1779" s="12"/>
      <c r="I1779" s="12"/>
      <c r="J1779" s="12"/>
      <c r="K1779" s="12"/>
      <c r="L1779" s="12"/>
      <c r="M1779" s="12"/>
      <c r="N1779" s="12"/>
      <c r="O1779" s="12"/>
      <c r="P1779" s="12"/>
      <c r="Q1779" s="12"/>
      <c r="R1779" s="12"/>
      <c r="S1779" s="12"/>
      <c r="T1779" s="12"/>
      <c r="U1779" s="12"/>
      <c r="V1779" s="12"/>
      <c r="W1779" s="12"/>
      <c r="X1779" s="12"/>
      <c r="Y1779" s="12"/>
      <c r="Z1779" s="12"/>
      <c r="AA1779" s="12"/>
    </row>
    <row r="1780" ht="26.25" customHeight="1">
      <c r="A1780" s="26" t="s">
        <v>3564</v>
      </c>
      <c r="B1780" s="26" t="s">
        <v>3565</v>
      </c>
      <c r="C1780" s="14">
        <v>2.0</v>
      </c>
      <c r="D1780" s="23">
        <v>876.0</v>
      </c>
      <c r="E1780" s="23">
        <v>4.0</v>
      </c>
      <c r="F1780" s="27" t="str">
        <f t="array" ref="F1780">"https://www.google.com/maps/search/?api=1&amp;query=" &amp; A1780 &amp; "," &amp; B1780</f>
        <v>https://www.google.com/maps/search/?api=1&amp;query=-30.9064574151835,-55.53492461046280</v>
      </c>
      <c r="G1780" s="27" t="str">
        <f t="array" ref="G1780">"https://earth.google.com/web/search/" &amp; A1780 &amp; "," &amp; B1780</f>
        <v>https://earth.google.com/web/search/-30.9064574151835,-55.53492461046280</v>
      </c>
      <c r="H1780" s="12"/>
      <c r="I1780" s="12"/>
      <c r="J1780" s="12"/>
      <c r="K1780" s="12"/>
      <c r="L1780" s="12"/>
      <c r="M1780" s="12"/>
      <c r="N1780" s="12"/>
      <c r="O1780" s="12"/>
      <c r="P1780" s="12"/>
      <c r="Q1780" s="12"/>
      <c r="R1780" s="12"/>
      <c r="S1780" s="12"/>
      <c r="T1780" s="12"/>
      <c r="U1780" s="12"/>
      <c r="V1780" s="12"/>
      <c r="W1780" s="12"/>
      <c r="X1780" s="12"/>
      <c r="Y1780" s="12"/>
      <c r="Z1780" s="12"/>
      <c r="AA1780" s="12"/>
    </row>
    <row r="1781" ht="26.25" customHeight="1">
      <c r="A1781" s="26" t="s">
        <v>3566</v>
      </c>
      <c r="B1781" s="26" t="s">
        <v>3567</v>
      </c>
      <c r="C1781" s="14">
        <v>2.0</v>
      </c>
      <c r="D1781" s="23">
        <v>876.0</v>
      </c>
      <c r="E1781" s="23">
        <v>5.0</v>
      </c>
      <c r="F1781" s="27" t="str">
        <f t="array" ref="F1781">"https://www.google.com/maps/search/?api=1&amp;query=" &amp; A1781 &amp; "," &amp; B1781</f>
        <v>https://www.google.com/maps/search/?api=1&amp;query=-30.9066125543929,-55.53499033668180</v>
      </c>
      <c r="G1781" s="27" t="str">
        <f t="array" ref="G1781">"https://earth.google.com/web/search/" &amp; A1781 &amp; "," &amp; B1781</f>
        <v>https://earth.google.com/web/search/-30.9066125543929,-55.53499033668180</v>
      </c>
      <c r="H1781" s="12"/>
      <c r="I1781" s="12"/>
      <c r="J1781" s="12"/>
      <c r="K1781" s="12"/>
      <c r="L1781" s="12"/>
      <c r="M1781" s="12"/>
      <c r="N1781" s="12"/>
      <c r="O1781" s="12"/>
      <c r="P1781" s="12"/>
      <c r="Q1781" s="12"/>
      <c r="R1781" s="12"/>
      <c r="S1781" s="12"/>
      <c r="T1781" s="12"/>
      <c r="U1781" s="12"/>
      <c r="V1781" s="12"/>
      <c r="W1781" s="12"/>
      <c r="X1781" s="12"/>
      <c r="Y1781" s="12"/>
      <c r="Z1781" s="12"/>
      <c r="AA1781" s="12"/>
    </row>
    <row r="1782" ht="26.25" customHeight="1">
      <c r="A1782" s="26" t="s">
        <v>3568</v>
      </c>
      <c r="B1782" s="26" t="s">
        <v>3569</v>
      </c>
      <c r="C1782" s="14">
        <v>2.0</v>
      </c>
      <c r="D1782" s="23">
        <v>876.0</v>
      </c>
      <c r="E1782" s="23">
        <v>6.0</v>
      </c>
      <c r="F1782" s="27" t="str">
        <f t="array" ref="F1782">"https://www.google.com/maps/search/?api=1&amp;query=" &amp; A1782 &amp; "," &amp; B1782</f>
        <v>https://www.google.com/maps/search/?api=1&amp;query=-30.9066672991561,-55.53506904380900</v>
      </c>
      <c r="G1782" s="27" t="str">
        <f t="array" ref="G1782">"https://earth.google.com/web/search/" &amp; A1782 &amp; "," &amp; B1782</f>
        <v>https://earth.google.com/web/search/-30.9066672991561,-55.53506904380900</v>
      </c>
      <c r="H1782" s="12"/>
      <c r="I1782" s="12"/>
      <c r="J1782" s="12"/>
      <c r="K1782" s="12"/>
      <c r="L1782" s="12"/>
      <c r="M1782" s="12"/>
      <c r="N1782" s="12"/>
      <c r="O1782" s="12"/>
      <c r="P1782" s="12"/>
      <c r="Q1782" s="12"/>
      <c r="R1782" s="12"/>
      <c r="S1782" s="12"/>
      <c r="T1782" s="12"/>
      <c r="U1782" s="12"/>
      <c r="V1782" s="12"/>
      <c r="W1782" s="12"/>
      <c r="X1782" s="12"/>
      <c r="Y1782" s="12"/>
      <c r="Z1782" s="12"/>
      <c r="AA1782" s="12"/>
    </row>
    <row r="1783" ht="26.25" customHeight="1">
      <c r="A1783" s="26" t="s">
        <v>3570</v>
      </c>
      <c r="B1783" s="26" t="s">
        <v>3571</v>
      </c>
      <c r="C1783" s="14">
        <v>2.0</v>
      </c>
      <c r="D1783" s="23">
        <v>876.0</v>
      </c>
      <c r="E1783" s="23">
        <v>7.0</v>
      </c>
      <c r="F1783" s="27" t="str">
        <f t="array" ref="F1783">"https://www.google.com/maps/search/?api=1&amp;query=" &amp; A1783 &amp; "," &amp; B1783</f>
        <v>https://www.google.com/maps/search/?api=1&amp;query=-30.9068546980425,-55.53486109344650</v>
      </c>
      <c r="G1783" s="27" t="str">
        <f t="array" ref="G1783">"https://earth.google.com/web/search/" &amp; A1783 &amp; "," &amp; B1783</f>
        <v>https://earth.google.com/web/search/-30.9068546980425,-55.53486109344650</v>
      </c>
      <c r="H1783" s="12"/>
      <c r="I1783" s="12"/>
      <c r="J1783" s="12"/>
      <c r="K1783" s="12"/>
      <c r="L1783" s="12"/>
      <c r="M1783" s="12"/>
      <c r="N1783" s="12"/>
      <c r="O1783" s="12"/>
      <c r="P1783" s="12"/>
      <c r="Q1783" s="12"/>
      <c r="R1783" s="12"/>
      <c r="S1783" s="12"/>
      <c r="T1783" s="12"/>
      <c r="U1783" s="12"/>
      <c r="V1783" s="12"/>
      <c r="W1783" s="12"/>
      <c r="X1783" s="12"/>
      <c r="Y1783" s="12"/>
      <c r="Z1783" s="12"/>
      <c r="AA1783" s="12"/>
    </row>
    <row r="1784" ht="26.25" customHeight="1">
      <c r="A1784" s="26" t="s">
        <v>3572</v>
      </c>
      <c r="B1784" s="26" t="s">
        <v>3573</v>
      </c>
      <c r="C1784" s="14">
        <v>2.0</v>
      </c>
      <c r="D1784" s="23">
        <v>876.0</v>
      </c>
      <c r="E1784" s="23">
        <v>8.0</v>
      </c>
      <c r="F1784" s="27" t="str">
        <f t="array" ref="F1784">"https://www.google.com/maps/search/?api=1&amp;query=" &amp; A1784 &amp; "," &amp; B1784</f>
        <v>https://www.google.com/maps/search/?api=1&amp;query=-30.9062034863819,-55.53421061892200</v>
      </c>
      <c r="G1784" s="27" t="str">
        <f t="array" ref="G1784">"https://earth.google.com/web/search/" &amp; A1784 &amp; "," &amp; B1784</f>
        <v>https://earth.google.com/web/search/-30.9062034863819,-55.53421061892200</v>
      </c>
      <c r="H1784" s="12"/>
      <c r="I1784" s="12"/>
      <c r="J1784" s="12"/>
      <c r="K1784" s="12"/>
      <c r="L1784" s="12"/>
      <c r="M1784" s="12"/>
      <c r="N1784" s="12"/>
      <c r="O1784" s="12"/>
      <c r="P1784" s="12"/>
      <c r="Q1784" s="12"/>
      <c r="R1784" s="12"/>
      <c r="S1784" s="12"/>
      <c r="T1784" s="12"/>
      <c r="U1784" s="12"/>
      <c r="V1784" s="12"/>
      <c r="W1784" s="12"/>
      <c r="X1784" s="12"/>
      <c r="Y1784" s="12"/>
      <c r="Z1784" s="12"/>
      <c r="AA1784" s="12"/>
    </row>
    <row r="1785" ht="26.25" customHeight="1">
      <c r="A1785" s="26" t="s">
        <v>3574</v>
      </c>
      <c r="B1785" s="26" t="s">
        <v>3575</v>
      </c>
      <c r="C1785" s="14">
        <v>2.0</v>
      </c>
      <c r="D1785" s="23">
        <v>876.0</v>
      </c>
      <c r="E1785" s="23">
        <v>9.0</v>
      </c>
      <c r="F1785" s="27" t="str">
        <f t="array" ref="F1785">"https://www.google.com/maps/search/?api=1&amp;query=" &amp; A1785 &amp; "," &amp; B1785</f>
        <v>https://www.google.com/maps/search/?api=1&amp;query=-30.9061503843364,-55.53432718362950</v>
      </c>
      <c r="G1785" s="27" t="str">
        <f t="array" ref="G1785">"https://earth.google.com/web/search/" &amp; A1785 &amp; "," &amp; B1785</f>
        <v>https://earth.google.com/web/search/-30.9061503843364,-55.53432718362950</v>
      </c>
      <c r="H1785" s="12"/>
      <c r="I1785" s="12"/>
      <c r="J1785" s="12"/>
      <c r="K1785" s="12"/>
      <c r="L1785" s="12"/>
      <c r="M1785" s="12"/>
      <c r="N1785" s="12"/>
      <c r="O1785" s="12"/>
      <c r="P1785" s="12"/>
      <c r="Q1785" s="12"/>
      <c r="R1785" s="12"/>
      <c r="S1785" s="12"/>
      <c r="T1785" s="12"/>
      <c r="U1785" s="12"/>
      <c r="V1785" s="12"/>
      <c r="W1785" s="12"/>
      <c r="X1785" s="12"/>
      <c r="Y1785" s="12"/>
      <c r="Z1785" s="12"/>
      <c r="AA1785" s="12"/>
    </row>
    <row r="1786" ht="26.25" customHeight="1">
      <c r="A1786" s="26" t="s">
        <v>3576</v>
      </c>
      <c r="B1786" s="26" t="s">
        <v>3577</v>
      </c>
      <c r="C1786" s="14">
        <v>2.0</v>
      </c>
      <c r="D1786" s="23">
        <v>949.0</v>
      </c>
      <c r="E1786" s="23">
        <v>1.0</v>
      </c>
      <c r="F1786" s="27" t="str">
        <f t="array" ref="F1786">"https://www.google.com/maps/search/?api=1&amp;query=" &amp; A1786 &amp; "," &amp; B1786</f>
        <v>https://www.google.com/maps/search/?api=1&amp;query=-30.9065623851367,-55.53398053795180</v>
      </c>
      <c r="G1786" s="27" t="str">
        <f t="array" ref="G1786">"https://earth.google.com/web/search/" &amp; A1786 &amp; "," &amp; B1786</f>
        <v>https://earth.google.com/web/search/-30.9065623851367,-55.53398053795180</v>
      </c>
      <c r="H1786" s="12"/>
      <c r="I1786" s="12"/>
      <c r="J1786" s="12"/>
      <c r="K1786" s="12"/>
      <c r="L1786" s="12"/>
      <c r="M1786" s="12"/>
      <c r="N1786" s="12"/>
      <c r="O1786" s="12"/>
      <c r="P1786" s="12"/>
      <c r="Q1786" s="12"/>
      <c r="R1786" s="12"/>
      <c r="S1786" s="12"/>
      <c r="T1786" s="12"/>
      <c r="U1786" s="12"/>
      <c r="V1786" s="12"/>
      <c r="W1786" s="12"/>
      <c r="X1786" s="12"/>
      <c r="Y1786" s="12"/>
      <c r="Z1786" s="12"/>
      <c r="AA1786" s="12"/>
    </row>
    <row r="1787" ht="26.25" customHeight="1">
      <c r="A1787" s="26" t="s">
        <v>3578</v>
      </c>
      <c r="B1787" s="26" t="s">
        <v>3579</v>
      </c>
      <c r="C1787" s="14">
        <v>2.0</v>
      </c>
      <c r="D1787" s="23">
        <v>949.0</v>
      </c>
      <c r="E1787" s="23">
        <v>2.0</v>
      </c>
      <c r="F1787" s="27" t="str">
        <f t="array" ref="F1787">"https://www.google.com/maps/search/?api=1&amp;query=" &amp; A1787 &amp; "," &amp; B1787</f>
        <v>https://www.google.com/maps/search/?api=1&amp;query=-3.0906644427447,-55.53403054274140</v>
      </c>
      <c r="G1787" s="27" t="str">
        <f t="array" ref="G1787">"https://earth.google.com/web/search/" &amp; A1787 &amp; "," &amp; B1787</f>
        <v>https://earth.google.com/web/search/-3.0906644427447,-55.53403054274140</v>
      </c>
      <c r="H1787" s="12"/>
      <c r="I1787" s="12"/>
      <c r="J1787" s="12"/>
      <c r="K1787" s="12"/>
      <c r="L1787" s="12"/>
      <c r="M1787" s="12"/>
      <c r="N1787" s="12"/>
      <c r="O1787" s="12"/>
      <c r="P1787" s="12"/>
      <c r="Q1787" s="12"/>
      <c r="R1787" s="12"/>
      <c r="S1787" s="12"/>
      <c r="T1787" s="12"/>
      <c r="U1787" s="12"/>
      <c r="V1787" s="12"/>
      <c r="W1787" s="12"/>
      <c r="X1787" s="12"/>
      <c r="Y1787" s="12"/>
      <c r="Z1787" s="12"/>
      <c r="AA1787" s="12"/>
    </row>
    <row r="1788" ht="26.25" customHeight="1">
      <c r="A1788" s="26" t="s">
        <v>3580</v>
      </c>
      <c r="B1788" s="26" t="s">
        <v>3581</v>
      </c>
      <c r="C1788" s="14">
        <v>2.0</v>
      </c>
      <c r="D1788" s="23">
        <v>949.0</v>
      </c>
      <c r="E1788" s="23">
        <v>3.0</v>
      </c>
      <c r="F1788" s="27" t="str">
        <f t="array" ref="F1788">"https://www.google.com/maps/search/?api=1&amp;query=" &amp; A1788 &amp; "," &amp; B1788</f>
        <v>https://www.google.com/maps/search/?api=1&amp;query=-0.3090671600911,-55.53409344549160</v>
      </c>
      <c r="G1788" s="27" t="str">
        <f t="array" ref="G1788">"https://earth.google.com/web/search/" &amp; A1788 &amp; "," &amp; B1788</f>
        <v>https://earth.google.com/web/search/-0.3090671600911,-55.53409344549160</v>
      </c>
      <c r="H1788" s="12"/>
      <c r="I1788" s="12"/>
      <c r="J1788" s="12"/>
      <c r="K1788" s="12"/>
      <c r="L1788" s="12"/>
      <c r="M1788" s="12"/>
      <c r="N1788" s="12"/>
      <c r="O1788" s="12"/>
      <c r="P1788" s="12"/>
      <c r="Q1788" s="12"/>
      <c r="R1788" s="12"/>
      <c r="S1788" s="12"/>
      <c r="T1788" s="12"/>
      <c r="U1788" s="12"/>
      <c r="V1788" s="12"/>
      <c r="W1788" s="12"/>
      <c r="X1788" s="12"/>
      <c r="Y1788" s="12"/>
      <c r="Z1788" s="12"/>
      <c r="AA1788" s="12"/>
    </row>
    <row r="1789" ht="26.25" customHeight="1">
      <c r="A1789" s="26" t="s">
        <v>3582</v>
      </c>
      <c r="B1789" s="26" t="s">
        <v>3583</v>
      </c>
      <c r="C1789" s="14">
        <v>2.0</v>
      </c>
      <c r="D1789" s="23">
        <v>949.0</v>
      </c>
      <c r="E1789" s="23">
        <v>4.0</v>
      </c>
      <c r="F1789" s="27" t="str">
        <f t="array" ref="F1789">"https://www.google.com/maps/search/?api=1&amp;query=" &amp; A1789 &amp; "," &amp; B1789</f>
        <v>https://www.google.com/maps/search/?api=1&amp;query=-30.9072209613521,-55.53416453260470</v>
      </c>
      <c r="G1789" s="27" t="str">
        <f t="array" ref="G1789">"https://earth.google.com/web/search/" &amp; A1789 &amp; "," &amp; B1789</f>
        <v>https://earth.google.com/web/search/-30.9072209613521,-55.53416453260470</v>
      </c>
      <c r="H1789" s="12"/>
      <c r="I1789" s="12"/>
      <c r="J1789" s="12"/>
      <c r="K1789" s="12"/>
      <c r="L1789" s="12"/>
      <c r="M1789" s="12"/>
      <c r="N1789" s="12"/>
      <c r="O1789" s="12"/>
      <c r="P1789" s="12"/>
      <c r="Q1789" s="12"/>
      <c r="R1789" s="12"/>
      <c r="S1789" s="12"/>
      <c r="T1789" s="12"/>
      <c r="U1789" s="12"/>
      <c r="V1789" s="12"/>
      <c r="W1789" s="12"/>
      <c r="X1789" s="12"/>
      <c r="Y1789" s="12"/>
      <c r="Z1789" s="12"/>
      <c r="AA1789" s="12"/>
    </row>
    <row r="1790" ht="26.25" customHeight="1">
      <c r="A1790" s="26" t="s">
        <v>3584</v>
      </c>
      <c r="B1790" s="26" t="s">
        <v>3585</v>
      </c>
      <c r="C1790" s="14">
        <v>2.0</v>
      </c>
      <c r="D1790" s="23">
        <v>949.0</v>
      </c>
      <c r="E1790" s="23">
        <v>5.0</v>
      </c>
      <c r="F1790" s="27" t="str">
        <f t="array" ref="F1790">"https://www.google.com/maps/search/?api=1&amp;query=" &amp; A1790 &amp; "," &amp; B1790</f>
        <v>https://www.google.com/maps/search/?api=1&amp;query=-30.9072760993146,-55.53357281585800</v>
      </c>
      <c r="G1790" s="27" t="str">
        <f t="array" ref="G1790">"https://earth.google.com/web/search/" &amp; A1790 &amp; "," &amp; B1790</f>
        <v>https://earth.google.com/web/search/-30.9072760993146,-55.53357281585800</v>
      </c>
      <c r="H1790" s="12"/>
      <c r="I1790" s="12"/>
      <c r="J1790" s="12"/>
      <c r="K1790" s="12"/>
      <c r="L1790" s="12"/>
      <c r="M1790" s="12"/>
      <c r="N1790" s="12"/>
      <c r="O1790" s="12"/>
      <c r="P1790" s="12"/>
      <c r="Q1790" s="12"/>
      <c r="R1790" s="12"/>
      <c r="S1790" s="12"/>
      <c r="T1790" s="12"/>
      <c r="U1790" s="12"/>
      <c r="V1790" s="12"/>
      <c r="W1790" s="12"/>
      <c r="X1790" s="12"/>
      <c r="Y1790" s="12"/>
      <c r="Z1790" s="12"/>
      <c r="AA1790" s="12"/>
    </row>
    <row r="1791" ht="26.25" customHeight="1">
      <c r="A1791" s="26" t="s">
        <v>3586</v>
      </c>
      <c r="B1791" s="26" t="s">
        <v>3587</v>
      </c>
      <c r="C1791" s="14">
        <v>2.0</v>
      </c>
      <c r="D1791" s="23">
        <v>949.0</v>
      </c>
      <c r="E1791" s="23">
        <v>6.0</v>
      </c>
      <c r="F1791" s="27" t="str">
        <f t="array" ref="F1791">"https://www.google.com/maps/search/?api=1&amp;query=" &amp; A1791 &amp; "," &amp; B1791</f>
        <v>https://www.google.com/maps/search/?api=1&amp;query=-30.9069527909718,-55.53335710174850</v>
      </c>
      <c r="G1791" s="27" t="str">
        <f t="array" ref="G1791">"https://earth.google.com/web/search/" &amp; A1791 &amp; "," &amp; B1791</f>
        <v>https://earth.google.com/web/search/-30.9069527909718,-55.53335710174850</v>
      </c>
      <c r="H1791" s="12"/>
      <c r="I1791" s="12"/>
      <c r="J1791" s="12"/>
      <c r="K1791" s="12"/>
      <c r="L1791" s="12"/>
      <c r="M1791" s="12"/>
      <c r="N1791" s="12"/>
      <c r="O1791" s="12"/>
      <c r="P1791" s="12"/>
      <c r="Q1791" s="12"/>
      <c r="R1791" s="12"/>
      <c r="S1791" s="12"/>
      <c r="T1791" s="12"/>
      <c r="U1791" s="12"/>
      <c r="V1791" s="12"/>
      <c r="W1791" s="12"/>
      <c r="X1791" s="12"/>
      <c r="Y1791" s="12"/>
      <c r="Z1791" s="12"/>
      <c r="AA1791" s="12"/>
    </row>
    <row r="1792" ht="26.25" customHeight="1">
      <c r="A1792" s="26" t="s">
        <v>3588</v>
      </c>
      <c r="B1792" s="26" t="s">
        <v>3589</v>
      </c>
      <c r="C1792" s="14">
        <v>2.0</v>
      </c>
      <c r="D1792" s="23">
        <v>498.0</v>
      </c>
      <c r="E1792" s="23">
        <v>1.0</v>
      </c>
      <c r="F1792" s="27" t="str">
        <f t="array" ref="F1792">"https://www.google.com/maps/search/?api=1&amp;query=" &amp; A1792 &amp; "," &amp; B1792</f>
        <v>https://www.google.com/maps/search/?api=1&amp;query=-30.9069160246087,-55.53321393957120</v>
      </c>
      <c r="G1792" s="27" t="str">
        <f t="array" ref="G1792">"https://earth.google.com/web/search/" &amp; A1792 &amp; "," &amp; B1792</f>
        <v>https://earth.google.com/web/search/-30.9069160246087,-55.53321393957120</v>
      </c>
      <c r="H1792" s="12"/>
      <c r="I1792" s="12"/>
      <c r="J1792" s="12"/>
      <c r="K1792" s="12"/>
      <c r="L1792" s="12"/>
      <c r="M1792" s="12"/>
      <c r="N1792" s="12"/>
      <c r="O1792" s="12"/>
      <c r="P1792" s="12"/>
      <c r="Q1792" s="12"/>
      <c r="R1792" s="12"/>
      <c r="S1792" s="12"/>
      <c r="T1792" s="12"/>
      <c r="U1792" s="12"/>
      <c r="V1792" s="12"/>
      <c r="W1792" s="12"/>
      <c r="X1792" s="12"/>
      <c r="Y1792" s="12"/>
      <c r="Z1792" s="12"/>
      <c r="AA1792" s="12"/>
    </row>
    <row r="1793" ht="26.25" customHeight="1">
      <c r="A1793" s="26" t="s">
        <v>3590</v>
      </c>
      <c r="B1793" s="26" t="s">
        <v>3591</v>
      </c>
      <c r="C1793" s="14">
        <v>2.0</v>
      </c>
      <c r="D1793" s="23">
        <v>498.0</v>
      </c>
      <c r="E1793" s="23">
        <v>2.0</v>
      </c>
      <c r="F1793" s="27" t="str">
        <f t="array" ref="F1793">"https://www.google.com/maps/search/?api=1&amp;query=" &amp; A1793 &amp; "," &amp; B1793</f>
        <v>https://www.google.com/maps/search/?api=1&amp;query=-30.9069578622739,-55.53322969158000</v>
      </c>
      <c r="G1793" s="27" t="str">
        <f t="array" ref="G1793">"https://earth.google.com/web/search/" &amp; A1793 &amp; "," &amp; B1793</f>
        <v>https://earth.google.com/web/search/-30.9069578622739,-55.53322969158000</v>
      </c>
      <c r="H1793" s="12"/>
      <c r="I1793" s="12"/>
      <c r="J1793" s="12"/>
      <c r="K1793" s="12"/>
      <c r="L1793" s="12"/>
      <c r="M1793" s="12"/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/>
    </row>
    <row r="1794" ht="26.25" customHeight="1">
      <c r="A1794" s="26" t="s">
        <v>3592</v>
      </c>
      <c r="B1794" s="26" t="s">
        <v>3593</v>
      </c>
      <c r="C1794" s="14">
        <v>2.0</v>
      </c>
      <c r="D1794" s="23">
        <v>498.0</v>
      </c>
      <c r="E1794" s="23">
        <v>3.0</v>
      </c>
      <c r="F1794" s="27" t="str">
        <f t="array" ref="F1794">"https://www.google.com/maps/search/?api=1&amp;query=" &amp; A1794 &amp; "," &amp; B1794</f>
        <v>https://www.google.com/maps/search/?api=1&amp;query=-30.9069994813049,-55.53328050977870</v>
      </c>
      <c r="G1794" s="27" t="str">
        <f t="array" ref="G1794">"https://earth.google.com/web/search/" &amp; A1794 &amp; "," &amp; B1794</f>
        <v>https://earth.google.com/web/search/-30.9069994813049,-55.53328050977870</v>
      </c>
      <c r="H1794" s="12"/>
      <c r="I1794" s="12"/>
      <c r="J1794" s="12"/>
      <c r="K1794" s="12"/>
      <c r="L1794" s="12"/>
      <c r="M1794" s="12"/>
      <c r="N1794" s="12"/>
      <c r="O1794" s="12"/>
      <c r="P1794" s="12"/>
      <c r="Q1794" s="12"/>
      <c r="R1794" s="12"/>
      <c r="S1794" s="12"/>
      <c r="T1794" s="12"/>
      <c r="U1794" s="12"/>
      <c r="V1794" s="12"/>
      <c r="W1794" s="12"/>
      <c r="X1794" s="12"/>
      <c r="Y1794" s="12"/>
      <c r="Z1794" s="12"/>
      <c r="AA1794" s="12"/>
    </row>
    <row r="1795" ht="26.25" customHeight="1">
      <c r="A1795" s="26" t="s">
        <v>3594</v>
      </c>
      <c r="B1795" s="26" t="s">
        <v>3595</v>
      </c>
      <c r="C1795" s="14">
        <v>2.0</v>
      </c>
      <c r="D1795" s="23">
        <v>498.0</v>
      </c>
      <c r="E1795" s="23">
        <v>4.0</v>
      </c>
      <c r="F1795" s="27" t="str">
        <f t="array" ref="F1795">"https://www.google.com/maps/search/?api=1&amp;query=" &amp; A1795 &amp; "," &amp; B1795</f>
        <v>https://www.google.com/maps/search/?api=1&amp;query=-30.9070906857800,-55.53332873932650</v>
      </c>
      <c r="G1795" s="27" t="str">
        <f t="array" ref="G1795">"https://earth.google.com/web/search/" &amp; A1795 &amp; "," &amp; B1795</f>
        <v>https://earth.google.com/web/search/-30.9070906857800,-55.53332873932650</v>
      </c>
      <c r="H1795" s="12"/>
      <c r="I1795" s="12"/>
      <c r="J1795" s="12"/>
      <c r="K1795" s="12"/>
      <c r="L1795" s="12"/>
      <c r="M1795" s="12"/>
      <c r="N1795" s="12"/>
      <c r="O1795" s="12"/>
      <c r="P1795" s="12"/>
      <c r="Q1795" s="12"/>
      <c r="R1795" s="12"/>
      <c r="S1795" s="12"/>
      <c r="T1795" s="12"/>
      <c r="U1795" s="12"/>
      <c r="V1795" s="12"/>
      <c r="W1795" s="12"/>
      <c r="X1795" s="12"/>
      <c r="Y1795" s="12"/>
      <c r="Z1795" s="12"/>
      <c r="AA1795" s="12"/>
    </row>
    <row r="1796" ht="26.25" customHeight="1">
      <c r="A1796" s="26" t="s">
        <v>3596</v>
      </c>
      <c r="B1796" s="26" t="s">
        <v>3597</v>
      </c>
      <c r="C1796" s="14">
        <v>2.0</v>
      </c>
      <c r="D1796" s="23">
        <v>498.0</v>
      </c>
      <c r="E1796" s="23">
        <v>5.0</v>
      </c>
      <c r="F1796" s="27" t="str">
        <f t="array" ref="F1796">"https://www.google.com/maps/search/?api=1&amp;query=" &amp; A1796 &amp; "," &amp; B1796</f>
        <v>https://www.google.com/maps/search/?api=1&amp;query=-30.9073130897131,-55.53348837231370</v>
      </c>
      <c r="G1796" s="27" t="str">
        <f t="array" ref="G1796">"https://earth.google.com/web/search/" &amp; A1796 &amp; "," &amp; B1796</f>
        <v>https://earth.google.com/web/search/-30.9073130897131,-55.53348837231370</v>
      </c>
      <c r="H1796" s="12"/>
      <c r="I1796" s="12"/>
      <c r="J1796" s="12"/>
      <c r="K1796" s="12"/>
      <c r="L1796" s="12"/>
      <c r="M1796" s="12"/>
      <c r="N1796" s="12"/>
      <c r="O1796" s="12"/>
      <c r="P1796" s="12"/>
      <c r="Q1796" s="12"/>
      <c r="R1796" s="12"/>
      <c r="S1796" s="12"/>
      <c r="T1796" s="12"/>
      <c r="U1796" s="12"/>
      <c r="V1796" s="12"/>
      <c r="W1796" s="12"/>
      <c r="X1796" s="12"/>
      <c r="Y1796" s="12"/>
      <c r="Z1796" s="12"/>
      <c r="AA1796" s="12"/>
    </row>
    <row r="1797" ht="26.25" customHeight="1">
      <c r="A1797" s="26" t="s">
        <v>3598</v>
      </c>
      <c r="B1797" s="26" t="s">
        <v>3599</v>
      </c>
      <c r="C1797" s="14">
        <v>2.0</v>
      </c>
      <c r="D1797" s="23">
        <v>498.0</v>
      </c>
      <c r="E1797" s="23">
        <v>6.0</v>
      </c>
      <c r="F1797" s="27" t="str">
        <f t="array" ref="F1797">"https://www.google.com/maps/search/?api=1&amp;query=" &amp; A1797 &amp; "," &amp; B1797</f>
        <v>https://www.google.com/maps/search/?api=1&amp;query=-30.9073718757145,-55.53353464976430</v>
      </c>
      <c r="G1797" s="27" t="str">
        <f t="array" ref="G1797">"https://earth.google.com/web/search/" &amp; A1797 &amp; "," &amp; B1797</f>
        <v>https://earth.google.com/web/search/-30.9073718757145,-55.53353464976430</v>
      </c>
      <c r="H1797" s="12"/>
      <c r="I1797" s="12"/>
      <c r="J1797" s="12"/>
      <c r="K1797" s="12"/>
      <c r="L1797" s="12"/>
      <c r="M1797" s="12"/>
      <c r="N1797" s="12"/>
      <c r="O1797" s="12"/>
      <c r="P1797" s="12"/>
      <c r="Q1797" s="12"/>
      <c r="R1797" s="12"/>
      <c r="S1797" s="12"/>
      <c r="T1797" s="12"/>
      <c r="U1797" s="12"/>
      <c r="V1797" s="12"/>
      <c r="W1797" s="12"/>
      <c r="X1797" s="12"/>
      <c r="Y1797" s="12"/>
      <c r="Z1797" s="12"/>
      <c r="AA1797" s="12"/>
    </row>
    <row r="1798" ht="26.25" customHeight="1">
      <c r="A1798" s="26" t="s">
        <v>3600</v>
      </c>
      <c r="B1798" s="26" t="s">
        <v>3601</v>
      </c>
      <c r="C1798" s="14">
        <v>2.0</v>
      </c>
      <c r="D1798" s="23">
        <v>498.0</v>
      </c>
      <c r="E1798" s="23">
        <v>7.0</v>
      </c>
      <c r="F1798" s="27" t="str">
        <f t="array" ref="F1798">"https://www.google.com/maps/search/?api=1&amp;query=" &amp; A1798 &amp; "," &amp; B1798</f>
        <v>https://www.google.com/maps/search/?api=1&amp;query=-30.9074507521948,-5.55335656240594</v>
      </c>
      <c r="G1798" s="27" t="str">
        <f t="array" ref="G1798">"https://earth.google.com/web/search/" &amp; A1798 &amp; "," &amp; B1798</f>
        <v>https://earth.google.com/web/search/-30.9074507521948,-5.55335656240594</v>
      </c>
      <c r="H1798" s="12"/>
      <c r="I1798" s="12"/>
      <c r="J1798" s="12"/>
      <c r="K1798" s="12"/>
      <c r="L1798" s="12"/>
      <c r="M1798" s="12"/>
      <c r="N1798" s="12"/>
      <c r="O1798" s="12"/>
      <c r="P1798" s="12"/>
      <c r="Q1798" s="12"/>
      <c r="R1798" s="12"/>
      <c r="S1798" s="12"/>
      <c r="T1798" s="12"/>
      <c r="U1798" s="12"/>
      <c r="V1798" s="12"/>
      <c r="W1798" s="12"/>
      <c r="X1798" s="12"/>
      <c r="Y1798" s="12"/>
      <c r="Z1798" s="12"/>
      <c r="AA1798" s="12"/>
    </row>
    <row r="1799" ht="26.25" customHeight="1">
      <c r="A1799" s="26" t="s">
        <v>3602</v>
      </c>
      <c r="B1799" s="26" t="s">
        <v>3603</v>
      </c>
      <c r="C1799" s="14">
        <v>2.0</v>
      </c>
      <c r="D1799" s="23">
        <v>498.0</v>
      </c>
      <c r="E1799" s="23">
        <v>8.0</v>
      </c>
      <c r="F1799" s="27" t="str">
        <f t="array" ref="F1799">"https://www.google.com/maps/search/?api=1&amp;query=" &amp; A1799 &amp; "," &amp; B1799</f>
        <v>https://www.google.com/maps/search/?api=1&amp;query=-30.9077066941506,-55.53326050285650</v>
      </c>
      <c r="G1799" s="27" t="str">
        <f t="array" ref="G1799">"https://earth.google.com/web/search/" &amp; A1799 &amp; "," &amp; B1799</f>
        <v>https://earth.google.com/web/search/-30.9077066941506,-55.53326050285650</v>
      </c>
      <c r="H1799" s="12"/>
      <c r="I1799" s="12"/>
      <c r="J1799" s="12"/>
      <c r="K1799" s="12"/>
      <c r="L1799" s="12"/>
      <c r="M1799" s="12"/>
      <c r="N1799" s="12"/>
      <c r="O1799" s="12"/>
      <c r="P1799" s="12"/>
      <c r="Q1799" s="12"/>
      <c r="R1799" s="12"/>
      <c r="S1799" s="12"/>
      <c r="T1799" s="12"/>
      <c r="U1799" s="12"/>
      <c r="V1799" s="12"/>
      <c r="W1799" s="12"/>
      <c r="X1799" s="12"/>
      <c r="Y1799" s="12"/>
      <c r="Z1799" s="12"/>
      <c r="AA1799" s="12"/>
    </row>
    <row r="1800" ht="26.25" customHeight="1">
      <c r="A1800" s="26" t="s">
        <v>3604</v>
      </c>
      <c r="B1800" s="26" t="s">
        <v>3605</v>
      </c>
      <c r="C1800" s="14">
        <v>2.0</v>
      </c>
      <c r="D1800" s="23">
        <v>498.0</v>
      </c>
      <c r="E1800" s="23">
        <v>9.0</v>
      </c>
      <c r="F1800" s="27" t="str">
        <f t="array" ref="F1800">"https://www.google.com/maps/search/?api=1&amp;query=" &amp; A1800 &amp; "," &amp; B1800</f>
        <v>https://www.google.com/maps/search/?api=1&amp;query=-30.9073164952766,-5.55325424067661</v>
      </c>
      <c r="G1800" s="27" t="str">
        <f t="array" ref="G1800">"https://earth.google.com/web/search/" &amp; A1800 &amp; "," &amp; B1800</f>
        <v>https://earth.google.com/web/search/-30.9073164952766,-5.55325424067661</v>
      </c>
      <c r="H1800" s="12"/>
      <c r="I1800" s="12"/>
      <c r="J1800" s="12"/>
      <c r="K1800" s="12"/>
      <c r="L1800" s="12"/>
      <c r="M1800" s="12"/>
      <c r="N1800" s="12"/>
      <c r="O1800" s="12"/>
      <c r="P1800" s="12"/>
      <c r="Q1800" s="12"/>
      <c r="R1800" s="12"/>
      <c r="S1800" s="12"/>
      <c r="T1800" s="12"/>
      <c r="U1800" s="12"/>
      <c r="V1800" s="12"/>
      <c r="W1800" s="12"/>
      <c r="X1800" s="12"/>
      <c r="Y1800" s="12"/>
      <c r="Z1800" s="12"/>
      <c r="AA1800" s="12"/>
    </row>
    <row r="1801" ht="26.25" customHeight="1">
      <c r="A1801" s="26" t="s">
        <v>3606</v>
      </c>
      <c r="B1801" s="26" t="s">
        <v>3607</v>
      </c>
      <c r="C1801" s="14">
        <v>2.0</v>
      </c>
      <c r="D1801" s="23">
        <v>498.0</v>
      </c>
      <c r="E1801" s="23">
        <v>10.0</v>
      </c>
      <c r="F1801" s="27" t="str">
        <f t="array" ref="F1801">"https://www.google.com/maps/search/?api=1&amp;query=" &amp; A1801 &amp; "," &amp; B1801</f>
        <v>https://www.google.com/maps/search/?api=1&amp;query=-30.9070594989232,-55.53261586897340</v>
      </c>
      <c r="G1801" s="27" t="str">
        <f t="array" ref="G1801">"https://earth.google.com/web/search/" &amp; A1801 &amp; "," &amp; B1801</f>
        <v>https://earth.google.com/web/search/-30.9070594989232,-55.53261586897340</v>
      </c>
      <c r="H1801" s="12"/>
      <c r="I1801" s="12"/>
      <c r="J1801" s="12"/>
      <c r="K1801" s="12"/>
      <c r="L1801" s="12"/>
      <c r="M1801" s="12"/>
      <c r="N1801" s="12"/>
      <c r="O1801" s="12"/>
      <c r="P1801" s="12"/>
      <c r="Q1801" s="12"/>
      <c r="R1801" s="12"/>
      <c r="S1801" s="12"/>
      <c r="T1801" s="12"/>
      <c r="U1801" s="12"/>
      <c r="V1801" s="12"/>
      <c r="W1801" s="12"/>
      <c r="X1801" s="12"/>
      <c r="Y1801" s="12"/>
      <c r="Z1801" s="12"/>
      <c r="AA1801" s="12"/>
    </row>
    <row r="1802" ht="26.25" customHeight="1">
      <c r="A1802" s="26" t="s">
        <v>3608</v>
      </c>
      <c r="B1802" s="26" t="s">
        <v>3609</v>
      </c>
      <c r="C1802" s="14">
        <v>2.0</v>
      </c>
      <c r="D1802" s="23">
        <v>286.0</v>
      </c>
      <c r="E1802" s="23">
        <v>1.0</v>
      </c>
      <c r="F1802" s="27" t="str">
        <f t="array" ref="F1802">"https://www.google.com/maps/search/?api=1&amp;query=" &amp; A1802 &amp; "," &amp; B1802</f>
        <v>https://www.google.com/maps/search/?api=1&amp;query=-30.9055210200566,-55.53877868159270</v>
      </c>
      <c r="G1802" s="27" t="str">
        <f t="array" ref="G1802">"https://earth.google.com/web/search/" &amp; A1802 &amp; "," &amp; B1802</f>
        <v>https://earth.google.com/web/search/-30.9055210200566,-55.53877868159270</v>
      </c>
      <c r="H1802" s="12"/>
      <c r="I1802" s="12"/>
      <c r="J1802" s="12"/>
      <c r="K1802" s="12"/>
      <c r="L1802" s="12"/>
      <c r="M1802" s="12"/>
      <c r="N1802" s="12"/>
      <c r="O1802" s="12"/>
      <c r="P1802" s="12"/>
      <c r="Q1802" s="12"/>
      <c r="R1802" s="12"/>
      <c r="S1802" s="12"/>
      <c r="T1802" s="12"/>
      <c r="U1802" s="12"/>
      <c r="V1802" s="12"/>
      <c r="W1802" s="12"/>
      <c r="X1802" s="12"/>
      <c r="Y1802" s="12"/>
      <c r="Z1802" s="12"/>
      <c r="AA1802" s="12"/>
    </row>
    <row r="1803" ht="26.25" customHeight="1">
      <c r="A1803" s="26" t="s">
        <v>3610</v>
      </c>
      <c r="B1803" s="26" t="s">
        <v>3611</v>
      </c>
      <c r="C1803" s="14">
        <v>2.0</v>
      </c>
      <c r="D1803" s="23">
        <v>286.0</v>
      </c>
      <c r="E1803" s="23">
        <v>2.0</v>
      </c>
      <c r="F1803" s="27" t="str">
        <f t="array" ref="F1803">"https://www.google.com/maps/search/?api=1&amp;query=" &amp; A1803 &amp; "," &amp; B1803</f>
        <v>https://www.google.com/maps/search/?api=1&amp;query=-30.9060004521796,-5.55385164267371</v>
      </c>
      <c r="G1803" s="27" t="str">
        <f t="array" ref="G1803">"https://earth.google.com/web/search/" &amp; A1803 &amp; "," &amp; B1803</f>
        <v>https://earth.google.com/web/search/-30.9060004521796,-5.55385164267371</v>
      </c>
      <c r="H1803" s="12"/>
      <c r="I1803" s="12"/>
      <c r="J1803" s="12"/>
      <c r="K1803" s="12"/>
      <c r="L1803" s="12"/>
      <c r="M1803" s="12"/>
      <c r="N1803" s="12"/>
      <c r="O1803" s="12"/>
      <c r="P1803" s="12"/>
      <c r="Q1803" s="12"/>
      <c r="R1803" s="12"/>
      <c r="S1803" s="12"/>
      <c r="T1803" s="12"/>
      <c r="U1803" s="12"/>
      <c r="V1803" s="12"/>
      <c r="W1803" s="12"/>
      <c r="X1803" s="12"/>
      <c r="Y1803" s="12"/>
      <c r="Z1803" s="12"/>
      <c r="AA1803" s="12"/>
    </row>
    <row r="1804" ht="26.25" customHeight="1">
      <c r="A1804" s="26" t="s">
        <v>3612</v>
      </c>
      <c r="B1804" s="26" t="s">
        <v>3613</v>
      </c>
      <c r="C1804" s="14">
        <v>2.0</v>
      </c>
      <c r="D1804" s="23">
        <v>286.0</v>
      </c>
      <c r="E1804" s="23">
        <v>3.0</v>
      </c>
      <c r="F1804" s="27" t="str">
        <f t="array" ref="F1804">"https://www.google.com/maps/search/?api=1&amp;query=" &amp; A1804 &amp; "," &amp; B1804</f>
        <v>https://www.google.com/maps/search/?api=1&amp;query=-30.9053890662440,-55.53779473598390</v>
      </c>
      <c r="G1804" s="27" t="str">
        <f t="array" ref="G1804">"https://earth.google.com/web/search/" &amp; A1804 &amp; "," &amp; B1804</f>
        <v>https://earth.google.com/web/search/-30.9053890662440,-55.53779473598390</v>
      </c>
      <c r="H1804" s="12"/>
      <c r="I1804" s="12"/>
      <c r="J1804" s="12"/>
      <c r="K1804" s="12"/>
      <c r="L1804" s="12"/>
      <c r="M1804" s="12"/>
      <c r="N1804" s="12"/>
      <c r="O1804" s="12"/>
      <c r="P1804" s="12"/>
      <c r="Q1804" s="12"/>
      <c r="R1804" s="12"/>
      <c r="S1804" s="12"/>
      <c r="T1804" s="12"/>
      <c r="U1804" s="12"/>
      <c r="V1804" s="12"/>
      <c r="W1804" s="12"/>
      <c r="X1804" s="12"/>
      <c r="Y1804" s="12"/>
      <c r="Z1804" s="12"/>
      <c r="AA1804" s="12"/>
    </row>
    <row r="1805" ht="26.25" customHeight="1">
      <c r="A1805" s="26" t="s">
        <v>3614</v>
      </c>
      <c r="B1805" s="26" t="s">
        <v>3615</v>
      </c>
      <c r="C1805" s="14">
        <v>2.0</v>
      </c>
      <c r="D1805" s="23">
        <v>286.0</v>
      </c>
      <c r="E1805" s="23">
        <v>4.0</v>
      </c>
      <c r="F1805" s="27" t="str">
        <f t="array" ref="F1805">"https://www.google.com/maps/search/?api=1&amp;query=" &amp; A1805 &amp; "," &amp; B1805</f>
        <v>https://www.google.com/maps/search/?api=1&amp;query=-30.9052182384902,-55.53808963815550</v>
      </c>
      <c r="G1805" s="27" t="str">
        <f t="array" ref="G1805">"https://earth.google.com/web/search/" &amp; A1805 &amp; "," &amp; B1805</f>
        <v>https://earth.google.com/web/search/-30.9052182384902,-55.53808963815550</v>
      </c>
      <c r="H1805" s="12"/>
      <c r="I1805" s="12"/>
      <c r="J1805" s="12"/>
      <c r="K1805" s="12"/>
      <c r="L1805" s="12"/>
      <c r="M1805" s="12"/>
      <c r="N1805" s="12"/>
      <c r="O1805" s="12"/>
      <c r="P1805" s="12"/>
      <c r="Q1805" s="12"/>
      <c r="R1805" s="12"/>
      <c r="S1805" s="12"/>
      <c r="T1805" s="12"/>
      <c r="U1805" s="12"/>
      <c r="V1805" s="12"/>
      <c r="W1805" s="12"/>
      <c r="X1805" s="12"/>
      <c r="Y1805" s="12"/>
      <c r="Z1805" s="12"/>
      <c r="AA1805" s="12"/>
    </row>
    <row r="1806" ht="26.25" customHeight="1">
      <c r="A1806" s="26" t="s">
        <v>3616</v>
      </c>
      <c r="B1806" s="26" t="s">
        <v>3617</v>
      </c>
      <c r="C1806" s="14">
        <v>2.0</v>
      </c>
      <c r="D1806" s="23" t="s">
        <v>3618</v>
      </c>
      <c r="E1806" s="21"/>
      <c r="F1806" s="27" t="str">
        <f t="array" ref="F1806">"https://www.google.com/maps/search/?api=1&amp;query=" &amp; A1806 &amp; "," &amp; B1806</f>
        <v>https://www.google.com/maps/search/?api=1&amp;query=-30.9057329917309,-55.53752439820880</v>
      </c>
      <c r="G1806" s="27" t="str">
        <f t="array" ref="G1806">"https://earth.google.com/web/search/" &amp; A1806 &amp; "," &amp; B1806</f>
        <v>https://earth.google.com/web/search/-30.9057329917309,-55.53752439820880</v>
      </c>
      <c r="H1806" s="12"/>
      <c r="I1806" s="12"/>
      <c r="J1806" s="12"/>
      <c r="K1806" s="12"/>
      <c r="L1806" s="12"/>
      <c r="M1806" s="12"/>
      <c r="N1806" s="12"/>
      <c r="O1806" s="12"/>
      <c r="P1806" s="12"/>
      <c r="Q1806" s="12"/>
      <c r="R1806" s="12"/>
      <c r="S1806" s="12"/>
      <c r="T1806" s="12"/>
      <c r="U1806" s="12"/>
      <c r="V1806" s="12"/>
      <c r="W1806" s="12"/>
      <c r="X1806" s="12"/>
      <c r="Y1806" s="12"/>
      <c r="Z1806" s="12"/>
      <c r="AA1806" s="12"/>
    </row>
    <row r="1807" ht="26.25" customHeight="1">
      <c r="A1807" s="26" t="s">
        <v>3619</v>
      </c>
      <c r="B1807" s="26" t="s">
        <v>3620</v>
      </c>
      <c r="C1807" s="14">
        <v>2.0</v>
      </c>
      <c r="D1807" s="23" t="s">
        <v>3621</v>
      </c>
      <c r="E1807" s="21"/>
      <c r="F1807" s="27" t="str">
        <f t="array" ref="F1807">"https://www.google.com/maps/search/?api=1&amp;query=" &amp; A1807 &amp; "," &amp; B1807</f>
        <v>https://www.google.com/maps/search/?api=1&amp;query=-3.0906131983717,-55.53779649999710</v>
      </c>
      <c r="G1807" s="27" t="str">
        <f t="array" ref="G1807">"https://earth.google.com/web/search/" &amp; A1807 &amp; "," &amp; B1807</f>
        <v>https://earth.google.com/web/search/-3.0906131983717,-55.53779649999710</v>
      </c>
      <c r="H1807" s="12"/>
      <c r="I1807" s="12"/>
      <c r="J1807" s="12"/>
      <c r="K1807" s="12"/>
      <c r="L1807" s="12"/>
      <c r="M1807" s="12"/>
      <c r="N1807" s="12"/>
      <c r="O1807" s="12"/>
      <c r="P1807" s="12"/>
      <c r="Q1807" s="12"/>
      <c r="R1807" s="12"/>
      <c r="S1807" s="12"/>
      <c r="T1807" s="12"/>
      <c r="U1807" s="12"/>
      <c r="V1807" s="12"/>
      <c r="W1807" s="12"/>
      <c r="X1807" s="12"/>
      <c r="Y1807" s="12"/>
      <c r="Z1807" s="12"/>
      <c r="AA1807" s="12"/>
    </row>
    <row r="1808" ht="26.25" customHeight="1">
      <c r="A1808" s="26" t="s">
        <v>3622</v>
      </c>
      <c r="B1808" s="26" t="s">
        <v>3623</v>
      </c>
      <c r="C1808" s="14">
        <v>2.0</v>
      </c>
      <c r="D1808" s="23" t="s">
        <v>3624</v>
      </c>
      <c r="E1808" s="21"/>
      <c r="F1808" s="27" t="str">
        <f t="array" ref="F1808">"https://www.google.com/maps/search/?api=1&amp;query=" &amp; A1808 &amp; "," &amp; B1808</f>
        <v>https://www.google.com/maps/search/?api=1&amp;query=-30.9062040936500,-55.53785087459490</v>
      </c>
      <c r="G1808" s="27" t="str">
        <f t="array" ref="G1808">"https://earth.google.com/web/search/" &amp; A1808 &amp; "," &amp; B1808</f>
        <v>https://earth.google.com/web/search/-30.9062040936500,-55.53785087459490</v>
      </c>
      <c r="H1808" s="12"/>
      <c r="I1808" s="12"/>
      <c r="J1808" s="12"/>
      <c r="K1808" s="12"/>
      <c r="L1808" s="12"/>
      <c r="M1808" s="12"/>
      <c r="N1808" s="12"/>
      <c r="O1808" s="12"/>
      <c r="P1808" s="12"/>
      <c r="Q1808" s="12"/>
      <c r="R1808" s="12"/>
      <c r="S1808" s="12"/>
      <c r="T1808" s="12"/>
      <c r="U1808" s="12"/>
      <c r="V1808" s="12"/>
      <c r="W1808" s="12"/>
      <c r="X1808" s="12"/>
      <c r="Y1808" s="12"/>
      <c r="Z1808" s="12"/>
      <c r="AA1808" s="12"/>
    </row>
    <row r="1809" ht="26.25" customHeight="1">
      <c r="A1809" s="26" t="s">
        <v>3625</v>
      </c>
      <c r="B1809" s="26" t="s">
        <v>3626</v>
      </c>
      <c r="C1809" s="14">
        <v>2.0</v>
      </c>
      <c r="D1809" s="23" t="s">
        <v>3627</v>
      </c>
      <c r="E1809" s="21"/>
      <c r="F1809" s="27" t="str">
        <f t="array" ref="F1809">"https://www.google.com/maps/search/?api=1&amp;query=" &amp; A1809 &amp; "," &amp; B1809</f>
        <v>https://www.google.com/maps/search/?api=1&amp;query=-30.9062802194152,-55.53789912983320</v>
      </c>
      <c r="G1809" s="27" t="str">
        <f t="array" ref="G1809">"https://earth.google.com/web/search/" &amp; A1809 &amp; "," &amp; B1809</f>
        <v>https://earth.google.com/web/search/-30.9062802194152,-55.53789912983320</v>
      </c>
      <c r="H1809" s="12"/>
      <c r="I1809" s="12"/>
      <c r="J1809" s="12"/>
      <c r="K1809" s="12"/>
      <c r="L1809" s="12"/>
      <c r="M1809" s="12"/>
      <c r="N1809" s="12"/>
      <c r="O1809" s="12"/>
      <c r="P1809" s="12"/>
      <c r="Q1809" s="12"/>
      <c r="R1809" s="12"/>
      <c r="S1809" s="12"/>
      <c r="T1809" s="12"/>
      <c r="U1809" s="12"/>
      <c r="V1809" s="12"/>
      <c r="W1809" s="12"/>
      <c r="X1809" s="12"/>
      <c r="Y1809" s="12"/>
      <c r="Z1809" s="12"/>
      <c r="AA1809" s="12"/>
    </row>
    <row r="1810" ht="26.25" customHeight="1">
      <c r="A1810" s="26" t="s">
        <v>3628</v>
      </c>
      <c r="B1810" s="26" t="s">
        <v>3629</v>
      </c>
      <c r="C1810" s="14">
        <v>2.0</v>
      </c>
      <c r="D1810" s="23" t="s">
        <v>3630</v>
      </c>
      <c r="E1810" s="21"/>
      <c r="F1810" s="27" t="str">
        <f t="array" ref="F1810">"https://www.google.com/maps/search/?api=1&amp;query=" &amp; A1810 &amp; "," &amp; B1810</f>
        <v>https://www.google.com/maps/search/?api=1&amp;query=-30.9063591573416,-55.53779852427420</v>
      </c>
      <c r="G1810" s="27" t="str">
        <f t="array" ref="G1810">"https://earth.google.com/web/search/" &amp; A1810 &amp; "," &amp; B1810</f>
        <v>https://earth.google.com/web/search/-30.9063591573416,-55.53779852427420</v>
      </c>
      <c r="H1810" s="12"/>
      <c r="I1810" s="12"/>
      <c r="J1810" s="12"/>
      <c r="K1810" s="12"/>
      <c r="L1810" s="12"/>
      <c r="M1810" s="12"/>
      <c r="N1810" s="12"/>
      <c r="O1810" s="12"/>
      <c r="P1810" s="12"/>
      <c r="Q1810" s="12"/>
      <c r="R1810" s="12"/>
      <c r="S1810" s="12"/>
      <c r="T1810" s="12"/>
      <c r="U1810" s="12"/>
      <c r="V1810" s="12"/>
      <c r="W1810" s="12"/>
      <c r="X1810" s="12"/>
      <c r="Y1810" s="12"/>
      <c r="Z1810" s="12"/>
      <c r="AA1810" s="12"/>
    </row>
    <row r="1811" ht="26.25" customHeight="1">
      <c r="A1811" s="26" t="s">
        <v>3631</v>
      </c>
      <c r="B1811" s="26" t="s">
        <v>3632</v>
      </c>
      <c r="C1811" s="14">
        <v>2.0</v>
      </c>
      <c r="D1811" s="23">
        <v>492.0</v>
      </c>
      <c r="E1811" s="23">
        <v>1.0</v>
      </c>
      <c r="F1811" s="27" t="str">
        <f t="array" ref="F1811">"https://www.google.com/maps/search/?api=1&amp;query=" &amp; A1811 &amp; "," &amp; B1811</f>
        <v>https://www.google.com/maps/search/?api=1&amp;query=-3.0906151645528,-55.53676121409050</v>
      </c>
      <c r="G1811" s="27" t="str">
        <f t="array" ref="G1811">"https://earth.google.com/web/search/" &amp; A1811 &amp; "," &amp; B1811</f>
        <v>https://earth.google.com/web/search/-3.0906151645528,-55.53676121409050</v>
      </c>
      <c r="H1811" s="12"/>
      <c r="I1811" s="12"/>
      <c r="J1811" s="12"/>
      <c r="K1811" s="12"/>
      <c r="L1811" s="12"/>
      <c r="M1811" s="12"/>
      <c r="N1811" s="12"/>
      <c r="O1811" s="12"/>
      <c r="P1811" s="12"/>
      <c r="Q1811" s="12"/>
      <c r="R1811" s="12"/>
      <c r="S1811" s="12"/>
      <c r="T1811" s="12"/>
      <c r="U1811" s="12"/>
      <c r="V1811" s="12"/>
      <c r="W1811" s="12"/>
      <c r="X1811" s="12"/>
      <c r="Y1811" s="12"/>
      <c r="Z1811" s="12"/>
      <c r="AA1811" s="12"/>
    </row>
    <row r="1812" ht="26.25" customHeight="1">
      <c r="A1812" s="26" t="s">
        <v>3633</v>
      </c>
      <c r="B1812" s="26" t="s">
        <v>3634</v>
      </c>
      <c r="C1812" s="14">
        <v>2.0</v>
      </c>
      <c r="D1812" s="23">
        <v>492.0</v>
      </c>
      <c r="E1812" s="23">
        <v>2.0</v>
      </c>
      <c r="F1812" s="27" t="str">
        <f t="array" ref="F1812">"https://www.google.com/maps/search/?api=1&amp;query=" &amp; A1812 &amp; "," &amp; B1812</f>
        <v>https://www.google.com/maps/search/?api=1&amp;query=-30.9062048192852,-55.53679208028180</v>
      </c>
      <c r="G1812" s="27" t="str">
        <f t="array" ref="G1812">"https://earth.google.com/web/search/" &amp; A1812 &amp; "," &amp; B1812</f>
        <v>https://earth.google.com/web/search/-30.9062048192852,-55.53679208028180</v>
      </c>
      <c r="H1812" s="12"/>
      <c r="I1812" s="12"/>
      <c r="J1812" s="12"/>
      <c r="K1812" s="12"/>
      <c r="L1812" s="12"/>
      <c r="M1812" s="12"/>
      <c r="N1812" s="12"/>
      <c r="O1812" s="12"/>
      <c r="P1812" s="12"/>
      <c r="Q1812" s="12"/>
      <c r="R1812" s="12"/>
      <c r="S1812" s="12"/>
      <c r="T1812" s="12"/>
      <c r="U1812" s="12"/>
      <c r="V1812" s="12"/>
      <c r="W1812" s="12"/>
      <c r="X1812" s="12"/>
      <c r="Y1812" s="12"/>
      <c r="Z1812" s="12"/>
      <c r="AA1812" s="12"/>
    </row>
    <row r="1813" ht="26.25" customHeight="1">
      <c r="A1813" s="26" t="s">
        <v>3635</v>
      </c>
      <c r="B1813" s="26" t="s">
        <v>3636</v>
      </c>
      <c r="C1813" s="14">
        <v>2.0</v>
      </c>
      <c r="D1813" s="23">
        <v>492.0</v>
      </c>
      <c r="E1813" s="23">
        <v>3.0</v>
      </c>
      <c r="F1813" s="27" t="str">
        <f t="array" ref="F1813">"https://www.google.com/maps/search/?api=1&amp;query=" &amp; A1813 &amp; "," &amp; B1813</f>
        <v>https://www.google.com/maps/search/?api=1&amp;query=-30.9062630308065,-55.53682101147700</v>
      </c>
      <c r="G1813" s="27" t="str">
        <f t="array" ref="G1813">"https://earth.google.com/web/search/" &amp; A1813 &amp; "," &amp; B1813</f>
        <v>https://earth.google.com/web/search/-30.9062630308065,-55.53682101147700</v>
      </c>
      <c r="H1813" s="12"/>
      <c r="I1813" s="12"/>
      <c r="J1813" s="12"/>
      <c r="K1813" s="12"/>
      <c r="L1813" s="12"/>
      <c r="M1813" s="12"/>
      <c r="N1813" s="12"/>
      <c r="O1813" s="12"/>
      <c r="P1813" s="12"/>
      <c r="Q1813" s="12"/>
      <c r="R1813" s="12"/>
      <c r="S1813" s="12"/>
      <c r="T1813" s="12"/>
      <c r="U1813" s="12"/>
      <c r="V1813" s="12"/>
      <c r="W1813" s="12"/>
      <c r="X1813" s="12"/>
      <c r="Y1813" s="12"/>
      <c r="Z1813" s="12"/>
      <c r="AA1813" s="12"/>
    </row>
    <row r="1814" ht="26.25" customHeight="1">
      <c r="A1814" s="26" t="s">
        <v>3637</v>
      </c>
      <c r="B1814" s="26" t="s">
        <v>3638</v>
      </c>
      <c r="C1814" s="14">
        <v>2.0</v>
      </c>
      <c r="D1814" s="23">
        <v>493.0</v>
      </c>
      <c r="E1814" s="23">
        <v>1.0</v>
      </c>
      <c r="F1814" s="27" t="str">
        <f t="array" ref="F1814">"https://www.google.com/maps/search/?api=1&amp;query=" &amp; A1814 &amp; "," &amp; B1814</f>
        <v>https://www.google.com/maps/search/?api=1&amp;query=-30.9065800334302,-55.53604152921470</v>
      </c>
      <c r="G1814" s="27" t="str">
        <f t="array" ref="G1814">"https://earth.google.com/web/search/" &amp; A1814 &amp; "," &amp; B1814</f>
        <v>https://earth.google.com/web/search/-30.9065800334302,-55.53604152921470</v>
      </c>
      <c r="H1814" s="12"/>
      <c r="I1814" s="12"/>
      <c r="J1814" s="12"/>
      <c r="K1814" s="12"/>
      <c r="L1814" s="12"/>
      <c r="M1814" s="12"/>
      <c r="N1814" s="12"/>
      <c r="O1814" s="12"/>
      <c r="P1814" s="12"/>
      <c r="Q1814" s="12"/>
      <c r="R1814" s="12"/>
      <c r="S1814" s="12"/>
      <c r="T1814" s="12"/>
      <c r="U1814" s="12"/>
      <c r="V1814" s="12"/>
      <c r="W1814" s="12"/>
      <c r="X1814" s="12"/>
      <c r="Y1814" s="12"/>
      <c r="Z1814" s="12"/>
      <c r="AA1814" s="12"/>
    </row>
    <row r="1815" ht="26.25" customHeight="1">
      <c r="A1815" s="26" t="s">
        <v>3639</v>
      </c>
      <c r="B1815" s="26" t="s">
        <v>3640</v>
      </c>
      <c r="C1815" s="14">
        <v>2.0</v>
      </c>
      <c r="D1815" s="23">
        <v>493.0</v>
      </c>
      <c r="E1815" s="23">
        <v>2.0</v>
      </c>
      <c r="F1815" s="27" t="str">
        <f t="array" ref="F1815">"https://www.google.com/maps/search/?api=1&amp;query=" &amp; A1815 &amp; "," &amp; B1815</f>
        <v>https://www.google.com/maps/search/?api=1&amp;query=-30.9067455686827,-5.55361565269063</v>
      </c>
      <c r="G1815" s="27" t="str">
        <f t="array" ref="G1815">"https://earth.google.com/web/search/" &amp; A1815 &amp; "," &amp; B1815</f>
        <v>https://earth.google.com/web/search/-30.9067455686827,-5.55361565269063</v>
      </c>
      <c r="H1815" s="12"/>
      <c r="I1815" s="12"/>
      <c r="J1815" s="12"/>
      <c r="K1815" s="12"/>
      <c r="L1815" s="12"/>
      <c r="M1815" s="12"/>
      <c r="N1815" s="12"/>
      <c r="O1815" s="12"/>
      <c r="P1815" s="12"/>
      <c r="Q1815" s="12"/>
      <c r="R1815" s="12"/>
      <c r="S1815" s="12"/>
      <c r="T1815" s="12"/>
      <c r="U1815" s="12"/>
      <c r="V1815" s="12"/>
      <c r="W1815" s="12"/>
      <c r="X1815" s="12"/>
      <c r="Y1815" s="12"/>
      <c r="Z1815" s="12"/>
      <c r="AA1815" s="12"/>
    </row>
    <row r="1816" ht="26.25" customHeight="1">
      <c r="A1816" s="26" t="s">
        <v>3641</v>
      </c>
      <c r="B1816" s="26" t="s">
        <v>3642</v>
      </c>
      <c r="C1816" s="14">
        <v>2.0</v>
      </c>
      <c r="D1816" s="23">
        <v>493.0</v>
      </c>
      <c r="E1816" s="23">
        <v>3.0</v>
      </c>
      <c r="F1816" s="27" t="str">
        <f t="array" ref="F1816">"https://www.google.com/maps/search/?api=1&amp;query=" &amp; A1816 &amp; "," &amp; B1816</f>
        <v>https://www.google.com/maps/search/?api=1&amp;query=-30.9072465803669,-55.53613566039250</v>
      </c>
      <c r="G1816" s="27" t="str">
        <f t="array" ref="G1816">"https://earth.google.com/web/search/" &amp; A1816 &amp; "," &amp; B1816</f>
        <v>https://earth.google.com/web/search/-30.9072465803669,-55.53613566039250</v>
      </c>
      <c r="H1816" s="12"/>
      <c r="I1816" s="12"/>
      <c r="J1816" s="12"/>
      <c r="K1816" s="12"/>
      <c r="L1816" s="12"/>
      <c r="M1816" s="12"/>
      <c r="N1816" s="12"/>
      <c r="O1816" s="12"/>
      <c r="P1816" s="12"/>
      <c r="Q1816" s="12"/>
      <c r="R1816" s="12"/>
      <c r="S1816" s="12"/>
      <c r="T1816" s="12"/>
      <c r="U1816" s="12"/>
      <c r="V1816" s="12"/>
      <c r="W1816" s="12"/>
      <c r="X1816" s="12"/>
      <c r="Y1816" s="12"/>
      <c r="Z1816" s="12"/>
      <c r="AA1816" s="12"/>
    </row>
    <row r="1817" ht="26.25" customHeight="1">
      <c r="A1817" s="26" t="s">
        <v>3643</v>
      </c>
      <c r="B1817" s="26" t="s">
        <v>3644</v>
      </c>
      <c r="C1817" s="14">
        <v>2.0</v>
      </c>
      <c r="D1817" s="23">
        <v>493.0</v>
      </c>
      <c r="E1817" s="23">
        <v>4.0</v>
      </c>
      <c r="F1817" s="27" t="str">
        <f t="array" ref="F1817">"https://www.google.com/maps/search/?api=1&amp;query=" &amp; A1817 &amp; "," &amp; B1817</f>
        <v>https://www.google.com/maps/search/?api=1&amp;query=-30.9073089416989,-55.53601585683020</v>
      </c>
      <c r="G1817" s="27" t="str">
        <f t="array" ref="G1817">"https://earth.google.com/web/search/" &amp; A1817 &amp; "," &amp; B1817</f>
        <v>https://earth.google.com/web/search/-30.9073089416989,-55.53601585683020</v>
      </c>
      <c r="H1817" s="12"/>
      <c r="I1817" s="12"/>
      <c r="J1817" s="12"/>
      <c r="K1817" s="12"/>
      <c r="L1817" s="12"/>
      <c r="M1817" s="12"/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/>
    </row>
    <row r="1818" ht="26.25" customHeight="1">
      <c r="A1818" s="26" t="s">
        <v>3645</v>
      </c>
      <c r="B1818" s="26" t="s">
        <v>3646</v>
      </c>
      <c r="C1818" s="14">
        <v>2.0</v>
      </c>
      <c r="D1818" s="23">
        <v>493.0</v>
      </c>
      <c r="E1818" s="23">
        <v>5.0</v>
      </c>
      <c r="F1818" s="27" t="str">
        <f t="array" ref="F1818">"https://www.google.com/maps/search/?api=1&amp;query=" &amp; A1818 &amp; "," &amp; B1818</f>
        <v>https://www.google.com/maps/search/?api=1&amp;query=-30.9074152098137,-55.53573285547720</v>
      </c>
      <c r="G1818" s="27" t="str">
        <f t="array" ref="G1818">"https://earth.google.com/web/search/" &amp; A1818 &amp; "," &amp; B1818</f>
        <v>https://earth.google.com/web/search/-30.9074152098137,-55.53573285547720</v>
      </c>
      <c r="H1818" s="12"/>
      <c r="I1818" s="12"/>
      <c r="J1818" s="12"/>
      <c r="K1818" s="12"/>
      <c r="L1818" s="12"/>
      <c r="M1818" s="12"/>
      <c r="N1818" s="12"/>
      <c r="O1818" s="12"/>
      <c r="P1818" s="12"/>
      <c r="Q1818" s="12"/>
      <c r="R1818" s="12"/>
      <c r="S1818" s="12"/>
      <c r="T1818" s="12"/>
      <c r="U1818" s="12"/>
      <c r="V1818" s="12"/>
      <c r="W1818" s="12"/>
      <c r="X1818" s="12"/>
      <c r="Y1818" s="12"/>
      <c r="Z1818" s="12"/>
      <c r="AA1818" s="12"/>
    </row>
    <row r="1819" ht="26.25" customHeight="1">
      <c r="A1819" s="26" t="s">
        <v>3647</v>
      </c>
      <c r="B1819" s="26" t="s">
        <v>3648</v>
      </c>
      <c r="C1819" s="14">
        <v>2.0</v>
      </c>
      <c r="D1819" s="23">
        <v>493.0</v>
      </c>
      <c r="E1819" s="23">
        <v>6.0</v>
      </c>
      <c r="F1819" s="27" t="str">
        <f t="array" ref="F1819">"https://www.google.com/maps/search/?api=1&amp;query=" &amp; A1819 &amp; "," &amp; B1819</f>
        <v>https://www.google.com/maps/search/?api=1&amp;query=-30.9068819046125,-55.53535613777170</v>
      </c>
      <c r="G1819" s="27" t="str">
        <f t="array" ref="G1819">"https://earth.google.com/web/search/" &amp; A1819 &amp; "," &amp; B1819</f>
        <v>https://earth.google.com/web/search/-30.9068819046125,-55.53535613777170</v>
      </c>
      <c r="H1819" s="12"/>
      <c r="I1819" s="12"/>
      <c r="J1819" s="12"/>
      <c r="K1819" s="12"/>
      <c r="L1819" s="12"/>
      <c r="M1819" s="12"/>
      <c r="N1819" s="12"/>
      <c r="O1819" s="12"/>
      <c r="P1819" s="12"/>
      <c r="Q1819" s="12"/>
      <c r="R1819" s="12"/>
      <c r="S1819" s="12"/>
      <c r="T1819" s="12"/>
      <c r="U1819" s="12"/>
      <c r="V1819" s="12"/>
      <c r="W1819" s="12"/>
      <c r="X1819" s="12"/>
      <c r="Y1819" s="12"/>
      <c r="Z1819" s="12"/>
      <c r="AA1819" s="12"/>
    </row>
    <row r="1820" ht="26.25" customHeight="1">
      <c r="A1820" s="26" t="s">
        <v>3649</v>
      </c>
      <c r="B1820" s="26" t="s">
        <v>3650</v>
      </c>
      <c r="C1820" s="14">
        <v>2.0</v>
      </c>
      <c r="D1820" s="23">
        <v>493.0</v>
      </c>
      <c r="E1820" s="23">
        <v>7.0</v>
      </c>
      <c r="F1820" s="27" t="str">
        <f t="array" ref="F1820">"https://www.google.com/maps/search/?api=1&amp;query=" &amp; A1820 &amp; "," &amp; B1820</f>
        <v>https://www.google.com/maps/search/?api=1&amp;query=-3.0906686486585,-5.55353501517659</v>
      </c>
      <c r="G1820" s="27" t="str">
        <f t="array" ref="G1820">"https://earth.google.com/web/search/" &amp; A1820 &amp; "," &amp; B1820</f>
        <v>https://earth.google.com/web/search/-3.0906686486585,-5.55353501517659</v>
      </c>
      <c r="H1820" s="12"/>
      <c r="I1820" s="12"/>
      <c r="J1820" s="12"/>
      <c r="K1820" s="12"/>
      <c r="L1820" s="12"/>
      <c r="M1820" s="12"/>
      <c r="N1820" s="12"/>
      <c r="O1820" s="12"/>
      <c r="P1820" s="12"/>
      <c r="Q1820" s="12"/>
      <c r="R1820" s="12"/>
      <c r="S1820" s="12"/>
      <c r="T1820" s="12"/>
      <c r="U1820" s="12"/>
      <c r="V1820" s="12"/>
      <c r="W1820" s="12"/>
      <c r="X1820" s="12"/>
      <c r="Y1820" s="12"/>
      <c r="Z1820" s="12"/>
      <c r="AA1820" s="12"/>
    </row>
    <row r="1821" ht="26.25" customHeight="1">
      <c r="A1821" s="26" t="s">
        <v>3651</v>
      </c>
      <c r="B1821" s="26" t="s">
        <v>3652</v>
      </c>
      <c r="C1821" s="14">
        <v>2.0</v>
      </c>
      <c r="D1821" s="23">
        <v>493.0</v>
      </c>
      <c r="E1821" s="23">
        <v>8.0</v>
      </c>
      <c r="F1821" s="27" t="str">
        <f t="array" ref="F1821">"https://www.google.com/maps/search/?api=1&amp;query=" &amp; A1821 &amp; "," &amp; B1821</f>
        <v>https://www.google.com/maps/search/?api=1&amp;query=-30.9066604324248,-55.53541313815820</v>
      </c>
      <c r="G1821" s="27" t="str">
        <f t="array" ref="G1821">"https://earth.google.com/web/search/" &amp; A1821 &amp; "," &amp; B1821</f>
        <v>https://earth.google.com/web/search/-30.9066604324248,-55.53541313815820</v>
      </c>
      <c r="H1821" s="12"/>
      <c r="I1821" s="12"/>
      <c r="J1821" s="12"/>
      <c r="K1821" s="12"/>
      <c r="L1821" s="12"/>
      <c r="M1821" s="12"/>
      <c r="N1821" s="12"/>
      <c r="O1821" s="12"/>
      <c r="P1821" s="12"/>
      <c r="Q1821" s="12"/>
      <c r="R1821" s="12"/>
      <c r="S1821" s="12"/>
      <c r="T1821" s="12"/>
      <c r="U1821" s="12"/>
      <c r="V1821" s="12"/>
      <c r="W1821" s="12"/>
      <c r="X1821" s="12"/>
      <c r="Y1821" s="12"/>
      <c r="Z1821" s="12"/>
      <c r="AA1821" s="12"/>
    </row>
    <row r="1822" ht="26.25" customHeight="1">
      <c r="A1822" s="26" t="s">
        <v>3653</v>
      </c>
      <c r="B1822" s="26" t="s">
        <v>3654</v>
      </c>
      <c r="C1822" s="14">
        <v>2.0</v>
      </c>
      <c r="D1822" s="23">
        <v>493.0</v>
      </c>
      <c r="E1822" s="23">
        <v>9.0</v>
      </c>
      <c r="F1822" s="27" t="str">
        <f t="array" ref="F1822">"https://www.google.com/maps/search/?api=1&amp;query=" &amp; A1822 &amp; "," &amp; B1822</f>
        <v>https://www.google.com/maps/search/?api=1&amp;query=-30.9064509609396,-55.53579608494890</v>
      </c>
      <c r="G1822" s="27" t="str">
        <f t="array" ref="G1822">"https://earth.google.com/web/search/" &amp; A1822 &amp; "," &amp; B1822</f>
        <v>https://earth.google.com/web/search/-30.9064509609396,-55.53579608494890</v>
      </c>
      <c r="H1822" s="12"/>
      <c r="I1822" s="12"/>
      <c r="J1822" s="12"/>
      <c r="K1822" s="12"/>
      <c r="L1822" s="12"/>
      <c r="M1822" s="12"/>
      <c r="N1822" s="12"/>
      <c r="O1822" s="12"/>
      <c r="P1822" s="12"/>
      <c r="Q1822" s="12"/>
      <c r="R1822" s="12"/>
      <c r="S1822" s="12"/>
      <c r="T1822" s="12"/>
      <c r="U1822" s="12"/>
      <c r="V1822" s="12"/>
      <c r="W1822" s="12"/>
      <c r="X1822" s="12"/>
      <c r="Y1822" s="12"/>
      <c r="Z1822" s="12"/>
      <c r="AA1822" s="12"/>
    </row>
    <row r="1823" ht="26.25" customHeight="1">
      <c r="A1823" s="26" t="s">
        <v>3655</v>
      </c>
      <c r="B1823" s="26" t="s">
        <v>3656</v>
      </c>
      <c r="C1823" s="14">
        <v>2.0</v>
      </c>
      <c r="D1823" s="23">
        <v>494.0</v>
      </c>
      <c r="E1823" s="23">
        <v>1.0</v>
      </c>
      <c r="F1823" s="27" t="str">
        <f t="array" ref="F1823">"https://www.google.com/maps/search/?api=1&amp;query=" &amp; A1823 &amp; "," &amp; B1823</f>
        <v>https://www.google.com/maps/search/?api=1&amp;query=-30.9070510394632,-55.53535502238620</v>
      </c>
      <c r="G1823" s="27" t="str">
        <f t="array" ref="G1823">"https://earth.google.com/web/search/" &amp; A1823 &amp; "," &amp; B1823</f>
        <v>https://earth.google.com/web/search/-30.9070510394632,-55.53535502238620</v>
      </c>
      <c r="H1823" s="12"/>
      <c r="I1823" s="12"/>
      <c r="J1823" s="12"/>
      <c r="K1823" s="12"/>
      <c r="L1823" s="12"/>
      <c r="M1823" s="12"/>
      <c r="N1823" s="12"/>
      <c r="O1823" s="12"/>
      <c r="P1823" s="12"/>
      <c r="Q1823" s="12"/>
      <c r="R1823" s="12"/>
      <c r="S1823" s="12"/>
      <c r="T1823" s="12"/>
      <c r="U1823" s="12"/>
      <c r="V1823" s="12"/>
      <c r="W1823" s="12"/>
      <c r="X1823" s="12"/>
      <c r="Y1823" s="12"/>
      <c r="Z1823" s="12"/>
      <c r="AA1823" s="12"/>
    </row>
    <row r="1824" ht="26.25" customHeight="1">
      <c r="A1824" s="26" t="s">
        <v>3657</v>
      </c>
      <c r="B1824" s="26" t="s">
        <v>3658</v>
      </c>
      <c r="C1824" s="14">
        <v>2.0</v>
      </c>
      <c r="D1824" s="23">
        <v>494.0</v>
      </c>
      <c r="E1824" s="23">
        <v>2.0</v>
      </c>
      <c r="F1824" s="27" t="str">
        <f t="array" ref="F1824">"https://www.google.com/maps/search/?api=1&amp;query=" &amp; A1824 &amp; "," &amp; B1824</f>
        <v>https://www.google.com/maps/search/?api=1&amp;query=-30.9072880939437,-0.55535514427429</v>
      </c>
      <c r="G1824" s="27" t="str">
        <f t="array" ref="G1824">"https://earth.google.com/web/search/" &amp; A1824 &amp; "," &amp; B1824</f>
        <v>https://earth.google.com/web/search/-30.9072880939437,-0.55535514427429</v>
      </c>
      <c r="H1824" s="12"/>
      <c r="I1824" s="12"/>
      <c r="J1824" s="12"/>
      <c r="K1824" s="12"/>
      <c r="L1824" s="12"/>
      <c r="M1824" s="12"/>
      <c r="N1824" s="12"/>
      <c r="O1824" s="12"/>
      <c r="P1824" s="12"/>
      <c r="Q1824" s="12"/>
      <c r="R1824" s="12"/>
      <c r="S1824" s="12"/>
      <c r="T1824" s="12"/>
      <c r="U1824" s="12"/>
      <c r="V1824" s="12"/>
      <c r="W1824" s="12"/>
      <c r="X1824" s="12"/>
      <c r="Y1824" s="12"/>
      <c r="Z1824" s="12"/>
      <c r="AA1824" s="12"/>
    </row>
    <row r="1825" ht="26.25" customHeight="1">
      <c r="A1825" s="26" t="s">
        <v>3659</v>
      </c>
      <c r="B1825" s="26" t="s">
        <v>3660</v>
      </c>
      <c r="C1825" s="14">
        <v>2.0</v>
      </c>
      <c r="D1825" s="23">
        <v>494.0</v>
      </c>
      <c r="E1825" s="23">
        <v>3.0</v>
      </c>
      <c r="F1825" s="27" t="str">
        <f t="array" ref="F1825">"https://www.google.com/maps/search/?api=1&amp;query=" &amp; A1825 &amp; "," &amp; B1825</f>
        <v>https://www.google.com/maps/search/?api=1&amp;query=-30.9073349485131,-55.53556046441610</v>
      </c>
      <c r="G1825" s="27" t="str">
        <f t="array" ref="G1825">"https://earth.google.com/web/search/" &amp; A1825 &amp; "," &amp; B1825</f>
        <v>https://earth.google.com/web/search/-30.9073349485131,-55.53556046441610</v>
      </c>
      <c r="H1825" s="12"/>
      <c r="I1825" s="12"/>
      <c r="J1825" s="12"/>
      <c r="K1825" s="12"/>
      <c r="L1825" s="12"/>
      <c r="M1825" s="12"/>
      <c r="N1825" s="12"/>
      <c r="O1825" s="12"/>
      <c r="P1825" s="12"/>
      <c r="Q1825" s="12"/>
      <c r="R1825" s="12"/>
      <c r="S1825" s="12"/>
      <c r="T1825" s="12"/>
      <c r="U1825" s="12"/>
      <c r="V1825" s="12"/>
      <c r="W1825" s="12"/>
      <c r="X1825" s="12"/>
      <c r="Y1825" s="12"/>
      <c r="Z1825" s="12"/>
      <c r="AA1825" s="12"/>
    </row>
    <row r="1826" ht="26.25" customHeight="1">
      <c r="A1826" s="26" t="s">
        <v>3661</v>
      </c>
      <c r="B1826" s="26" t="s">
        <v>3662</v>
      </c>
      <c r="C1826" s="14">
        <v>2.0</v>
      </c>
      <c r="D1826" s="23">
        <v>494.0</v>
      </c>
      <c r="E1826" s="23">
        <v>4.0</v>
      </c>
      <c r="F1826" s="27" t="str">
        <f t="array" ref="F1826">"https://www.google.com/maps/search/?api=1&amp;query=" &amp; A1826 &amp; "," &amp; B1826</f>
        <v>https://www.google.com/maps/search/?api=1&amp;query=-30.9075364788030,-55.53560699547920</v>
      </c>
      <c r="G1826" s="27" t="str">
        <f t="array" ref="G1826">"https://earth.google.com/web/search/" &amp; A1826 &amp; "," &amp; B1826</f>
        <v>https://earth.google.com/web/search/-30.9075364788030,-55.53560699547920</v>
      </c>
      <c r="H1826" s="12"/>
      <c r="I1826" s="12"/>
      <c r="J1826" s="12"/>
      <c r="K1826" s="12"/>
      <c r="L1826" s="12"/>
      <c r="M1826" s="12"/>
      <c r="N1826" s="12"/>
      <c r="O1826" s="12"/>
      <c r="P1826" s="12"/>
      <c r="Q1826" s="12"/>
      <c r="R1826" s="12"/>
      <c r="S1826" s="12"/>
      <c r="T1826" s="12"/>
      <c r="U1826" s="12"/>
      <c r="V1826" s="12"/>
      <c r="W1826" s="12"/>
      <c r="X1826" s="12"/>
      <c r="Y1826" s="12"/>
      <c r="Z1826" s="12"/>
      <c r="AA1826" s="12"/>
    </row>
    <row r="1827" ht="26.25" customHeight="1">
      <c r="A1827" s="26" t="s">
        <v>3663</v>
      </c>
      <c r="B1827" s="26" t="s">
        <v>3664</v>
      </c>
      <c r="C1827" s="14">
        <v>2.0</v>
      </c>
      <c r="D1827" s="23">
        <v>494.0</v>
      </c>
      <c r="E1827" s="23">
        <v>5.0</v>
      </c>
      <c r="F1827" s="27" t="str">
        <f t="array" ref="F1827">"https://www.google.com/maps/search/?api=1&amp;query=" &amp; A1827 &amp; "," &amp; B1827</f>
        <v>https://www.google.com/maps/search/?api=1&amp;query=-30.9075848240013,-55.53551388168770</v>
      </c>
      <c r="G1827" s="27" t="str">
        <f t="array" ref="G1827">"https://earth.google.com/web/search/" &amp; A1827 &amp; "," &amp; B1827</f>
        <v>https://earth.google.com/web/search/-30.9075848240013,-55.53551388168770</v>
      </c>
      <c r="H1827" s="12"/>
      <c r="I1827" s="12"/>
      <c r="J1827" s="12"/>
      <c r="K1827" s="12"/>
      <c r="L1827" s="12"/>
      <c r="M1827" s="12"/>
      <c r="N1827" s="12"/>
      <c r="O1827" s="12"/>
      <c r="P1827" s="12"/>
      <c r="Q1827" s="12"/>
      <c r="R1827" s="12"/>
      <c r="S1827" s="12"/>
      <c r="T1827" s="12"/>
      <c r="U1827" s="12"/>
      <c r="V1827" s="12"/>
      <c r="W1827" s="12"/>
      <c r="X1827" s="12"/>
      <c r="Y1827" s="12"/>
      <c r="Z1827" s="12"/>
      <c r="AA1827" s="12"/>
    </row>
    <row r="1828" ht="26.25" customHeight="1">
      <c r="A1828" s="26" t="s">
        <v>3665</v>
      </c>
      <c r="B1828" s="26" t="s">
        <v>3666</v>
      </c>
      <c r="C1828" s="14">
        <v>2.0</v>
      </c>
      <c r="D1828" s="23">
        <v>494.0</v>
      </c>
      <c r="E1828" s="23">
        <v>6.0</v>
      </c>
      <c r="F1828" s="27" t="str">
        <f t="array" ref="F1828">"https://www.google.com/maps/search/?api=1&amp;query=" &amp; A1828 &amp; "," &amp; B1828</f>
        <v>https://www.google.com/maps/search/?api=1&amp;query=-3.0907632215249,-55.53540039245000</v>
      </c>
      <c r="G1828" s="27" t="str">
        <f t="array" ref="G1828">"https://earth.google.com/web/search/" &amp; A1828 &amp; "," &amp; B1828</f>
        <v>https://earth.google.com/web/search/-3.0907632215249,-55.53540039245000</v>
      </c>
      <c r="H1828" s="12"/>
      <c r="I1828" s="12"/>
      <c r="J1828" s="12"/>
      <c r="K1828" s="12"/>
      <c r="L1828" s="12"/>
      <c r="M1828" s="12"/>
      <c r="N1828" s="12"/>
      <c r="O1828" s="12"/>
      <c r="P1828" s="12"/>
      <c r="Q1828" s="12"/>
      <c r="R1828" s="12"/>
      <c r="S1828" s="12"/>
      <c r="T1828" s="12"/>
      <c r="U1828" s="12"/>
      <c r="V1828" s="12"/>
      <c r="W1828" s="12"/>
      <c r="X1828" s="12"/>
      <c r="Y1828" s="12"/>
      <c r="Z1828" s="12"/>
      <c r="AA1828" s="12"/>
    </row>
    <row r="1829" ht="26.25" customHeight="1">
      <c r="A1829" s="26" t="s">
        <v>3667</v>
      </c>
      <c r="B1829" s="26" t="s">
        <v>3668</v>
      </c>
      <c r="C1829" s="14">
        <v>2.0</v>
      </c>
      <c r="D1829" s="23">
        <v>494.0</v>
      </c>
      <c r="E1829" s="23">
        <v>7.0</v>
      </c>
      <c r="F1829" s="27" t="str">
        <f t="array" ref="F1829">"https://www.google.com/maps/search/?api=1&amp;query=" &amp; A1829 &amp; "," &amp; B1829</f>
        <v>https://www.google.com/maps/search/?api=1&amp;query=-30.9077498242597,-55.53515531549920</v>
      </c>
      <c r="G1829" s="27" t="str">
        <f t="array" ref="G1829">"https://earth.google.com/web/search/" &amp; A1829 &amp; "," &amp; B1829</f>
        <v>https://earth.google.com/web/search/-30.9077498242597,-55.53515531549920</v>
      </c>
      <c r="H1829" s="12"/>
      <c r="I1829" s="12"/>
      <c r="J1829" s="12"/>
      <c r="K1829" s="12"/>
      <c r="L1829" s="12"/>
      <c r="M1829" s="12"/>
      <c r="N1829" s="12"/>
      <c r="O1829" s="12"/>
      <c r="P1829" s="12"/>
      <c r="Q1829" s="12"/>
      <c r="R1829" s="12"/>
      <c r="S1829" s="12"/>
      <c r="T1829" s="12"/>
      <c r="U1829" s="12"/>
      <c r="V1829" s="12"/>
      <c r="W1829" s="12"/>
      <c r="X1829" s="12"/>
      <c r="Y1829" s="12"/>
      <c r="Z1829" s="12"/>
      <c r="AA1829" s="12"/>
    </row>
    <row r="1830" ht="26.25" customHeight="1">
      <c r="A1830" s="26" t="s">
        <v>3669</v>
      </c>
      <c r="B1830" s="26" t="s">
        <v>3670</v>
      </c>
      <c r="C1830" s="14">
        <v>2.0</v>
      </c>
      <c r="D1830" s="23">
        <v>494.0</v>
      </c>
      <c r="E1830" s="23">
        <v>8.0</v>
      </c>
      <c r="F1830" s="27" t="str">
        <f t="array" ref="F1830">"https://www.google.com/maps/search/?api=1&amp;query=" &amp; A1830 &amp; "," &amp; B1830</f>
        <v>https://www.google.com/maps/search/?api=1&amp;query=-30.9077947511600,-55.53509866943470</v>
      </c>
      <c r="G1830" s="27" t="str">
        <f t="array" ref="G1830">"https://earth.google.com/web/search/" &amp; A1830 &amp; "," &amp; B1830</f>
        <v>https://earth.google.com/web/search/-30.9077947511600,-55.53509866943470</v>
      </c>
      <c r="H1830" s="12"/>
      <c r="I1830" s="12"/>
      <c r="J1830" s="12"/>
      <c r="K1830" s="12"/>
      <c r="L1830" s="12"/>
      <c r="M1830" s="12"/>
      <c r="N1830" s="12"/>
      <c r="O1830" s="12"/>
      <c r="P1830" s="12"/>
      <c r="Q1830" s="12"/>
      <c r="R1830" s="12"/>
      <c r="S1830" s="12"/>
      <c r="T1830" s="12"/>
      <c r="U1830" s="12"/>
      <c r="V1830" s="12"/>
      <c r="W1830" s="12"/>
      <c r="X1830" s="12"/>
      <c r="Y1830" s="12"/>
      <c r="Z1830" s="12"/>
      <c r="AA1830" s="12"/>
    </row>
    <row r="1831" ht="26.25" customHeight="1">
      <c r="A1831" s="26" t="s">
        <v>3671</v>
      </c>
      <c r="B1831" s="26" t="s">
        <v>3672</v>
      </c>
      <c r="C1831" s="14">
        <v>2.0</v>
      </c>
      <c r="D1831" s="23">
        <v>494.0</v>
      </c>
      <c r="E1831" s="23">
        <v>9.0</v>
      </c>
      <c r="F1831" s="27" t="str">
        <f t="array" ref="F1831">"https://www.google.com/maps/search/?api=1&amp;query=" &amp; A1831 &amp; "," &amp; B1831</f>
        <v>https://www.google.com/maps/search/?api=1&amp;query=-30.9076941382199,-5.55348990232407</v>
      </c>
      <c r="G1831" s="27" t="str">
        <f t="array" ref="G1831">"https://earth.google.com/web/search/" &amp; A1831 &amp; "," &amp; B1831</f>
        <v>https://earth.google.com/web/search/-30.9076941382199,-5.55348990232407</v>
      </c>
      <c r="H1831" s="12"/>
      <c r="I1831" s="12"/>
      <c r="J1831" s="12"/>
      <c r="K1831" s="12"/>
      <c r="L1831" s="12"/>
      <c r="M1831" s="12"/>
      <c r="N1831" s="12"/>
      <c r="O1831" s="12"/>
      <c r="P1831" s="12"/>
      <c r="Q1831" s="12"/>
      <c r="R1831" s="12"/>
      <c r="S1831" s="12"/>
      <c r="T1831" s="12"/>
      <c r="U1831" s="12"/>
      <c r="V1831" s="12"/>
      <c r="W1831" s="12"/>
      <c r="X1831" s="12"/>
      <c r="Y1831" s="12"/>
      <c r="Z1831" s="12"/>
      <c r="AA1831" s="12"/>
    </row>
    <row r="1832" ht="26.25" customHeight="1">
      <c r="A1832" s="26" t="s">
        <v>3673</v>
      </c>
      <c r="B1832" s="26" t="s">
        <v>3674</v>
      </c>
      <c r="C1832" s="14">
        <v>2.0</v>
      </c>
      <c r="D1832" s="23">
        <v>494.0</v>
      </c>
      <c r="E1832" s="23" t="s">
        <v>3675</v>
      </c>
      <c r="F1832" s="27" t="str">
        <f t="array" ref="F1832">"https://www.google.com/maps/search/?api=1&amp;query=" &amp; A1832 &amp; "," &amp; B1832</f>
        <v>https://www.google.com/maps/search/?api=1&amp;query=-30.9076530182806,-55.53485426934490</v>
      </c>
      <c r="G1832" s="27" t="str">
        <f t="array" ref="G1832">"https://earth.google.com/web/search/" &amp; A1832 &amp; "," &amp; B1832</f>
        <v>https://earth.google.com/web/search/-30.9076530182806,-55.53485426934490</v>
      </c>
      <c r="H1832" s="12"/>
      <c r="I1832" s="12"/>
      <c r="J1832" s="12"/>
      <c r="K1832" s="12"/>
      <c r="L1832" s="12"/>
      <c r="M1832" s="12"/>
      <c r="N1832" s="12"/>
      <c r="O1832" s="12"/>
      <c r="P1832" s="12"/>
      <c r="Q1832" s="12"/>
      <c r="R1832" s="12"/>
      <c r="S1832" s="12"/>
      <c r="T1832" s="12"/>
      <c r="U1832" s="12"/>
      <c r="V1832" s="12"/>
      <c r="W1832" s="12"/>
      <c r="X1832" s="12"/>
      <c r="Y1832" s="12"/>
      <c r="Z1832" s="12"/>
      <c r="AA1832" s="12"/>
    </row>
    <row r="1833" ht="26.25" customHeight="1">
      <c r="A1833" s="26" t="s">
        <v>3676</v>
      </c>
      <c r="B1833" s="26" t="s">
        <v>3677</v>
      </c>
      <c r="C1833" s="14">
        <v>2.0</v>
      </c>
      <c r="D1833" s="23">
        <v>494.0</v>
      </c>
      <c r="E1833" s="23">
        <v>11.0</v>
      </c>
      <c r="F1833" s="27" t="str">
        <f t="array" ref="F1833">"https://www.google.com/maps/search/?api=1&amp;query=" &amp; A1833 &amp; "," &amp; B1833</f>
        <v>https://www.google.com/maps/search/?api=1&amp;query=-30.9069846816451,-55.53478724720190</v>
      </c>
      <c r="G1833" s="27" t="str">
        <f t="array" ref="G1833">"https://earth.google.com/web/search/" &amp; A1833 &amp; "," &amp; B1833</f>
        <v>https://earth.google.com/web/search/-30.9069846816451,-55.53478724720190</v>
      </c>
      <c r="H1833" s="12"/>
      <c r="I1833" s="12"/>
      <c r="J1833" s="12"/>
      <c r="K1833" s="12"/>
      <c r="L1833" s="12"/>
      <c r="M1833" s="12"/>
      <c r="N1833" s="12"/>
      <c r="O1833" s="12"/>
      <c r="P1833" s="12"/>
      <c r="Q1833" s="12"/>
      <c r="R1833" s="12"/>
      <c r="S1833" s="12"/>
      <c r="T1833" s="12"/>
      <c r="U1833" s="12"/>
      <c r="V1833" s="12"/>
      <c r="W1833" s="12"/>
      <c r="X1833" s="12"/>
      <c r="Y1833" s="12"/>
      <c r="Z1833" s="12"/>
      <c r="AA1833" s="12"/>
    </row>
    <row r="1834" ht="26.25" customHeight="1">
      <c r="A1834" s="26" t="s">
        <v>3678</v>
      </c>
      <c r="B1834" s="26" t="s">
        <v>3679</v>
      </c>
      <c r="C1834" s="14">
        <v>2.0</v>
      </c>
      <c r="D1834" s="23">
        <v>948.0</v>
      </c>
      <c r="E1834" s="23">
        <v>1.0</v>
      </c>
      <c r="F1834" s="27" t="str">
        <f t="array" ref="F1834">"https://www.google.com/maps/search/?api=1&amp;query=" &amp; A1834 &amp; "," &amp; B1834</f>
        <v>https://www.google.com/maps/search/?api=1&amp;query=-30.9079025477826,-55.53490297590050</v>
      </c>
      <c r="G1834" s="27" t="str">
        <f t="array" ref="G1834">"https://earth.google.com/web/search/" &amp; A1834 &amp; "," &amp; B1834</f>
        <v>https://earth.google.com/web/search/-30.9079025477826,-55.53490297590050</v>
      </c>
      <c r="H1834" s="12"/>
      <c r="I1834" s="12"/>
      <c r="J1834" s="12"/>
      <c r="K1834" s="12"/>
      <c r="L1834" s="12"/>
      <c r="M1834" s="12"/>
      <c r="N1834" s="12"/>
      <c r="O1834" s="12"/>
      <c r="P1834" s="12"/>
      <c r="Q1834" s="12"/>
      <c r="R1834" s="12"/>
      <c r="S1834" s="12"/>
      <c r="T1834" s="12"/>
      <c r="U1834" s="12"/>
      <c r="V1834" s="12"/>
      <c r="W1834" s="12"/>
      <c r="X1834" s="12"/>
      <c r="Y1834" s="12"/>
      <c r="Z1834" s="12"/>
      <c r="AA1834" s="12"/>
    </row>
    <row r="1835" ht="26.25" customHeight="1">
      <c r="A1835" s="26" t="s">
        <v>3680</v>
      </c>
      <c r="B1835" s="26" t="s">
        <v>3681</v>
      </c>
      <c r="C1835" s="14">
        <v>2.0</v>
      </c>
      <c r="D1835" s="23">
        <v>948.0</v>
      </c>
      <c r="E1835" s="23">
        <v>2.0</v>
      </c>
      <c r="F1835" s="27" t="str">
        <f t="array" ref="F1835">"https://www.google.com/maps/search/?api=1&amp;query=" &amp; A1835 &amp; "," &amp; B1835</f>
        <v>https://www.google.com/maps/search/?api=1&amp;query=-30.9079511871098,-55.53480533173890</v>
      </c>
      <c r="G1835" s="27" t="str">
        <f t="array" ref="G1835">"https://earth.google.com/web/search/" &amp; A1835 &amp; "," &amp; B1835</f>
        <v>https://earth.google.com/web/search/-30.9079511871098,-55.53480533173890</v>
      </c>
      <c r="H1835" s="12"/>
      <c r="I1835" s="12"/>
      <c r="J1835" s="12"/>
      <c r="K1835" s="12"/>
      <c r="L1835" s="12"/>
      <c r="M1835" s="12"/>
      <c r="N1835" s="12"/>
      <c r="O1835" s="12"/>
      <c r="P1835" s="12"/>
      <c r="Q1835" s="12"/>
      <c r="R1835" s="12"/>
      <c r="S1835" s="12"/>
      <c r="T1835" s="12"/>
      <c r="U1835" s="12"/>
      <c r="V1835" s="12"/>
      <c r="W1835" s="12"/>
      <c r="X1835" s="12"/>
      <c r="Y1835" s="12"/>
      <c r="Z1835" s="12"/>
      <c r="AA1835" s="12"/>
    </row>
    <row r="1836" ht="26.25" customHeight="1">
      <c r="A1836" s="26" t="s">
        <v>3682</v>
      </c>
      <c r="B1836" s="26" t="s">
        <v>3683</v>
      </c>
      <c r="C1836" s="14">
        <v>2.0</v>
      </c>
      <c r="D1836" s="23">
        <v>948.0</v>
      </c>
      <c r="E1836" s="23">
        <v>3.0</v>
      </c>
      <c r="F1836" s="27" t="str">
        <f t="array" ref="F1836">"https://www.google.com/maps/search/?api=1&amp;query=" &amp; A1836 &amp; "," &amp; B1836</f>
        <v>https://www.google.com/maps/search/?api=1&amp;query=-30.9080003747930,-55.53471516806880</v>
      </c>
      <c r="G1836" s="27" t="str">
        <f t="array" ref="G1836">"https://earth.google.com/web/search/" &amp; A1836 &amp; "," &amp; B1836</f>
        <v>https://earth.google.com/web/search/-30.9080003747930,-55.53471516806880</v>
      </c>
      <c r="H1836" s="12"/>
      <c r="I1836" s="12"/>
      <c r="J1836" s="12"/>
      <c r="K1836" s="12"/>
      <c r="L1836" s="12"/>
      <c r="M1836" s="12"/>
      <c r="N1836" s="12"/>
      <c r="O1836" s="12"/>
      <c r="P1836" s="12"/>
      <c r="Q1836" s="12"/>
      <c r="R1836" s="12"/>
      <c r="S1836" s="12"/>
      <c r="T1836" s="12"/>
      <c r="U1836" s="12"/>
      <c r="V1836" s="12"/>
      <c r="W1836" s="12"/>
      <c r="X1836" s="12"/>
      <c r="Y1836" s="12"/>
      <c r="Z1836" s="12"/>
      <c r="AA1836" s="12"/>
    </row>
    <row r="1837" ht="26.25" customHeight="1">
      <c r="A1837" s="26" t="s">
        <v>3684</v>
      </c>
      <c r="B1837" s="26" t="s">
        <v>3685</v>
      </c>
      <c r="C1837" s="14">
        <v>2.0</v>
      </c>
      <c r="D1837" s="23">
        <v>948.0</v>
      </c>
      <c r="E1837" s="23">
        <v>4.0</v>
      </c>
      <c r="F1837" s="27" t="str">
        <f t="array" ref="F1837">"https://www.google.com/maps/search/?api=1&amp;query=" &amp; A1837 &amp; "," &amp; B1837</f>
        <v>https://www.google.com/maps/search/?api=1&amp;query=-3.0908033641591,-55.53462697511830</v>
      </c>
      <c r="G1837" s="27" t="str">
        <f t="array" ref="G1837">"https://earth.google.com/web/search/" &amp; A1837 &amp; "," &amp; B1837</f>
        <v>https://earth.google.com/web/search/-3.0908033641591,-55.53462697511830</v>
      </c>
      <c r="H1837" s="12"/>
      <c r="I1837" s="12"/>
      <c r="J1837" s="12"/>
      <c r="K1837" s="12"/>
      <c r="L1837" s="12"/>
      <c r="M1837" s="12"/>
      <c r="N1837" s="12"/>
      <c r="O1837" s="12"/>
      <c r="P1837" s="12"/>
      <c r="Q1837" s="12"/>
      <c r="R1837" s="12"/>
      <c r="S1837" s="12"/>
      <c r="T1837" s="12"/>
      <c r="U1837" s="12"/>
      <c r="V1837" s="12"/>
      <c r="W1837" s="12"/>
      <c r="X1837" s="12"/>
      <c r="Y1837" s="12"/>
      <c r="Z1837" s="12"/>
      <c r="AA1837" s="12"/>
    </row>
    <row r="1838" ht="26.25" customHeight="1">
      <c r="A1838" s="26" t="s">
        <v>3686</v>
      </c>
      <c r="B1838" s="26" t="s">
        <v>3687</v>
      </c>
      <c r="C1838" s="14">
        <v>2.0</v>
      </c>
      <c r="D1838" s="23">
        <v>948.0</v>
      </c>
      <c r="E1838" s="23">
        <v>6.0</v>
      </c>
      <c r="F1838" s="27" t="str">
        <f t="array" ref="F1838">"https://www.google.com/maps/search/?api=1&amp;query=" &amp; A1838 &amp; "," &amp; B1838</f>
        <v>https://www.google.com/maps/search/?api=1&amp;query=-30.9080749533176,-55.53458369686920</v>
      </c>
      <c r="G1838" s="27" t="str">
        <f t="array" ref="G1838">"https://earth.google.com/web/search/" &amp; A1838 &amp; "," &amp; B1838</f>
        <v>https://earth.google.com/web/search/-30.9080749533176,-55.53458369686920</v>
      </c>
      <c r="H1838" s="12"/>
      <c r="I1838" s="12"/>
      <c r="J1838" s="12"/>
      <c r="K1838" s="12"/>
      <c r="L1838" s="12"/>
      <c r="M1838" s="12"/>
      <c r="N1838" s="12"/>
      <c r="O1838" s="12"/>
      <c r="P1838" s="12"/>
      <c r="Q1838" s="12"/>
      <c r="R1838" s="12"/>
      <c r="S1838" s="12"/>
      <c r="T1838" s="12"/>
      <c r="U1838" s="12"/>
      <c r="V1838" s="12"/>
      <c r="W1838" s="12"/>
      <c r="X1838" s="12"/>
      <c r="Y1838" s="12"/>
      <c r="Z1838" s="12"/>
      <c r="AA1838" s="12"/>
    </row>
    <row r="1839" ht="26.25" customHeight="1">
      <c r="A1839" s="26" t="s">
        <v>3688</v>
      </c>
      <c r="B1839" s="26" t="s">
        <v>3689</v>
      </c>
      <c r="C1839" s="14">
        <v>2.0</v>
      </c>
      <c r="D1839" s="23">
        <v>948.0</v>
      </c>
      <c r="E1839" s="23">
        <v>7.0</v>
      </c>
      <c r="F1839" s="27" t="str">
        <f t="array" ref="F1839">"https://www.google.com/maps/search/?api=1&amp;query=" &amp; A1839 &amp; "," &amp; B1839</f>
        <v>https://www.google.com/maps/search/?api=1&amp;query=-30.9080983527897,-55.53453870106140</v>
      </c>
      <c r="G1839" s="27" t="str">
        <f t="array" ref="G1839">"https://earth.google.com/web/search/" &amp; A1839 &amp; "," &amp; B1839</f>
        <v>https://earth.google.com/web/search/-30.9080983527897,-55.53453870106140</v>
      </c>
      <c r="H1839" s="12"/>
      <c r="I1839" s="12"/>
      <c r="J1839" s="12"/>
      <c r="K1839" s="12"/>
      <c r="L1839" s="12"/>
      <c r="M1839" s="12"/>
      <c r="N1839" s="12"/>
      <c r="O1839" s="12"/>
      <c r="P1839" s="12"/>
      <c r="Q1839" s="12"/>
      <c r="R1839" s="12"/>
      <c r="S1839" s="12"/>
      <c r="T1839" s="12"/>
      <c r="U1839" s="12"/>
      <c r="V1839" s="12"/>
      <c r="W1839" s="12"/>
      <c r="X1839" s="12"/>
      <c r="Y1839" s="12"/>
      <c r="Z1839" s="12"/>
      <c r="AA1839" s="12"/>
    </row>
    <row r="1840" ht="26.25" customHeight="1">
      <c r="A1840" s="26" t="s">
        <v>3690</v>
      </c>
      <c r="B1840" s="26" t="s">
        <v>3691</v>
      </c>
      <c r="C1840" s="14">
        <v>2.0</v>
      </c>
      <c r="D1840" s="23">
        <v>948.0</v>
      </c>
      <c r="E1840" s="23">
        <v>8.0</v>
      </c>
      <c r="F1840" s="27" t="str">
        <f t="array" ref="F1840">"https://www.google.com/maps/search/?api=1&amp;query=" &amp; A1840 &amp; "," &amp; B1840</f>
        <v>https://www.google.com/maps/search/?api=1&amp;query=-30.9081205199457,-55.53447887941170</v>
      </c>
      <c r="G1840" s="27" t="str">
        <f t="array" ref="G1840">"https://earth.google.com/web/search/" &amp; A1840 &amp; "," &amp; B1840</f>
        <v>https://earth.google.com/web/search/-30.9081205199457,-55.53447887941170</v>
      </c>
      <c r="H1840" s="12"/>
      <c r="I1840" s="12"/>
      <c r="J1840" s="12"/>
      <c r="K1840" s="12"/>
      <c r="L1840" s="12"/>
      <c r="M1840" s="12"/>
      <c r="N1840" s="12"/>
      <c r="O1840" s="12"/>
      <c r="P1840" s="12"/>
      <c r="Q1840" s="12"/>
      <c r="R1840" s="12"/>
      <c r="S1840" s="12"/>
      <c r="T1840" s="12"/>
      <c r="U1840" s="12"/>
      <c r="V1840" s="12"/>
      <c r="W1840" s="12"/>
      <c r="X1840" s="12"/>
      <c r="Y1840" s="12"/>
      <c r="Z1840" s="12"/>
      <c r="AA1840" s="12"/>
    </row>
    <row r="1841" ht="26.25" customHeight="1">
      <c r="A1841" s="26" t="s">
        <v>3692</v>
      </c>
      <c r="B1841" s="26" t="s">
        <v>3693</v>
      </c>
      <c r="C1841" s="14">
        <v>2.0</v>
      </c>
      <c r="D1841" s="23">
        <v>948.0</v>
      </c>
      <c r="E1841" s="23">
        <v>9.0</v>
      </c>
      <c r="F1841" s="27" t="str">
        <f t="array" ref="F1841">"https://www.google.com/maps/search/?api=1&amp;query=" &amp; A1841 &amp; "," &amp; B1841</f>
        <v>https://www.google.com/maps/search/?api=1&amp;query=-30.9081648622197,-55.53439942363270</v>
      </c>
      <c r="G1841" s="27" t="str">
        <f t="array" ref="G1841">"https://earth.google.com/web/search/" &amp; A1841 &amp; "," &amp; B1841</f>
        <v>https://earth.google.com/web/search/-30.9081648622197,-55.53439942363270</v>
      </c>
      <c r="H1841" s="12"/>
      <c r="I1841" s="12"/>
      <c r="J1841" s="12"/>
      <c r="K1841" s="12"/>
      <c r="L1841" s="12"/>
      <c r="M1841" s="12"/>
      <c r="N1841" s="12"/>
      <c r="O1841" s="12"/>
      <c r="P1841" s="12"/>
      <c r="Q1841" s="12"/>
      <c r="R1841" s="12"/>
      <c r="S1841" s="12"/>
      <c r="T1841" s="12"/>
      <c r="U1841" s="12"/>
      <c r="V1841" s="12"/>
      <c r="W1841" s="12"/>
      <c r="X1841" s="12"/>
      <c r="Y1841" s="12"/>
      <c r="Z1841" s="12"/>
      <c r="AA1841" s="12"/>
    </row>
    <row r="1842" ht="26.25" customHeight="1">
      <c r="A1842" s="26" t="s">
        <v>3694</v>
      </c>
      <c r="B1842" s="26" t="s">
        <v>3695</v>
      </c>
      <c r="C1842" s="14">
        <v>2.0</v>
      </c>
      <c r="D1842" s="23">
        <v>948.0</v>
      </c>
      <c r="E1842" s="23">
        <v>10.0</v>
      </c>
      <c r="F1842" s="27" t="str">
        <f t="array" ref="F1842">"https://www.google.com/maps/search/?api=1&amp;query=" &amp; A1842 &amp; "," &amp; B1842</f>
        <v>https://www.google.com/maps/search/?api=1&amp;query=-30.9079994426896,-55.53409282102760</v>
      </c>
      <c r="G1842" s="27" t="str">
        <f t="array" ref="G1842">"https://earth.google.com/web/search/" &amp; A1842 &amp; "," &amp; B1842</f>
        <v>https://earth.google.com/web/search/-30.9079994426896,-55.53409282102760</v>
      </c>
      <c r="H1842" s="12"/>
      <c r="I1842" s="12"/>
      <c r="J1842" s="12"/>
      <c r="K1842" s="12"/>
      <c r="L1842" s="12"/>
      <c r="M1842" s="12"/>
      <c r="N1842" s="12"/>
      <c r="O1842" s="12"/>
      <c r="P1842" s="12"/>
      <c r="Q1842" s="12"/>
      <c r="R1842" s="12"/>
      <c r="S1842" s="12"/>
      <c r="T1842" s="12"/>
      <c r="U1842" s="12"/>
      <c r="V1842" s="12"/>
      <c r="W1842" s="12"/>
      <c r="X1842" s="12"/>
      <c r="Y1842" s="12"/>
      <c r="Z1842" s="12"/>
      <c r="AA1842" s="12"/>
    </row>
    <row r="1843" ht="26.25" customHeight="1">
      <c r="A1843" s="26" t="s">
        <v>3696</v>
      </c>
      <c r="B1843" s="26" t="s">
        <v>3697</v>
      </c>
      <c r="C1843" s="14">
        <v>2.0</v>
      </c>
      <c r="D1843" s="23">
        <v>948.0</v>
      </c>
      <c r="E1843" s="23">
        <v>11.0</v>
      </c>
      <c r="F1843" s="27" t="str">
        <f t="array" ref="F1843">"https://www.google.com/maps/search/?api=1&amp;query=" &amp; A1843 &amp; "," &amp; B1843</f>
        <v>https://www.google.com/maps/search/?api=1&amp;query=-30.9079227697085,-55.53402597939570</v>
      </c>
      <c r="G1843" s="27" t="str">
        <f t="array" ref="G1843">"https://earth.google.com/web/search/" &amp; A1843 &amp; "," &amp; B1843</f>
        <v>https://earth.google.com/web/search/-30.9079227697085,-55.53402597939570</v>
      </c>
      <c r="H1843" s="12"/>
      <c r="I1843" s="12"/>
      <c r="J1843" s="12"/>
      <c r="K1843" s="12"/>
      <c r="L1843" s="12"/>
      <c r="M1843" s="12"/>
      <c r="N1843" s="12"/>
      <c r="O1843" s="12"/>
      <c r="P1843" s="12"/>
      <c r="Q1843" s="12"/>
      <c r="R1843" s="12"/>
      <c r="S1843" s="12"/>
      <c r="T1843" s="12"/>
      <c r="U1843" s="12"/>
      <c r="V1843" s="12"/>
      <c r="W1843" s="12"/>
      <c r="X1843" s="12"/>
      <c r="Y1843" s="12"/>
      <c r="Z1843" s="12"/>
      <c r="AA1843" s="12"/>
    </row>
    <row r="1844" ht="26.25" customHeight="1">
      <c r="A1844" s="26" t="s">
        <v>3698</v>
      </c>
      <c r="B1844" s="26" t="s">
        <v>3699</v>
      </c>
      <c r="C1844" s="14">
        <v>2.0</v>
      </c>
      <c r="D1844" s="23">
        <v>948.0</v>
      </c>
      <c r="E1844" s="23">
        <v>12.0</v>
      </c>
      <c r="F1844" s="27" t="str">
        <f t="array" ref="F1844">"https://www.google.com/maps/search/?api=1&amp;query=" &amp; A1844 &amp; "," &amp; B1844</f>
        <v>https://www.google.com/maps/search/?api=1&amp;query=-30.9078556850597,-55.53399103657430</v>
      </c>
      <c r="G1844" s="27" t="str">
        <f t="array" ref="G1844">"https://earth.google.com/web/search/" &amp; A1844 &amp; "," &amp; B1844</f>
        <v>https://earth.google.com/web/search/-30.9078556850597,-55.53399103657430</v>
      </c>
      <c r="H1844" s="12"/>
      <c r="I1844" s="12"/>
      <c r="J1844" s="12"/>
      <c r="K1844" s="12"/>
      <c r="L1844" s="12"/>
      <c r="M1844" s="12"/>
      <c r="N1844" s="12"/>
      <c r="O1844" s="12"/>
      <c r="P1844" s="12"/>
      <c r="Q1844" s="12"/>
      <c r="R1844" s="12"/>
      <c r="S1844" s="12"/>
      <c r="T1844" s="12"/>
      <c r="U1844" s="12"/>
      <c r="V1844" s="12"/>
      <c r="W1844" s="12"/>
      <c r="X1844" s="12"/>
      <c r="Y1844" s="12"/>
      <c r="Z1844" s="12"/>
      <c r="AA1844" s="12"/>
    </row>
    <row r="1845" ht="26.25" customHeight="1">
      <c r="A1845" s="26" t="s">
        <v>3700</v>
      </c>
      <c r="B1845" s="26" t="s">
        <v>3701</v>
      </c>
      <c r="C1845" s="14">
        <v>2.0</v>
      </c>
      <c r="D1845" s="23">
        <v>948.0</v>
      </c>
      <c r="E1845" s="23">
        <v>13.0</v>
      </c>
      <c r="F1845" s="27" t="str">
        <f t="array" ref="F1845">"https://www.google.com/maps/search/?api=1&amp;query=" &amp; A1845 &amp; "," &amp; B1845</f>
        <v>https://www.google.com/maps/search/?api=1&amp;query=-30.9077937381492,-0.55533944179838</v>
      </c>
      <c r="G1845" s="27" t="str">
        <f t="array" ref="G1845">"https://earth.google.com/web/search/" &amp; A1845 &amp; "," &amp; B1845</f>
        <v>https://earth.google.com/web/search/-30.9077937381492,-0.55533944179838</v>
      </c>
      <c r="H1845" s="12"/>
      <c r="I1845" s="12"/>
      <c r="J1845" s="12"/>
      <c r="K1845" s="12"/>
      <c r="L1845" s="12"/>
      <c r="M1845" s="12"/>
      <c r="N1845" s="12"/>
      <c r="O1845" s="12"/>
      <c r="P1845" s="12"/>
      <c r="Q1845" s="12"/>
      <c r="R1845" s="12"/>
      <c r="S1845" s="12"/>
      <c r="T1845" s="12"/>
      <c r="U1845" s="12"/>
      <c r="V1845" s="12"/>
      <c r="W1845" s="12"/>
      <c r="X1845" s="12"/>
      <c r="Y1845" s="12"/>
      <c r="Z1845" s="12"/>
      <c r="AA1845" s="12"/>
    </row>
    <row r="1846" ht="26.25" customHeight="1">
      <c r="A1846" s="26" t="s">
        <v>3702</v>
      </c>
      <c r="B1846" s="26" t="s">
        <v>3703</v>
      </c>
      <c r="C1846" s="14">
        <v>2.0</v>
      </c>
      <c r="D1846" s="23">
        <v>948.0</v>
      </c>
      <c r="E1846" s="23">
        <v>14.0</v>
      </c>
      <c r="F1846" s="27" t="str">
        <f t="array" ref="F1846">"https://www.google.com/maps/search/?api=1&amp;query=" &amp; A1846 &amp; "," &amp; B1846</f>
        <v>https://www.google.com/maps/search/?api=1&amp;query=-30.9074944133282,-55.53383639650070</v>
      </c>
      <c r="G1846" s="27" t="str">
        <f t="array" ref="G1846">"https://earth.google.com/web/search/" &amp; A1846 &amp; "," &amp; B1846</f>
        <v>https://earth.google.com/web/search/-30.9074944133282,-55.53383639650070</v>
      </c>
      <c r="H1846" s="12"/>
      <c r="I1846" s="12"/>
      <c r="J1846" s="12"/>
      <c r="K1846" s="12"/>
      <c r="L1846" s="12"/>
      <c r="M1846" s="12"/>
      <c r="N1846" s="12"/>
      <c r="O1846" s="12"/>
      <c r="P1846" s="12"/>
      <c r="Q1846" s="12"/>
      <c r="R1846" s="12"/>
      <c r="S1846" s="12"/>
      <c r="T1846" s="12"/>
      <c r="U1846" s="12"/>
      <c r="V1846" s="12"/>
      <c r="W1846" s="12"/>
      <c r="X1846" s="12"/>
      <c r="Y1846" s="12"/>
      <c r="Z1846" s="12"/>
      <c r="AA1846" s="12"/>
    </row>
    <row r="1847" ht="26.25" customHeight="1">
      <c r="A1847" s="26" t="s">
        <v>3704</v>
      </c>
      <c r="B1847" s="26" t="s">
        <v>3705</v>
      </c>
      <c r="C1847" s="14">
        <v>2.0</v>
      </c>
      <c r="D1847" s="23">
        <v>948.0</v>
      </c>
      <c r="E1847" s="23">
        <v>15.0</v>
      </c>
      <c r="F1847" s="27" t="str">
        <f t="array" ref="F1847">"https://www.google.com/maps/search/?api=1&amp;query=" &amp; A1847 &amp; "," &amp; B1847</f>
        <v>https://www.google.com/maps/search/?api=1&amp;query=-30.9073728222378,-55.53405793593350</v>
      </c>
      <c r="G1847" s="27" t="str">
        <f t="array" ref="G1847">"https://earth.google.com/web/search/" &amp; A1847 &amp; "," &amp; B1847</f>
        <v>https://earth.google.com/web/search/-30.9073728222378,-55.53405793593350</v>
      </c>
      <c r="H1847" s="12"/>
      <c r="I1847" s="12"/>
      <c r="J1847" s="12"/>
      <c r="K1847" s="12"/>
      <c r="L1847" s="12"/>
      <c r="M1847" s="12"/>
      <c r="N1847" s="12"/>
      <c r="O1847" s="12"/>
      <c r="P1847" s="12"/>
      <c r="Q1847" s="12"/>
      <c r="R1847" s="12"/>
      <c r="S1847" s="12"/>
      <c r="T1847" s="12"/>
      <c r="U1847" s="12"/>
      <c r="V1847" s="12"/>
      <c r="W1847" s="12"/>
      <c r="X1847" s="12"/>
      <c r="Y1847" s="12"/>
      <c r="Z1847" s="12"/>
      <c r="AA1847" s="12"/>
    </row>
    <row r="1848" ht="26.25" customHeight="1">
      <c r="A1848" s="26" t="s">
        <v>3706</v>
      </c>
      <c r="B1848" s="26" t="s">
        <v>3707</v>
      </c>
      <c r="C1848" s="14">
        <v>2.0</v>
      </c>
      <c r="D1848" s="23">
        <v>947.0</v>
      </c>
      <c r="E1848" s="23">
        <v>1.0</v>
      </c>
      <c r="F1848" s="27" t="str">
        <f t="array" ref="F1848">"https://www.google.com/maps/search/?api=1&amp;query=" &amp; A1848 &amp; "," &amp; B1848</f>
        <v>https://www.google.com/maps/search/?api=1&amp;query=-3.0907689183822,-55.53377538102360</v>
      </c>
      <c r="G1848" s="27" t="str">
        <f t="array" ref="G1848">"https://earth.google.com/web/search/" &amp; A1848 &amp; "," &amp; B1848</f>
        <v>https://earth.google.com/web/search/-3.0907689183822,-55.53377538102360</v>
      </c>
      <c r="H1848" s="12"/>
      <c r="I1848" s="12"/>
      <c r="J1848" s="12"/>
      <c r="K1848" s="12"/>
      <c r="L1848" s="12"/>
      <c r="M1848" s="12"/>
      <c r="N1848" s="12"/>
      <c r="O1848" s="12"/>
      <c r="P1848" s="12"/>
      <c r="Q1848" s="12"/>
      <c r="R1848" s="12"/>
      <c r="S1848" s="12"/>
      <c r="T1848" s="12"/>
      <c r="U1848" s="12"/>
      <c r="V1848" s="12"/>
      <c r="W1848" s="12"/>
      <c r="X1848" s="12"/>
      <c r="Y1848" s="12"/>
      <c r="Z1848" s="12"/>
      <c r="AA1848" s="12"/>
    </row>
    <row r="1849" ht="26.25" customHeight="1">
      <c r="A1849" s="26" t="s">
        <v>3708</v>
      </c>
      <c r="B1849" s="26" t="s">
        <v>3709</v>
      </c>
      <c r="C1849" s="14">
        <v>2.0</v>
      </c>
      <c r="D1849" s="23">
        <v>947.0</v>
      </c>
      <c r="E1849" s="23">
        <v>2.0</v>
      </c>
      <c r="F1849" s="27" t="str">
        <f t="array" ref="F1849">"https://www.google.com/maps/search/?api=1&amp;query=" &amp; A1849 &amp; "," &amp; B1849</f>
        <v>https://www.google.com/maps/search/?api=1&amp;query=-30.9077468901718,-55.53382307248300</v>
      </c>
      <c r="G1849" s="27" t="str">
        <f t="array" ref="G1849">"https://earth.google.com/web/search/" &amp; A1849 &amp; "," &amp; B1849</f>
        <v>https://earth.google.com/web/search/-30.9077468901718,-55.53382307248300</v>
      </c>
      <c r="H1849" s="12"/>
      <c r="I1849" s="12"/>
      <c r="J1849" s="12"/>
      <c r="K1849" s="12"/>
      <c r="L1849" s="12"/>
      <c r="M1849" s="12"/>
      <c r="N1849" s="12"/>
      <c r="O1849" s="12"/>
      <c r="P1849" s="12"/>
      <c r="Q1849" s="12"/>
      <c r="R1849" s="12"/>
      <c r="S1849" s="12"/>
      <c r="T1849" s="12"/>
      <c r="U1849" s="12"/>
      <c r="V1849" s="12"/>
      <c r="W1849" s="12"/>
      <c r="X1849" s="12"/>
      <c r="Y1849" s="12"/>
      <c r="Z1849" s="12"/>
      <c r="AA1849" s="12"/>
    </row>
    <row r="1850" ht="26.25" customHeight="1">
      <c r="A1850" s="26" t="s">
        <v>3710</v>
      </c>
      <c r="B1850" s="26" t="s">
        <v>3711</v>
      </c>
      <c r="C1850" s="14">
        <v>2.0</v>
      </c>
      <c r="D1850" s="23">
        <v>947.0</v>
      </c>
      <c r="E1850" s="23">
        <v>3.0</v>
      </c>
      <c r="F1850" s="27" t="str">
        <f t="array" ref="F1850">"https://www.google.com/maps/search/?api=1&amp;query=" &amp; A1850 &amp; "," &amp; B1850</f>
        <v>https://www.google.com/maps/search/?api=1&amp;query=-3.0907867014903,-55.53387145552130</v>
      </c>
      <c r="G1850" s="27" t="str">
        <f t="array" ref="G1850">"https://earth.google.com/web/search/" &amp; A1850 &amp; "," &amp; B1850</f>
        <v>https://earth.google.com/web/search/-3.0907867014903,-55.53387145552130</v>
      </c>
      <c r="H1850" s="12"/>
      <c r="I1850" s="12"/>
      <c r="J1850" s="12"/>
      <c r="K1850" s="12"/>
      <c r="L1850" s="12"/>
      <c r="M1850" s="12"/>
      <c r="N1850" s="12"/>
      <c r="O1850" s="12"/>
      <c r="P1850" s="12"/>
      <c r="Q1850" s="12"/>
      <c r="R1850" s="12"/>
      <c r="S1850" s="12"/>
      <c r="T1850" s="12"/>
      <c r="U1850" s="12"/>
      <c r="V1850" s="12"/>
      <c r="W1850" s="12"/>
      <c r="X1850" s="12"/>
      <c r="Y1850" s="12"/>
      <c r="Z1850" s="12"/>
      <c r="AA1850" s="12"/>
    </row>
    <row r="1851" ht="26.25" customHeight="1">
      <c r="A1851" s="26" t="s">
        <v>3712</v>
      </c>
      <c r="B1851" s="26" t="s">
        <v>3713</v>
      </c>
      <c r="C1851" s="14">
        <v>2.0</v>
      </c>
      <c r="D1851" s="23">
        <v>947.0</v>
      </c>
      <c r="E1851" s="23">
        <v>4.0</v>
      </c>
      <c r="F1851" s="27" t="str">
        <f t="array" ref="F1851">"https://www.google.com/maps/search/?api=1&amp;query=" &amp; A1851 &amp; "," &amp; B1851</f>
        <v>https://www.google.com/maps/search/?api=1&amp;query=-30.9083356278126,-55.53408985822450</v>
      </c>
      <c r="G1851" s="27" t="str">
        <f t="array" ref="G1851">"https://earth.google.com/web/search/" &amp; A1851 &amp; "," &amp; B1851</f>
        <v>https://earth.google.com/web/search/-30.9083356278126,-55.53408985822450</v>
      </c>
      <c r="H1851" s="12"/>
      <c r="I1851" s="12"/>
      <c r="J1851" s="12"/>
      <c r="K1851" s="12"/>
      <c r="L1851" s="12"/>
      <c r="M1851" s="12"/>
      <c r="N1851" s="12"/>
      <c r="O1851" s="12"/>
      <c r="P1851" s="12"/>
      <c r="Q1851" s="12"/>
      <c r="R1851" s="12"/>
      <c r="S1851" s="12"/>
      <c r="T1851" s="12"/>
      <c r="U1851" s="12"/>
      <c r="V1851" s="12"/>
      <c r="W1851" s="12"/>
      <c r="X1851" s="12"/>
      <c r="Y1851" s="12"/>
      <c r="Z1851" s="12"/>
      <c r="AA1851" s="12"/>
    </row>
    <row r="1852" ht="26.25" customHeight="1">
      <c r="A1852" s="26" t="s">
        <v>3714</v>
      </c>
      <c r="B1852" s="26" t="s">
        <v>3715</v>
      </c>
      <c r="C1852" s="14">
        <v>2.0</v>
      </c>
      <c r="D1852" s="23">
        <v>947.0</v>
      </c>
      <c r="E1852" s="23">
        <v>5.0</v>
      </c>
      <c r="F1852" s="27" t="str">
        <f t="array" ref="F1852">"https://www.google.com/maps/search/?api=1&amp;query=" &amp; A1852 &amp; "," &amp; B1852</f>
        <v>https://www.google.com/maps/search/?api=1&amp;query=-3.0908455635094,-55.53386513054260</v>
      </c>
      <c r="G1852" s="27" t="str">
        <f t="array" ref="G1852">"https://earth.google.com/web/search/" &amp; A1852 &amp; "," &amp; B1852</f>
        <v>https://earth.google.com/web/search/-3.0908455635094,-55.53386513054260</v>
      </c>
      <c r="H1852" s="12"/>
      <c r="I1852" s="12"/>
      <c r="J1852" s="12"/>
      <c r="K1852" s="12"/>
      <c r="L1852" s="12"/>
      <c r="M1852" s="12"/>
      <c r="N1852" s="12"/>
      <c r="O1852" s="12"/>
      <c r="P1852" s="12"/>
      <c r="Q1852" s="12"/>
      <c r="R1852" s="12"/>
      <c r="S1852" s="12"/>
      <c r="T1852" s="12"/>
      <c r="U1852" s="12"/>
      <c r="V1852" s="12"/>
      <c r="W1852" s="12"/>
      <c r="X1852" s="12"/>
      <c r="Y1852" s="12"/>
      <c r="Z1852" s="12"/>
      <c r="AA1852" s="12"/>
    </row>
    <row r="1853" ht="26.25" customHeight="1">
      <c r="A1853" s="26" t="s">
        <v>3716</v>
      </c>
      <c r="B1853" s="26" t="s">
        <v>3717</v>
      </c>
      <c r="C1853" s="14">
        <v>2.0</v>
      </c>
      <c r="D1853" s="23">
        <v>947.0</v>
      </c>
      <c r="E1853" s="23">
        <v>6.0</v>
      </c>
      <c r="F1853" s="27" t="str">
        <f t="array" ref="F1853">"https://www.google.com/maps/search/?api=1&amp;query=" &amp; A1853 &amp; "," &amp; B1853</f>
        <v>https://www.google.com/maps/search/?api=1&amp;query=-30.9085330190810,-55.53369200628090</v>
      </c>
      <c r="G1853" s="27" t="str">
        <f t="array" ref="G1853">"https://earth.google.com/web/search/" &amp; A1853 &amp; "," &amp; B1853</f>
        <v>https://earth.google.com/web/search/-30.9085330190810,-55.53369200628090</v>
      </c>
      <c r="H1853" s="12"/>
      <c r="I1853" s="12"/>
      <c r="J1853" s="12"/>
      <c r="K1853" s="12"/>
      <c r="L1853" s="12"/>
      <c r="M1853" s="12"/>
      <c r="N1853" s="12"/>
      <c r="O1853" s="12"/>
      <c r="P1853" s="12"/>
      <c r="Q1853" s="12"/>
      <c r="R1853" s="12"/>
      <c r="S1853" s="12"/>
      <c r="T1853" s="12"/>
      <c r="U1853" s="12"/>
      <c r="V1853" s="12"/>
      <c r="W1853" s="12"/>
      <c r="X1853" s="12"/>
      <c r="Y1853" s="12"/>
      <c r="Z1853" s="12"/>
      <c r="AA1853" s="12"/>
    </row>
    <row r="1854" ht="26.25" customHeight="1">
      <c r="A1854" s="26" t="s">
        <v>3718</v>
      </c>
      <c r="B1854" s="26" t="s">
        <v>3719</v>
      </c>
      <c r="C1854" s="14">
        <v>2.0</v>
      </c>
      <c r="D1854" s="23">
        <v>947.0</v>
      </c>
      <c r="E1854" s="23">
        <v>7.0</v>
      </c>
      <c r="F1854" s="27" t="str">
        <f t="array" ref="F1854">"https://www.google.com/maps/search/?api=1&amp;query=" &amp; A1854 &amp; "," &amp; B1854</f>
        <v>https://www.google.com/maps/search/?api=1&amp;query=-30.9078795623015,-55.53310394184500</v>
      </c>
      <c r="G1854" s="27" t="str">
        <f t="array" ref="G1854">"https://earth.google.com/web/search/" &amp; A1854 &amp; "," &amp; B1854</f>
        <v>https://earth.google.com/web/search/-30.9078795623015,-55.53310394184500</v>
      </c>
      <c r="H1854" s="12"/>
      <c r="I1854" s="12"/>
      <c r="J1854" s="12"/>
      <c r="K1854" s="12"/>
      <c r="L1854" s="12"/>
      <c r="M1854" s="12"/>
      <c r="N1854" s="12"/>
      <c r="O1854" s="12"/>
      <c r="P1854" s="12"/>
      <c r="Q1854" s="12"/>
      <c r="R1854" s="12"/>
      <c r="S1854" s="12"/>
      <c r="T1854" s="12"/>
      <c r="U1854" s="12"/>
      <c r="V1854" s="12"/>
      <c r="W1854" s="12"/>
      <c r="X1854" s="12"/>
      <c r="Y1854" s="12"/>
      <c r="Z1854" s="12"/>
      <c r="AA1854" s="12"/>
    </row>
    <row r="1855" ht="26.25" customHeight="1">
      <c r="A1855" s="26" t="s">
        <v>3720</v>
      </c>
      <c r="B1855" s="26" t="s">
        <v>3721</v>
      </c>
      <c r="C1855" s="14">
        <v>2.0</v>
      </c>
      <c r="D1855" s="23">
        <v>947.0</v>
      </c>
      <c r="E1855" s="23">
        <v>8.0</v>
      </c>
      <c r="F1855" s="27" t="str">
        <f t="array" ref="F1855">"https://www.google.com/maps/search/?api=1&amp;query=" &amp; A1855 &amp; "," &amp; B1855</f>
        <v>https://www.google.com/maps/search/?api=1&amp;query=-30.9076974734257,-55.53345434720260</v>
      </c>
      <c r="G1855" s="27" t="str">
        <f t="array" ref="G1855">"https://earth.google.com/web/search/" &amp; A1855 &amp; "," &amp; B1855</f>
        <v>https://earth.google.com/web/search/-30.9076974734257,-55.53345434720260</v>
      </c>
      <c r="H1855" s="12"/>
      <c r="I1855" s="12"/>
      <c r="J1855" s="12"/>
      <c r="K1855" s="12"/>
      <c r="L1855" s="12"/>
      <c r="M1855" s="12"/>
      <c r="N1855" s="12"/>
      <c r="O1855" s="12"/>
      <c r="P1855" s="12"/>
      <c r="Q1855" s="12"/>
      <c r="R1855" s="12"/>
      <c r="S1855" s="12"/>
      <c r="T1855" s="12"/>
      <c r="U1855" s="12"/>
      <c r="V1855" s="12"/>
      <c r="W1855" s="12"/>
      <c r="X1855" s="12"/>
      <c r="Y1855" s="12"/>
      <c r="Z1855" s="12"/>
      <c r="AA1855" s="12"/>
    </row>
    <row r="1856" ht="26.25" customHeight="1">
      <c r="A1856" s="26" t="s">
        <v>3722</v>
      </c>
      <c r="B1856" s="26" t="s">
        <v>3723</v>
      </c>
      <c r="C1856" s="14">
        <v>2.0</v>
      </c>
      <c r="D1856" s="23">
        <v>947.0</v>
      </c>
      <c r="E1856" s="23">
        <v>9.0</v>
      </c>
      <c r="F1856" s="27" t="str">
        <f t="array" ref="F1856">"https://www.google.com/maps/search/?api=1&amp;query=" &amp; A1856 &amp; "," &amp; B1856</f>
        <v>https://www.google.com/maps/search/?api=1&amp;query=-30.9076606485739,-55.53351701319740</v>
      </c>
      <c r="G1856" s="27" t="str">
        <f t="array" ref="G1856">"https://earth.google.com/web/search/" &amp; A1856 &amp; "," &amp; B1856</f>
        <v>https://earth.google.com/web/search/-30.9076606485739,-55.53351701319740</v>
      </c>
      <c r="H1856" s="12"/>
      <c r="I1856" s="12"/>
      <c r="J1856" s="12"/>
      <c r="K1856" s="12"/>
      <c r="L1856" s="12"/>
      <c r="M1856" s="12"/>
      <c r="N1856" s="12"/>
      <c r="O1856" s="12"/>
      <c r="P1856" s="12"/>
      <c r="Q1856" s="12"/>
      <c r="R1856" s="12"/>
      <c r="S1856" s="12"/>
      <c r="T1856" s="12"/>
      <c r="U1856" s="12"/>
      <c r="V1856" s="12"/>
      <c r="W1856" s="12"/>
      <c r="X1856" s="12"/>
      <c r="Y1856" s="12"/>
      <c r="Z1856" s="12"/>
      <c r="AA1856" s="12"/>
    </row>
    <row r="1857" ht="26.25" customHeight="1">
      <c r="A1857" s="26" t="s">
        <v>3724</v>
      </c>
      <c r="B1857" s="26" t="s">
        <v>3725</v>
      </c>
      <c r="C1857" s="14">
        <v>2.0</v>
      </c>
      <c r="D1857" s="23">
        <v>333.0</v>
      </c>
      <c r="E1857" s="23">
        <v>1.0</v>
      </c>
      <c r="F1857" s="27" t="str">
        <f t="array" ref="F1857">"https://www.google.com/maps/search/?api=1&amp;query=" &amp; A1857 &amp; "," &amp; B1857</f>
        <v>https://www.google.com/maps/search/?api=1&amp;query=-30.9058562594454,-55.53899562288390</v>
      </c>
      <c r="G1857" s="27" t="str">
        <f t="array" ref="G1857">"https://earth.google.com/web/search/" &amp; A1857 &amp; "," &amp; B1857</f>
        <v>https://earth.google.com/web/search/-30.9058562594454,-55.53899562288390</v>
      </c>
      <c r="H1857" s="12"/>
      <c r="I1857" s="12"/>
      <c r="J1857" s="12"/>
      <c r="K1857" s="12"/>
      <c r="L1857" s="12"/>
      <c r="M1857" s="12"/>
      <c r="N1857" s="12"/>
      <c r="O1857" s="12"/>
      <c r="P1857" s="12"/>
      <c r="Q1857" s="12"/>
      <c r="R1857" s="12"/>
      <c r="S1857" s="12"/>
      <c r="T1857" s="12"/>
      <c r="U1857" s="12"/>
      <c r="V1857" s="12"/>
      <c r="W1857" s="12"/>
      <c r="X1857" s="12"/>
      <c r="Y1857" s="12"/>
      <c r="Z1857" s="12"/>
      <c r="AA1857" s="12"/>
    </row>
    <row r="1858" ht="26.25" customHeight="1">
      <c r="A1858" s="26" t="s">
        <v>3726</v>
      </c>
      <c r="B1858" s="26" t="s">
        <v>3727</v>
      </c>
      <c r="C1858" s="14">
        <v>2.0</v>
      </c>
      <c r="D1858" s="23">
        <v>333.0</v>
      </c>
      <c r="E1858" s="23">
        <v>2.0</v>
      </c>
      <c r="F1858" s="27" t="str">
        <f t="array" ref="F1858">"https://www.google.com/maps/search/?api=1&amp;query=" &amp; A1858 &amp; "," &amp; B1858</f>
        <v>https://www.google.com/maps/search/?api=1&amp;query=-30.9059367774277,-55.53906918911000</v>
      </c>
      <c r="G1858" s="27" t="str">
        <f t="array" ref="G1858">"https://earth.google.com/web/search/" &amp; A1858 &amp; "," &amp; B1858</f>
        <v>https://earth.google.com/web/search/-30.9059367774277,-55.53906918911000</v>
      </c>
      <c r="H1858" s="12"/>
      <c r="I1858" s="12"/>
      <c r="J1858" s="12"/>
      <c r="K1858" s="12"/>
      <c r="L1858" s="12"/>
      <c r="M1858" s="12"/>
      <c r="N1858" s="12"/>
      <c r="O1858" s="12"/>
      <c r="P1858" s="12"/>
      <c r="Q1858" s="12"/>
      <c r="R1858" s="12"/>
      <c r="S1858" s="12"/>
      <c r="T1858" s="12"/>
      <c r="U1858" s="12"/>
      <c r="V1858" s="12"/>
      <c r="W1858" s="12"/>
      <c r="X1858" s="12"/>
      <c r="Y1858" s="12"/>
      <c r="Z1858" s="12"/>
      <c r="AA1858" s="12"/>
    </row>
    <row r="1859" ht="26.25" customHeight="1">
      <c r="A1859" s="26" t="s">
        <v>3728</v>
      </c>
      <c r="B1859" s="26" t="s">
        <v>3729</v>
      </c>
      <c r="C1859" s="14">
        <v>2.0</v>
      </c>
      <c r="D1859" s="23">
        <v>333.0</v>
      </c>
      <c r="E1859" s="23">
        <v>3.0</v>
      </c>
      <c r="F1859" s="27" t="str">
        <f t="array" ref="F1859">"https://www.google.com/maps/search/?api=1&amp;query=" &amp; A1859 &amp; "," &amp; B1859</f>
        <v>https://www.google.com/maps/search/?api=1&amp;query=-30.9060007350743,-55.53914973769990</v>
      </c>
      <c r="G1859" s="27" t="str">
        <f t="array" ref="G1859">"https://earth.google.com/web/search/" &amp; A1859 &amp; "," &amp; B1859</f>
        <v>https://earth.google.com/web/search/-30.9060007350743,-55.53914973769990</v>
      </c>
      <c r="H1859" s="12"/>
      <c r="I1859" s="12"/>
      <c r="J1859" s="12"/>
      <c r="K1859" s="12"/>
      <c r="L1859" s="12"/>
      <c r="M1859" s="12"/>
      <c r="N1859" s="12"/>
      <c r="O1859" s="12"/>
      <c r="P1859" s="12"/>
      <c r="Q1859" s="12"/>
      <c r="R1859" s="12"/>
      <c r="S1859" s="12"/>
      <c r="T1859" s="12"/>
      <c r="U1859" s="12"/>
      <c r="V1859" s="12"/>
      <c r="W1859" s="12"/>
      <c r="X1859" s="12"/>
      <c r="Y1859" s="12"/>
      <c r="Z1859" s="12"/>
      <c r="AA1859" s="12"/>
    </row>
    <row r="1860" ht="26.25" customHeight="1">
      <c r="A1860" s="26" t="s">
        <v>3730</v>
      </c>
      <c r="B1860" s="26" t="s">
        <v>3731</v>
      </c>
      <c r="C1860" s="14">
        <v>2.0</v>
      </c>
      <c r="D1860" s="23">
        <v>333.0</v>
      </c>
      <c r="E1860" s="23">
        <v>4.0</v>
      </c>
      <c r="F1860" s="27" t="str">
        <f t="array" ref="F1860">"https://www.google.com/maps/search/?api=1&amp;query=" &amp; A1860 &amp; "," &amp; B1860</f>
        <v>https://www.google.com/maps/search/?api=1&amp;query=-30.9060488315670,-55.53917970774010</v>
      </c>
      <c r="G1860" s="27" t="str">
        <f t="array" ref="G1860">"https://earth.google.com/web/search/" &amp; A1860 &amp; "," &amp; B1860</f>
        <v>https://earth.google.com/web/search/-30.9060488315670,-55.53917970774010</v>
      </c>
      <c r="H1860" s="12"/>
      <c r="I1860" s="12"/>
      <c r="J1860" s="12"/>
      <c r="K1860" s="12"/>
      <c r="L1860" s="12"/>
      <c r="M1860" s="12"/>
      <c r="N1860" s="12"/>
      <c r="O1860" s="12"/>
      <c r="P1860" s="12"/>
      <c r="Q1860" s="12"/>
      <c r="R1860" s="12"/>
      <c r="S1860" s="12"/>
      <c r="T1860" s="12"/>
      <c r="U1860" s="12"/>
      <c r="V1860" s="12"/>
      <c r="W1860" s="12"/>
      <c r="X1860" s="12"/>
      <c r="Y1860" s="12"/>
      <c r="Z1860" s="12"/>
      <c r="AA1860" s="12"/>
    </row>
    <row r="1861" ht="26.25" customHeight="1">
      <c r="A1861" s="26" t="s">
        <v>3732</v>
      </c>
      <c r="B1861" s="26" t="s">
        <v>3733</v>
      </c>
      <c r="C1861" s="14">
        <v>2.0</v>
      </c>
      <c r="D1861" s="23">
        <v>333.0</v>
      </c>
      <c r="E1861" s="23">
        <v>5.0</v>
      </c>
      <c r="F1861" s="27" t="str">
        <f t="array" ref="F1861">"https://www.google.com/maps/search/?api=1&amp;query=" &amp; A1861 &amp; "," &amp; B1861</f>
        <v>https://www.google.com/maps/search/?api=1&amp;query=-30.9060743290307,-55.53923601730290</v>
      </c>
      <c r="G1861" s="27" t="str">
        <f t="array" ref="G1861">"https://earth.google.com/web/search/" &amp; A1861 &amp; "," &amp; B1861</f>
        <v>https://earth.google.com/web/search/-30.9060743290307,-55.53923601730290</v>
      </c>
      <c r="H1861" s="12"/>
      <c r="I1861" s="12"/>
      <c r="J1861" s="12"/>
      <c r="K1861" s="12"/>
      <c r="L1861" s="12"/>
      <c r="M1861" s="12"/>
      <c r="N1861" s="12"/>
      <c r="O1861" s="12"/>
      <c r="P1861" s="12"/>
      <c r="Q1861" s="12"/>
      <c r="R1861" s="12"/>
      <c r="S1861" s="12"/>
      <c r="T1861" s="12"/>
      <c r="U1861" s="12"/>
      <c r="V1861" s="12"/>
      <c r="W1861" s="12"/>
      <c r="X1861" s="12"/>
      <c r="Y1861" s="12"/>
      <c r="Z1861" s="12"/>
      <c r="AA1861" s="12"/>
    </row>
    <row r="1862" ht="26.25" customHeight="1">
      <c r="A1862" s="26" t="s">
        <v>3734</v>
      </c>
      <c r="B1862" s="26" t="s">
        <v>3735</v>
      </c>
      <c r="C1862" s="14">
        <v>2.0</v>
      </c>
      <c r="D1862" s="23">
        <v>333.0</v>
      </c>
      <c r="E1862" s="23">
        <v>6.0</v>
      </c>
      <c r="F1862" s="27" t="str">
        <f t="array" ref="F1862">"https://www.google.com/maps/search/?api=1&amp;query=" &amp; A1862 &amp; "," &amp; B1862</f>
        <v>https://www.google.com/maps/search/?api=1&amp;query=-30.9061209904449,-55.53925092945330</v>
      </c>
      <c r="G1862" s="27" t="str">
        <f t="array" ref="G1862">"https://earth.google.com/web/search/" &amp; A1862 &amp; "," &amp; B1862</f>
        <v>https://earth.google.com/web/search/-30.9061209904449,-55.53925092945330</v>
      </c>
      <c r="H1862" s="12"/>
      <c r="I1862" s="12"/>
      <c r="J1862" s="12"/>
      <c r="K1862" s="12"/>
      <c r="L1862" s="12"/>
      <c r="M1862" s="12"/>
      <c r="N1862" s="12"/>
      <c r="O1862" s="12"/>
      <c r="P1862" s="12"/>
      <c r="Q1862" s="12"/>
      <c r="R1862" s="12"/>
      <c r="S1862" s="12"/>
      <c r="T1862" s="12"/>
      <c r="U1862" s="12"/>
      <c r="V1862" s="12"/>
      <c r="W1862" s="12"/>
      <c r="X1862" s="12"/>
      <c r="Y1862" s="12"/>
      <c r="Z1862" s="12"/>
      <c r="AA1862" s="12"/>
    </row>
    <row r="1863" ht="26.25" customHeight="1">
      <c r="A1863" s="26" t="s">
        <v>3736</v>
      </c>
      <c r="B1863" s="26" t="s">
        <v>3737</v>
      </c>
      <c r="C1863" s="14">
        <v>2.0</v>
      </c>
      <c r="D1863" s="23">
        <v>333.0</v>
      </c>
      <c r="E1863" s="23">
        <v>7.0</v>
      </c>
      <c r="F1863" s="27" t="str">
        <f t="array" ref="F1863">"https://www.google.com/maps/search/?api=1&amp;query=" &amp; A1863 &amp; "," &amp; B1863</f>
        <v>https://www.google.com/maps/search/?api=1&amp;query=-3.0906195392260,-55.53930224345930</v>
      </c>
      <c r="G1863" s="27" t="str">
        <f t="array" ref="G1863">"https://earth.google.com/web/search/" &amp; A1863 &amp; "," &amp; B1863</f>
        <v>https://earth.google.com/web/search/-3.0906195392260,-55.53930224345930</v>
      </c>
      <c r="H1863" s="12"/>
      <c r="I1863" s="12"/>
      <c r="J1863" s="12"/>
      <c r="K1863" s="12"/>
      <c r="L1863" s="12"/>
      <c r="M1863" s="12"/>
      <c r="N1863" s="12"/>
      <c r="O1863" s="12"/>
      <c r="P1863" s="12"/>
      <c r="Q1863" s="12"/>
      <c r="R1863" s="12"/>
      <c r="S1863" s="12"/>
      <c r="T1863" s="12"/>
      <c r="U1863" s="12"/>
      <c r="V1863" s="12"/>
      <c r="W1863" s="12"/>
      <c r="X1863" s="12"/>
      <c r="Y1863" s="12"/>
      <c r="Z1863" s="12"/>
      <c r="AA1863" s="12"/>
    </row>
    <row r="1864" ht="26.25" customHeight="1">
      <c r="A1864" s="26" t="s">
        <v>3738</v>
      </c>
      <c r="B1864" s="26" t="s">
        <v>3739</v>
      </c>
      <c r="C1864" s="14">
        <v>2.0</v>
      </c>
      <c r="D1864" s="23">
        <v>333.0</v>
      </c>
      <c r="E1864" s="23">
        <v>8.0</v>
      </c>
      <c r="F1864" s="27" t="str">
        <f t="array" ref="F1864">"https://www.google.com/maps/search/?api=1&amp;query=" &amp; A1864 &amp; "," &amp; B1864</f>
        <v>https://www.google.com/maps/search/?api=1&amp;query=-0.3090628539808,-55.53936337107620</v>
      </c>
      <c r="G1864" s="27" t="str">
        <f t="array" ref="G1864">"https://earth.google.com/web/search/" &amp; A1864 &amp; "," &amp; B1864</f>
        <v>https://earth.google.com/web/search/-0.3090628539808,-55.53936337107620</v>
      </c>
      <c r="H1864" s="12"/>
      <c r="I1864" s="12"/>
      <c r="J1864" s="12"/>
      <c r="K1864" s="12"/>
      <c r="L1864" s="12"/>
      <c r="M1864" s="12"/>
      <c r="N1864" s="12"/>
      <c r="O1864" s="12"/>
      <c r="P1864" s="12"/>
      <c r="Q1864" s="12"/>
      <c r="R1864" s="12"/>
      <c r="S1864" s="12"/>
      <c r="T1864" s="12"/>
      <c r="U1864" s="12"/>
      <c r="V1864" s="12"/>
      <c r="W1864" s="12"/>
      <c r="X1864" s="12"/>
      <c r="Y1864" s="12"/>
      <c r="Z1864" s="12"/>
      <c r="AA1864" s="12"/>
    </row>
    <row r="1865" ht="26.25" customHeight="1">
      <c r="A1865" s="26" t="s">
        <v>3740</v>
      </c>
      <c r="B1865" s="26" t="s">
        <v>3741</v>
      </c>
      <c r="C1865" s="14">
        <v>2.0</v>
      </c>
      <c r="D1865" s="23">
        <v>333.0</v>
      </c>
      <c r="E1865" s="23">
        <v>9.0</v>
      </c>
      <c r="F1865" s="27" t="str">
        <f t="array" ref="F1865">"https://www.google.com/maps/search/?api=1&amp;query=" &amp; A1865 &amp; "," &amp; B1865</f>
        <v>https://www.google.com/maps/search/?api=1&amp;query=-30.9063920532589,-55.53941802882730</v>
      </c>
      <c r="G1865" s="27" t="str">
        <f t="array" ref="G1865">"https://earth.google.com/web/search/" &amp; A1865 &amp; "," &amp; B1865</f>
        <v>https://earth.google.com/web/search/-30.9063920532589,-55.53941802882730</v>
      </c>
      <c r="H1865" s="12"/>
      <c r="I1865" s="12"/>
      <c r="J1865" s="12"/>
      <c r="K1865" s="12"/>
      <c r="L1865" s="12"/>
      <c r="M1865" s="12"/>
      <c r="N1865" s="12"/>
      <c r="O1865" s="12"/>
      <c r="P1865" s="12"/>
      <c r="Q1865" s="12"/>
      <c r="R1865" s="12"/>
      <c r="S1865" s="12"/>
      <c r="T1865" s="12"/>
      <c r="U1865" s="12"/>
      <c r="V1865" s="12"/>
      <c r="W1865" s="12"/>
      <c r="X1865" s="12"/>
      <c r="Y1865" s="12"/>
      <c r="Z1865" s="12"/>
      <c r="AA1865" s="12"/>
    </row>
    <row r="1866" ht="26.25" customHeight="1">
      <c r="A1866" s="26" t="s">
        <v>3742</v>
      </c>
      <c r="B1866" s="26" t="s">
        <v>3743</v>
      </c>
      <c r="C1866" s="14">
        <v>2.0</v>
      </c>
      <c r="D1866" s="23">
        <v>333.0</v>
      </c>
      <c r="E1866" s="23">
        <v>10.0</v>
      </c>
      <c r="F1866" s="27" t="str">
        <f t="array" ref="F1866">"https://www.google.com/maps/search/?api=1&amp;query=" &amp; A1866 &amp; "," &amp; B1866</f>
        <v>https://www.google.com/maps/search/?api=1&amp;query=-30.9064903004974,-55.53947239682260</v>
      </c>
      <c r="G1866" s="27" t="str">
        <f t="array" ref="G1866">"https://earth.google.com/web/search/" &amp; A1866 &amp; "," &amp; B1866</f>
        <v>https://earth.google.com/web/search/-30.9064903004974,-55.53947239682260</v>
      </c>
      <c r="H1866" s="12"/>
      <c r="I1866" s="12"/>
      <c r="J1866" s="12"/>
      <c r="K1866" s="12"/>
      <c r="L1866" s="12"/>
      <c r="M1866" s="12"/>
      <c r="N1866" s="12"/>
      <c r="O1866" s="12"/>
      <c r="P1866" s="12"/>
      <c r="Q1866" s="12"/>
      <c r="R1866" s="12"/>
      <c r="S1866" s="12"/>
      <c r="T1866" s="12"/>
      <c r="U1866" s="12"/>
      <c r="V1866" s="12"/>
      <c r="W1866" s="12"/>
      <c r="X1866" s="12"/>
      <c r="Y1866" s="12"/>
      <c r="Z1866" s="12"/>
      <c r="AA1866" s="12"/>
    </row>
    <row r="1867" ht="26.25" customHeight="1">
      <c r="A1867" s="26" t="s">
        <v>3744</v>
      </c>
      <c r="B1867" s="26" t="s">
        <v>3745</v>
      </c>
      <c r="C1867" s="14">
        <v>2.0</v>
      </c>
      <c r="D1867" s="23">
        <v>333.0</v>
      </c>
      <c r="E1867" s="23">
        <v>11.0</v>
      </c>
      <c r="F1867" s="27" t="str">
        <f t="array" ref="F1867">"https://www.google.com/maps/search/?api=1&amp;query=" &amp; A1867 &amp; "," &amp; B1867</f>
        <v>https://www.google.com/maps/search/?api=1&amp;query=-30.9066267832481,-55.53914477547720</v>
      </c>
      <c r="G1867" s="27" t="str">
        <f t="array" ref="G1867">"https://earth.google.com/web/search/" &amp; A1867 &amp; "," &amp; B1867</f>
        <v>https://earth.google.com/web/search/-30.9066267832481,-55.53914477547720</v>
      </c>
      <c r="H1867" s="12"/>
      <c r="I1867" s="12"/>
      <c r="J1867" s="12"/>
      <c r="K1867" s="12"/>
      <c r="L1867" s="12"/>
      <c r="M1867" s="12"/>
      <c r="N1867" s="12"/>
      <c r="O1867" s="12"/>
      <c r="P1867" s="12"/>
      <c r="Q1867" s="12"/>
      <c r="R1867" s="12"/>
      <c r="S1867" s="12"/>
      <c r="T1867" s="12"/>
      <c r="U1867" s="12"/>
      <c r="V1867" s="12"/>
      <c r="W1867" s="12"/>
      <c r="X1867" s="12"/>
      <c r="Y1867" s="12"/>
      <c r="Z1867" s="12"/>
      <c r="AA1867" s="12"/>
    </row>
    <row r="1868" ht="26.25" customHeight="1">
      <c r="A1868" s="26" t="s">
        <v>3746</v>
      </c>
      <c r="B1868" s="26" t="s">
        <v>3747</v>
      </c>
      <c r="C1868" s="14">
        <v>2.0</v>
      </c>
      <c r="D1868" s="23">
        <v>333.0</v>
      </c>
      <c r="E1868" s="23">
        <v>12.0</v>
      </c>
      <c r="F1868" s="27" t="str">
        <f t="array" ref="F1868">"https://www.google.com/maps/search/?api=1&amp;query=" &amp; A1868 &amp; "," &amp; B1868</f>
        <v>https://www.google.com/maps/search/?api=1&amp;query=-30.9062151288839,-55.53829623204070</v>
      </c>
      <c r="G1868" s="27" t="str">
        <f t="array" ref="G1868">"https://earth.google.com/web/search/" &amp; A1868 &amp; "," &amp; B1868</f>
        <v>https://earth.google.com/web/search/-30.9062151288839,-55.53829623204070</v>
      </c>
      <c r="H1868" s="12"/>
      <c r="I1868" s="12"/>
      <c r="J1868" s="12"/>
      <c r="K1868" s="12"/>
      <c r="L1868" s="12"/>
      <c r="M1868" s="12"/>
      <c r="N1868" s="12"/>
      <c r="O1868" s="12"/>
      <c r="P1868" s="12"/>
      <c r="Q1868" s="12"/>
      <c r="R1868" s="12"/>
      <c r="S1868" s="12"/>
      <c r="T1868" s="12"/>
      <c r="U1868" s="12"/>
      <c r="V1868" s="12"/>
      <c r="W1868" s="12"/>
      <c r="X1868" s="12"/>
      <c r="Y1868" s="12"/>
      <c r="Z1868" s="12"/>
      <c r="AA1868" s="12"/>
    </row>
    <row r="1869" ht="26.25" customHeight="1">
      <c r="A1869" s="26" t="s">
        <v>3748</v>
      </c>
      <c r="B1869" s="26" t="s">
        <v>3749</v>
      </c>
      <c r="C1869" s="14">
        <v>2.0</v>
      </c>
      <c r="D1869" s="23">
        <v>333.0</v>
      </c>
      <c r="E1869" s="23">
        <v>13.0</v>
      </c>
      <c r="F1869" s="27" t="str">
        <f t="array" ref="F1869">"https://www.google.com/maps/search/?api=1&amp;query=" &amp; A1869 &amp; "," &amp; B1869</f>
        <v>https://www.google.com/maps/search/?api=1&amp;query=-30.9059827530158,-55.53876874628320</v>
      </c>
      <c r="G1869" s="27" t="str">
        <f t="array" ref="G1869">"https://earth.google.com/web/search/" &amp; A1869 &amp; "," &amp; B1869</f>
        <v>https://earth.google.com/web/search/-30.9059827530158,-55.53876874628320</v>
      </c>
      <c r="H1869" s="12"/>
      <c r="I1869" s="12"/>
      <c r="J1869" s="12"/>
      <c r="K1869" s="12"/>
      <c r="L1869" s="12"/>
      <c r="M1869" s="12"/>
      <c r="N1869" s="12"/>
      <c r="O1869" s="12"/>
      <c r="P1869" s="12"/>
      <c r="Q1869" s="12"/>
      <c r="R1869" s="12"/>
      <c r="S1869" s="12"/>
      <c r="T1869" s="12"/>
      <c r="U1869" s="12"/>
      <c r="V1869" s="12"/>
      <c r="W1869" s="12"/>
      <c r="X1869" s="12"/>
      <c r="Y1869" s="12"/>
      <c r="Z1869" s="12"/>
      <c r="AA1869" s="12"/>
    </row>
    <row r="1870" ht="26.25" customHeight="1">
      <c r="A1870" s="26" t="s">
        <v>3750</v>
      </c>
      <c r="B1870" s="26" t="s">
        <v>3751</v>
      </c>
      <c r="C1870" s="14">
        <v>2.0</v>
      </c>
      <c r="D1870" s="23">
        <v>489.0</v>
      </c>
      <c r="E1870" s="23">
        <v>1.0</v>
      </c>
      <c r="F1870" s="27" t="str">
        <f t="array" ref="F1870">"https://www.google.com/maps/search/?api=1&amp;query=" &amp; A1870 &amp; "," &amp; B1870</f>
        <v>https://www.google.com/maps/search/?api=1&amp;query=-30.9064924321314,-55.53807249426140</v>
      </c>
      <c r="G1870" s="27" t="str">
        <f t="array" ref="G1870">"https://earth.google.com/web/search/" &amp; A1870 &amp; "," &amp; B1870</f>
        <v>https://earth.google.com/web/search/-30.9064924321314,-55.53807249426140</v>
      </c>
      <c r="H1870" s="12"/>
      <c r="I1870" s="12"/>
      <c r="J1870" s="12"/>
      <c r="K1870" s="12"/>
      <c r="L1870" s="12"/>
      <c r="M1870" s="12"/>
      <c r="N1870" s="12"/>
      <c r="O1870" s="12"/>
      <c r="P1870" s="12"/>
      <c r="Q1870" s="12"/>
      <c r="R1870" s="12"/>
      <c r="S1870" s="12"/>
      <c r="T1870" s="12"/>
      <c r="U1870" s="12"/>
      <c r="V1870" s="12"/>
      <c r="W1870" s="12"/>
      <c r="X1870" s="12"/>
      <c r="Y1870" s="12"/>
      <c r="Z1870" s="12"/>
      <c r="AA1870" s="12"/>
    </row>
    <row r="1871" ht="26.25" customHeight="1">
      <c r="A1871" s="26" t="s">
        <v>3752</v>
      </c>
      <c r="B1871" s="26" t="s">
        <v>3753</v>
      </c>
      <c r="C1871" s="14">
        <v>2.0</v>
      </c>
      <c r="D1871" s="23">
        <v>489.0</v>
      </c>
      <c r="E1871" s="23">
        <v>2.0</v>
      </c>
      <c r="F1871" s="27" t="str">
        <f t="array" ref="F1871">"https://www.google.com/maps/search/?api=1&amp;query=" &amp; A1871 &amp; "," &amp; B1871</f>
        <v>https://www.google.com/maps/search/?api=1&amp;query=-30.9066808433742,-55.53820192751330</v>
      </c>
      <c r="G1871" s="27" t="str">
        <f t="array" ref="G1871">"https://earth.google.com/web/search/" &amp; A1871 &amp; "," &amp; B1871</f>
        <v>https://earth.google.com/web/search/-30.9066808433742,-55.53820192751330</v>
      </c>
      <c r="H1871" s="12"/>
      <c r="I1871" s="12"/>
      <c r="J1871" s="12"/>
      <c r="K1871" s="12"/>
      <c r="L1871" s="12"/>
      <c r="M1871" s="12"/>
      <c r="N1871" s="12"/>
      <c r="O1871" s="12"/>
      <c r="P1871" s="12"/>
      <c r="Q1871" s="12"/>
      <c r="R1871" s="12"/>
      <c r="S1871" s="12"/>
      <c r="T1871" s="12"/>
      <c r="U1871" s="12"/>
      <c r="V1871" s="12"/>
      <c r="W1871" s="12"/>
      <c r="X1871" s="12"/>
      <c r="Y1871" s="12"/>
      <c r="Z1871" s="12"/>
      <c r="AA1871" s="12"/>
    </row>
    <row r="1872" ht="26.25" customHeight="1">
      <c r="A1872" s="26" t="s">
        <v>3754</v>
      </c>
      <c r="B1872" s="26" t="s">
        <v>3755</v>
      </c>
      <c r="C1872" s="14">
        <v>2.0</v>
      </c>
      <c r="D1872" s="23">
        <v>489.0</v>
      </c>
      <c r="E1872" s="23">
        <v>3.0</v>
      </c>
      <c r="F1872" s="27" t="str">
        <f t="array" ref="F1872">"https://www.google.com/maps/search/?api=1&amp;query=" &amp; A1872 &amp; "," &amp; B1872</f>
        <v>https://www.google.com/maps/search/?api=1&amp;query=-30.9068044249698,-55.53829327620400</v>
      </c>
      <c r="G1872" s="27" t="str">
        <f t="array" ref="G1872">"https://earth.google.com/web/search/" &amp; A1872 &amp; "," &amp; B1872</f>
        <v>https://earth.google.com/web/search/-30.9068044249698,-55.53829327620400</v>
      </c>
      <c r="H1872" s="12"/>
      <c r="I1872" s="12"/>
      <c r="J1872" s="12"/>
      <c r="K1872" s="12"/>
      <c r="L1872" s="12"/>
      <c r="M1872" s="12"/>
      <c r="N1872" s="12"/>
      <c r="O1872" s="12"/>
      <c r="P1872" s="12"/>
      <c r="Q1872" s="12"/>
      <c r="R1872" s="12"/>
      <c r="S1872" s="12"/>
      <c r="T1872" s="12"/>
      <c r="U1872" s="12"/>
      <c r="V1872" s="12"/>
      <c r="W1872" s="12"/>
      <c r="X1872" s="12"/>
      <c r="Y1872" s="12"/>
      <c r="Z1872" s="12"/>
      <c r="AA1872" s="12"/>
    </row>
    <row r="1873" ht="26.25" customHeight="1">
      <c r="A1873" s="26" t="s">
        <v>3756</v>
      </c>
      <c r="B1873" s="26" t="s">
        <v>3757</v>
      </c>
      <c r="C1873" s="14">
        <v>2.0</v>
      </c>
      <c r="D1873" s="23">
        <v>489.0</v>
      </c>
      <c r="E1873" s="23">
        <v>4.0</v>
      </c>
      <c r="F1873" s="27" t="str">
        <f t="array" ref="F1873">"https://www.google.com/maps/search/?api=1&amp;query=" &amp; A1873 &amp; "," &amp; B1873</f>
        <v>https://www.google.com/maps/search/?api=1&amp;query=-30.9070811407472,-55.53846836126710</v>
      </c>
      <c r="G1873" s="27" t="str">
        <f t="array" ref="G1873">"https://earth.google.com/web/search/" &amp; A1873 &amp; "," &amp; B1873</f>
        <v>https://earth.google.com/web/search/-30.9070811407472,-55.53846836126710</v>
      </c>
      <c r="H1873" s="12"/>
      <c r="I1873" s="12"/>
      <c r="J1873" s="12"/>
      <c r="K1873" s="12"/>
      <c r="L1873" s="12"/>
      <c r="M1873" s="12"/>
      <c r="N1873" s="12"/>
      <c r="O1873" s="12"/>
      <c r="P1873" s="12"/>
      <c r="Q1873" s="12"/>
      <c r="R1873" s="12"/>
      <c r="S1873" s="12"/>
      <c r="T1873" s="12"/>
      <c r="U1873" s="12"/>
      <c r="V1873" s="12"/>
      <c r="W1873" s="12"/>
      <c r="X1873" s="12"/>
      <c r="Y1873" s="12"/>
      <c r="Z1873" s="12"/>
      <c r="AA1873" s="12"/>
    </row>
    <row r="1874" ht="26.25" customHeight="1">
      <c r="A1874" s="26" t="s">
        <v>3758</v>
      </c>
      <c r="B1874" s="26" t="s">
        <v>3759</v>
      </c>
      <c r="C1874" s="14">
        <v>2.0</v>
      </c>
      <c r="D1874" s="23">
        <v>489.0</v>
      </c>
      <c r="E1874" s="23">
        <v>5.0</v>
      </c>
      <c r="F1874" s="27" t="str">
        <f t="array" ref="F1874">"https://www.google.com/maps/search/?api=1&amp;query=" &amp; A1874 &amp; "," &amp; B1874</f>
        <v>https://www.google.com/maps/search/?api=1&amp;query=-30.9073181567568,-55.53804323510990</v>
      </c>
      <c r="G1874" s="27" t="str">
        <f t="array" ref="G1874">"https://earth.google.com/web/search/" &amp; A1874 &amp; "," &amp; B1874</f>
        <v>https://earth.google.com/web/search/-30.9073181567568,-55.53804323510990</v>
      </c>
      <c r="H1874" s="12"/>
      <c r="I1874" s="12"/>
      <c r="J1874" s="12"/>
      <c r="K1874" s="12"/>
      <c r="L1874" s="12"/>
      <c r="M1874" s="12"/>
      <c r="N1874" s="12"/>
      <c r="O1874" s="12"/>
      <c r="P1874" s="12"/>
      <c r="Q1874" s="12"/>
      <c r="R1874" s="12"/>
      <c r="S1874" s="12"/>
      <c r="T1874" s="12"/>
      <c r="U1874" s="12"/>
      <c r="V1874" s="12"/>
      <c r="W1874" s="12"/>
      <c r="X1874" s="12"/>
      <c r="Y1874" s="12"/>
      <c r="Z1874" s="12"/>
      <c r="AA1874" s="12"/>
    </row>
    <row r="1875" ht="26.25" customHeight="1">
      <c r="A1875" s="26" t="s">
        <v>3760</v>
      </c>
      <c r="B1875" s="26" t="s">
        <v>3761</v>
      </c>
      <c r="C1875" s="14">
        <v>2.0</v>
      </c>
      <c r="D1875" s="23">
        <v>489.0</v>
      </c>
      <c r="E1875" s="23">
        <v>6.0</v>
      </c>
      <c r="F1875" s="27" t="str">
        <f t="array" ref="F1875">"https://www.google.com/maps/search/?api=1&amp;query=" &amp; A1875 &amp; "," &amp; B1875</f>
        <v>https://www.google.com/maps/search/?api=1&amp;query=-30.9073546901379,-55.53796407009140</v>
      </c>
      <c r="G1875" s="27" t="str">
        <f t="array" ref="G1875">"https://earth.google.com/web/search/" &amp; A1875 &amp; "," &amp; B1875</f>
        <v>https://earth.google.com/web/search/-30.9073546901379,-55.53796407009140</v>
      </c>
      <c r="H1875" s="12"/>
      <c r="I1875" s="12"/>
      <c r="J1875" s="12"/>
      <c r="K1875" s="12"/>
      <c r="L1875" s="12"/>
      <c r="M1875" s="12"/>
      <c r="N1875" s="12"/>
      <c r="O1875" s="12"/>
      <c r="P1875" s="12"/>
      <c r="Q1875" s="12"/>
      <c r="R1875" s="12"/>
      <c r="S1875" s="12"/>
      <c r="T1875" s="12"/>
      <c r="U1875" s="12"/>
      <c r="V1875" s="12"/>
      <c r="W1875" s="12"/>
      <c r="X1875" s="12"/>
      <c r="Y1875" s="12"/>
      <c r="Z1875" s="12"/>
      <c r="AA1875" s="12"/>
    </row>
    <row r="1876" ht="26.25" customHeight="1">
      <c r="A1876" s="26" t="s">
        <v>3762</v>
      </c>
      <c r="B1876" s="26" t="s">
        <v>3763</v>
      </c>
      <c r="C1876" s="14">
        <v>2.0</v>
      </c>
      <c r="D1876" s="23">
        <v>489.0</v>
      </c>
      <c r="E1876" s="23">
        <v>7.0</v>
      </c>
      <c r="F1876" s="27" t="str">
        <f t="array" ref="F1876">"https://www.google.com/maps/search/?api=1&amp;query=" &amp; A1876 &amp; "," &amp; B1876</f>
        <v>https://www.google.com/maps/search/?api=1&amp;query=-30.9071344734644,-55.53758583170260</v>
      </c>
      <c r="G1876" s="27" t="str">
        <f t="array" ref="G1876">"https://earth.google.com/web/search/" &amp; A1876 &amp; "," &amp; B1876</f>
        <v>https://earth.google.com/web/search/-30.9071344734644,-55.53758583170260</v>
      </c>
      <c r="H1876" s="12"/>
      <c r="I1876" s="12"/>
      <c r="J1876" s="12"/>
      <c r="K1876" s="12"/>
      <c r="L1876" s="12"/>
      <c r="M1876" s="12"/>
      <c r="N1876" s="12"/>
      <c r="O1876" s="12"/>
      <c r="P1876" s="12"/>
      <c r="Q1876" s="12"/>
      <c r="R1876" s="12"/>
      <c r="S1876" s="12"/>
      <c r="T1876" s="12"/>
      <c r="U1876" s="12"/>
      <c r="V1876" s="12"/>
      <c r="W1876" s="12"/>
      <c r="X1876" s="12"/>
      <c r="Y1876" s="12"/>
      <c r="Z1876" s="12"/>
      <c r="AA1876" s="12"/>
    </row>
    <row r="1877" ht="26.25" customHeight="1">
      <c r="A1877" s="26" t="s">
        <v>3764</v>
      </c>
      <c r="B1877" s="26" t="s">
        <v>3765</v>
      </c>
      <c r="C1877" s="14">
        <v>2.0</v>
      </c>
      <c r="D1877" s="23">
        <v>489.0</v>
      </c>
      <c r="E1877" s="23">
        <v>8.0</v>
      </c>
      <c r="F1877" s="27" t="str">
        <f t="array" ref="F1877">"https://www.google.com/maps/search/?api=1&amp;query=" &amp; A1877 &amp; "," &amp; B1877</f>
        <v>https://www.google.com/maps/search/?api=1&amp;query=-30.9068150647765,-55.53733980440210</v>
      </c>
      <c r="G1877" s="27" t="str">
        <f t="array" ref="G1877">"https://earth.google.com/web/search/" &amp; A1877 &amp; "," &amp; B1877</f>
        <v>https://earth.google.com/web/search/-30.9068150647765,-55.53733980440210</v>
      </c>
      <c r="H1877" s="12"/>
      <c r="I1877" s="12"/>
      <c r="J1877" s="12"/>
      <c r="K1877" s="12"/>
      <c r="L1877" s="12"/>
      <c r="M1877" s="12"/>
      <c r="N1877" s="12"/>
      <c r="O1877" s="12"/>
      <c r="P1877" s="12"/>
      <c r="Q1877" s="12"/>
      <c r="R1877" s="12"/>
      <c r="S1877" s="12"/>
      <c r="T1877" s="12"/>
      <c r="U1877" s="12"/>
      <c r="V1877" s="12"/>
      <c r="W1877" s="12"/>
      <c r="X1877" s="12"/>
      <c r="Y1877" s="12"/>
      <c r="Z1877" s="12"/>
      <c r="AA1877" s="12"/>
    </row>
    <row r="1878" ht="26.25" customHeight="1">
      <c r="A1878" s="26" t="s">
        <v>3766</v>
      </c>
      <c r="B1878" s="26" t="s">
        <v>3767</v>
      </c>
      <c r="C1878" s="14">
        <v>2.0</v>
      </c>
      <c r="D1878" s="23">
        <v>490.0</v>
      </c>
      <c r="E1878" s="23">
        <v>1.0</v>
      </c>
      <c r="F1878" s="27" t="str">
        <f t="array" ref="F1878">"https://www.google.com/maps/search/?api=1&amp;query=" &amp; A1878 &amp; "," &amp; B1878</f>
        <v>https://www.google.com/maps/search/?api=1&amp;query=-30.9067939661323,-55.53717931249990</v>
      </c>
      <c r="G1878" s="27" t="str">
        <f t="array" ref="G1878">"https://earth.google.com/web/search/" &amp; A1878 &amp; "," &amp; B1878</f>
        <v>https://earth.google.com/web/search/-30.9067939661323,-55.53717931249990</v>
      </c>
      <c r="H1878" s="12"/>
      <c r="I1878" s="12"/>
      <c r="J1878" s="12"/>
      <c r="K1878" s="12"/>
      <c r="L1878" s="12"/>
      <c r="M1878" s="12"/>
      <c r="N1878" s="12"/>
      <c r="O1878" s="12"/>
      <c r="P1878" s="12"/>
      <c r="Q1878" s="12"/>
      <c r="R1878" s="12"/>
      <c r="S1878" s="12"/>
      <c r="T1878" s="12"/>
      <c r="U1878" s="12"/>
      <c r="V1878" s="12"/>
      <c r="W1878" s="12"/>
      <c r="X1878" s="12"/>
      <c r="Y1878" s="12"/>
      <c r="Z1878" s="12"/>
      <c r="AA1878" s="12"/>
    </row>
    <row r="1879" ht="26.25" customHeight="1">
      <c r="A1879" s="26" t="s">
        <v>3768</v>
      </c>
      <c r="B1879" s="26" t="s">
        <v>3769</v>
      </c>
      <c r="C1879" s="14">
        <v>2.0</v>
      </c>
      <c r="D1879" s="23">
        <v>490.0</v>
      </c>
      <c r="E1879" s="23">
        <v>2.0</v>
      </c>
      <c r="F1879" s="27" t="str">
        <f t="array" ref="F1879">"https://www.google.com/maps/search/?api=1&amp;query=" &amp; A1879 &amp; "," &amp; B1879</f>
        <v>https://www.google.com/maps/search/?api=1&amp;query=-30.9068271245377,-5.55372058154487</v>
      </c>
      <c r="G1879" s="27" t="str">
        <f t="array" ref="G1879">"https://earth.google.com/web/search/" &amp; A1879 &amp; "," &amp; B1879</f>
        <v>https://earth.google.com/web/search/-30.9068271245377,-5.55372058154487</v>
      </c>
      <c r="H1879" s="12"/>
      <c r="I1879" s="12"/>
      <c r="J1879" s="12"/>
      <c r="K1879" s="12"/>
      <c r="L1879" s="12"/>
      <c r="M1879" s="12"/>
      <c r="N1879" s="12"/>
      <c r="O1879" s="12"/>
      <c r="P1879" s="12"/>
      <c r="Q1879" s="12"/>
      <c r="R1879" s="12"/>
      <c r="S1879" s="12"/>
      <c r="T1879" s="12"/>
      <c r="U1879" s="12"/>
      <c r="V1879" s="12"/>
      <c r="W1879" s="12"/>
      <c r="X1879" s="12"/>
      <c r="Y1879" s="12"/>
      <c r="Z1879" s="12"/>
      <c r="AA1879" s="12"/>
    </row>
    <row r="1880" ht="26.25" customHeight="1">
      <c r="A1880" s="26" t="s">
        <v>3770</v>
      </c>
      <c r="B1880" s="26" t="s">
        <v>3771</v>
      </c>
      <c r="C1880" s="14">
        <v>2.0</v>
      </c>
      <c r="D1880" s="23">
        <v>490.0</v>
      </c>
      <c r="E1880" s="23">
        <v>3.0</v>
      </c>
      <c r="F1880" s="27" t="str">
        <f t="array" ref="F1880">"https://www.google.com/maps/search/?api=1&amp;query=" &amp; A1880 &amp; "," &amp; B1880</f>
        <v>https://www.google.com/maps/search/?api=1&amp;query=-30.9068438499021,-55.53724060413500</v>
      </c>
      <c r="G1880" s="27" t="str">
        <f t="array" ref="G1880">"https://earth.google.com/web/search/" &amp; A1880 &amp; "," &amp; B1880</f>
        <v>https://earth.google.com/web/search/-30.9068438499021,-55.53724060413500</v>
      </c>
      <c r="H1880" s="12"/>
      <c r="I1880" s="12"/>
      <c r="J1880" s="12"/>
      <c r="K1880" s="12"/>
      <c r="L1880" s="12"/>
      <c r="M1880" s="12"/>
      <c r="N1880" s="12"/>
      <c r="O1880" s="12"/>
      <c r="P1880" s="12"/>
      <c r="Q1880" s="12"/>
      <c r="R1880" s="12"/>
      <c r="S1880" s="12"/>
      <c r="T1880" s="12"/>
      <c r="U1880" s="12"/>
      <c r="V1880" s="12"/>
      <c r="W1880" s="12"/>
      <c r="X1880" s="12"/>
      <c r="Y1880" s="12"/>
      <c r="Z1880" s="12"/>
      <c r="AA1880" s="12"/>
    </row>
    <row r="1881" ht="26.25" customHeight="1">
      <c r="A1881" s="26" t="s">
        <v>3772</v>
      </c>
      <c r="B1881" s="26" t="s">
        <v>3773</v>
      </c>
      <c r="C1881" s="14">
        <v>2.0</v>
      </c>
      <c r="D1881" s="23">
        <v>490.0</v>
      </c>
      <c r="E1881" s="23">
        <v>4.0</v>
      </c>
      <c r="F1881" s="27" t="str">
        <f t="array" ref="F1881">"https://www.google.com/maps/search/?api=1&amp;query=" &amp; A1881 &amp; "," &amp; B1881</f>
        <v>https://www.google.com/maps/search/?api=1&amp;query=-30.9068817493224,-5.55372998454902</v>
      </c>
      <c r="G1881" s="27" t="str">
        <f t="array" ref="G1881">"https://earth.google.com/web/search/" &amp; A1881 &amp; "," &amp; B1881</f>
        <v>https://earth.google.com/web/search/-30.9068817493224,-5.55372998454902</v>
      </c>
      <c r="H1881" s="12"/>
      <c r="I1881" s="12"/>
      <c r="J1881" s="12"/>
      <c r="K1881" s="12"/>
      <c r="L1881" s="12"/>
      <c r="M1881" s="12"/>
      <c r="N1881" s="12"/>
      <c r="O1881" s="12"/>
      <c r="P1881" s="12"/>
      <c r="Q1881" s="12"/>
      <c r="R1881" s="12"/>
      <c r="S1881" s="12"/>
      <c r="T1881" s="12"/>
      <c r="U1881" s="12"/>
      <c r="V1881" s="12"/>
      <c r="W1881" s="12"/>
      <c r="X1881" s="12"/>
      <c r="Y1881" s="12"/>
      <c r="Z1881" s="12"/>
      <c r="AA1881" s="12"/>
    </row>
    <row r="1882" ht="26.25" customHeight="1">
      <c r="A1882" s="26" t="s">
        <v>3774</v>
      </c>
      <c r="B1882" s="26" t="s">
        <v>3775</v>
      </c>
      <c r="C1882" s="14">
        <v>2.0</v>
      </c>
      <c r="D1882" s="23">
        <v>490.0</v>
      </c>
      <c r="E1882" s="23">
        <v>5.0</v>
      </c>
      <c r="F1882" s="27" t="str">
        <f t="array" ref="F1882">"https://www.google.com/maps/search/?api=1&amp;query=" &amp; A1882 &amp; "," &amp; B1882</f>
        <v>https://www.google.com/maps/search/?api=1&amp;query=-30.9069565292657,-55.53735733233250</v>
      </c>
      <c r="G1882" s="27" t="str">
        <f t="array" ref="G1882">"https://earth.google.com/web/search/" &amp; A1882 &amp; "," &amp; B1882</f>
        <v>https://earth.google.com/web/search/-30.9069565292657,-55.53735733233250</v>
      </c>
      <c r="H1882" s="12"/>
      <c r="I1882" s="12"/>
      <c r="J1882" s="12"/>
      <c r="K1882" s="12"/>
      <c r="L1882" s="12"/>
      <c r="M1882" s="12"/>
      <c r="N1882" s="12"/>
      <c r="O1882" s="12"/>
      <c r="P1882" s="12"/>
      <c r="Q1882" s="12"/>
      <c r="R1882" s="12"/>
      <c r="S1882" s="12"/>
      <c r="T1882" s="12"/>
      <c r="U1882" s="12"/>
      <c r="V1882" s="12"/>
      <c r="W1882" s="12"/>
      <c r="X1882" s="12"/>
      <c r="Y1882" s="12"/>
      <c r="Z1882" s="12"/>
      <c r="AA1882" s="12"/>
    </row>
    <row r="1883" ht="26.25" customHeight="1">
      <c r="A1883" s="26" t="s">
        <v>3776</v>
      </c>
      <c r="B1883" s="26" t="s">
        <v>3777</v>
      </c>
      <c r="C1883" s="14">
        <v>2.0</v>
      </c>
      <c r="D1883" s="23">
        <v>490.0</v>
      </c>
      <c r="E1883" s="23">
        <v>6.0</v>
      </c>
      <c r="F1883" s="27" t="str">
        <f t="array" ref="F1883">"https://www.google.com/maps/search/?api=1&amp;query=" &amp; A1883 &amp; "," &amp; B1883</f>
        <v>https://www.google.com/maps/search/?api=1&amp;query=-30.9070667790079,-55.53741143379690</v>
      </c>
      <c r="G1883" s="27" t="str">
        <f t="array" ref="G1883">"https://earth.google.com/web/search/" &amp; A1883 &amp; "," &amp; B1883</f>
        <v>https://earth.google.com/web/search/-30.9070667790079,-55.53741143379690</v>
      </c>
      <c r="H1883" s="12"/>
      <c r="I1883" s="12"/>
      <c r="J1883" s="12"/>
      <c r="K1883" s="12"/>
      <c r="L1883" s="12"/>
      <c r="M1883" s="12"/>
      <c r="N1883" s="12"/>
      <c r="O1883" s="12"/>
      <c r="P1883" s="12"/>
      <c r="Q1883" s="12"/>
      <c r="R1883" s="12"/>
      <c r="S1883" s="12"/>
      <c r="T1883" s="12"/>
      <c r="U1883" s="12"/>
      <c r="V1883" s="12"/>
      <c r="W1883" s="12"/>
      <c r="X1883" s="12"/>
      <c r="Y1883" s="12"/>
      <c r="Z1883" s="12"/>
      <c r="AA1883" s="12"/>
    </row>
    <row r="1884" ht="26.25" customHeight="1">
      <c r="A1884" s="26" t="s">
        <v>3778</v>
      </c>
      <c r="B1884" s="26" t="s">
        <v>3779</v>
      </c>
      <c r="C1884" s="14">
        <v>2.0</v>
      </c>
      <c r="D1884" s="23">
        <v>490.0</v>
      </c>
      <c r="E1884" s="23">
        <v>7.0</v>
      </c>
      <c r="F1884" s="27" t="str">
        <f t="array" ref="F1884">"https://www.google.com/maps/search/?api=1&amp;query=" &amp; A1884 &amp; "," &amp; B1884</f>
        <v>https://www.google.com/maps/search/?api=1&amp;query=-30.9071482256381,-55.53748001427520</v>
      </c>
      <c r="G1884" s="27" t="str">
        <f t="array" ref="G1884">"https://earth.google.com/web/search/" &amp; A1884 &amp; "," &amp; B1884</f>
        <v>https://earth.google.com/web/search/-30.9071482256381,-55.53748001427520</v>
      </c>
      <c r="H1884" s="12"/>
      <c r="I1884" s="12"/>
      <c r="J1884" s="12"/>
      <c r="K1884" s="12"/>
      <c r="L1884" s="12"/>
      <c r="M1884" s="12"/>
      <c r="N1884" s="12"/>
      <c r="O1884" s="12"/>
      <c r="P1884" s="12"/>
      <c r="Q1884" s="12"/>
      <c r="R1884" s="12"/>
      <c r="S1884" s="12"/>
      <c r="T1884" s="12"/>
      <c r="U1884" s="12"/>
      <c r="V1884" s="12"/>
      <c r="W1884" s="12"/>
      <c r="X1884" s="12"/>
      <c r="Y1884" s="12"/>
      <c r="Z1884" s="12"/>
      <c r="AA1884" s="12"/>
    </row>
    <row r="1885" ht="26.25" customHeight="1">
      <c r="A1885" s="26" t="s">
        <v>3780</v>
      </c>
      <c r="B1885" s="26" t="s">
        <v>3781</v>
      </c>
      <c r="C1885" s="14">
        <v>2.0</v>
      </c>
      <c r="D1885" s="23">
        <v>490.0</v>
      </c>
      <c r="E1885" s="23">
        <v>8.0</v>
      </c>
      <c r="F1885" s="27" t="str">
        <f t="array" ref="F1885">"https://www.google.com/maps/search/?api=1&amp;query=" &amp; A1885 &amp; "," &amp; B1885</f>
        <v>https://www.google.com/maps/search/?api=1&amp;query=-30.9072122012755,-55.53752375183750</v>
      </c>
      <c r="G1885" s="27" t="str">
        <f t="array" ref="G1885">"https://earth.google.com/web/search/" &amp; A1885 &amp; "," &amp; B1885</f>
        <v>https://earth.google.com/web/search/-30.9072122012755,-55.53752375183750</v>
      </c>
      <c r="H1885" s="12"/>
      <c r="I1885" s="12"/>
      <c r="J1885" s="12"/>
      <c r="K1885" s="12"/>
      <c r="L1885" s="12"/>
      <c r="M1885" s="12"/>
      <c r="N1885" s="12"/>
      <c r="O1885" s="12"/>
      <c r="P1885" s="12"/>
      <c r="Q1885" s="12"/>
      <c r="R1885" s="12"/>
      <c r="S1885" s="12"/>
      <c r="T1885" s="12"/>
      <c r="U1885" s="12"/>
      <c r="V1885" s="12"/>
      <c r="W1885" s="12"/>
      <c r="X1885" s="12"/>
      <c r="Y1885" s="12"/>
      <c r="Z1885" s="12"/>
      <c r="AA1885" s="12"/>
    </row>
    <row r="1886" ht="26.25" customHeight="1">
      <c r="A1886" s="26" t="s">
        <v>3782</v>
      </c>
      <c r="B1886" s="26" t="s">
        <v>3783</v>
      </c>
      <c r="C1886" s="14">
        <v>2.0</v>
      </c>
      <c r="D1886" s="23">
        <v>490.0</v>
      </c>
      <c r="E1886" s="23">
        <v>9.0</v>
      </c>
      <c r="F1886" s="27" t="str">
        <f t="array" ref="F1886">"https://www.google.com/maps/search/?api=1&amp;query=" &amp; A1886 &amp; "," &amp; B1886</f>
        <v>https://www.google.com/maps/search/?api=1&amp;query=-30.9073356926847,-55.53762939548600</v>
      </c>
      <c r="G1886" s="27" t="str">
        <f t="array" ref="G1886">"https://earth.google.com/web/search/" &amp; A1886 &amp; "," &amp; B1886</f>
        <v>https://earth.google.com/web/search/-30.9073356926847,-55.53762939548600</v>
      </c>
      <c r="H1886" s="12"/>
      <c r="I1886" s="12"/>
      <c r="J1886" s="12"/>
      <c r="K1886" s="12"/>
      <c r="L1886" s="12"/>
      <c r="M1886" s="12"/>
      <c r="N1886" s="12"/>
      <c r="O1886" s="12"/>
      <c r="P1886" s="12"/>
      <c r="Q1886" s="12"/>
      <c r="R1886" s="12"/>
      <c r="S1886" s="12"/>
      <c r="T1886" s="12"/>
      <c r="U1886" s="12"/>
      <c r="V1886" s="12"/>
      <c r="W1886" s="12"/>
      <c r="X1886" s="12"/>
      <c r="Y1886" s="12"/>
      <c r="Z1886" s="12"/>
      <c r="AA1886" s="12"/>
    </row>
    <row r="1887" ht="26.25" customHeight="1">
      <c r="A1887" s="26" t="s">
        <v>3784</v>
      </c>
      <c r="B1887" s="26" t="s">
        <v>3785</v>
      </c>
      <c r="C1887" s="14">
        <v>2.0</v>
      </c>
      <c r="D1887" s="23">
        <v>490.0</v>
      </c>
      <c r="E1887" s="23">
        <v>10.0</v>
      </c>
      <c r="F1887" s="27" t="str">
        <f t="array" ref="F1887">"https://www.google.com/maps/search/?api=1&amp;query=" &amp; A1887 &amp; "," &amp; B1887</f>
        <v>https://www.google.com/maps/search/?api=1&amp;query=-30.9074636558947,-55.53769351510960</v>
      </c>
      <c r="G1887" s="27" t="str">
        <f t="array" ref="G1887">"https://earth.google.com/web/search/" &amp; A1887 &amp; "," &amp; B1887</f>
        <v>https://earth.google.com/web/search/-30.9074636558947,-55.53769351510960</v>
      </c>
      <c r="H1887" s="12"/>
      <c r="I1887" s="12"/>
      <c r="J1887" s="12"/>
      <c r="K1887" s="12"/>
      <c r="L1887" s="12"/>
      <c r="M1887" s="12"/>
      <c r="N1887" s="12"/>
      <c r="O1887" s="12"/>
      <c r="P1887" s="12"/>
      <c r="Q1887" s="12"/>
      <c r="R1887" s="12"/>
      <c r="S1887" s="12"/>
      <c r="T1887" s="12"/>
      <c r="U1887" s="12"/>
      <c r="V1887" s="12"/>
      <c r="W1887" s="12"/>
      <c r="X1887" s="12"/>
      <c r="Y1887" s="12"/>
      <c r="Z1887" s="12"/>
      <c r="AA1887" s="12"/>
    </row>
    <row r="1888" ht="26.25" customHeight="1">
      <c r="A1888" s="26" t="s">
        <v>3786</v>
      </c>
      <c r="B1888" s="26" t="s">
        <v>3787</v>
      </c>
      <c r="C1888" s="14">
        <v>2.0</v>
      </c>
      <c r="D1888" s="23">
        <v>490.0</v>
      </c>
      <c r="E1888" s="23">
        <v>11.0</v>
      </c>
      <c r="F1888" s="27" t="str">
        <f t="array" ref="F1888">"https://www.google.com/maps/search/?api=1&amp;query=" &amp; A1888 &amp; "," &amp; B1888</f>
        <v>https://www.google.com/maps/search/?api=1&amp;query=-30.9076010051415,-55.53751888921010</v>
      </c>
      <c r="G1888" s="27" t="str">
        <f t="array" ref="G1888">"https://earth.google.com/web/search/" &amp; A1888 &amp; "," &amp; B1888</f>
        <v>https://earth.google.com/web/search/-30.9076010051415,-55.53751888921010</v>
      </c>
      <c r="H1888" s="12"/>
      <c r="I1888" s="12"/>
      <c r="J1888" s="12"/>
      <c r="K1888" s="12"/>
      <c r="L1888" s="12"/>
      <c r="M1888" s="12"/>
      <c r="N1888" s="12"/>
      <c r="O1888" s="12"/>
      <c r="P1888" s="12"/>
      <c r="Q1888" s="12"/>
      <c r="R1888" s="12"/>
      <c r="S1888" s="12"/>
      <c r="T1888" s="12"/>
      <c r="U1888" s="12"/>
      <c r="V1888" s="12"/>
      <c r="W1888" s="12"/>
      <c r="X1888" s="12"/>
      <c r="Y1888" s="12"/>
      <c r="Z1888" s="12"/>
      <c r="AA1888" s="12"/>
    </row>
    <row r="1889" ht="26.25" customHeight="1">
      <c r="A1889" s="26" t="s">
        <v>3788</v>
      </c>
      <c r="B1889" s="26" t="s">
        <v>3789</v>
      </c>
      <c r="C1889" s="14">
        <v>2.0</v>
      </c>
      <c r="D1889" s="23">
        <v>490.0</v>
      </c>
      <c r="E1889" s="23">
        <v>12.0</v>
      </c>
      <c r="F1889" s="27" t="str">
        <f t="array" ref="F1889">"https://www.google.com/maps/search/?api=1&amp;query=" &amp; A1889 &amp; "," &amp; B1889</f>
        <v>https://www.google.com/maps/search/?api=1&amp;query=-30.9076238450912,-55.53746845290470</v>
      </c>
      <c r="G1889" s="27" t="str">
        <f t="array" ref="G1889">"https://earth.google.com/web/search/" &amp; A1889 &amp; "," &amp; B1889</f>
        <v>https://earth.google.com/web/search/-30.9076238450912,-55.53746845290470</v>
      </c>
      <c r="H1889" s="12"/>
      <c r="I1889" s="12"/>
      <c r="J1889" s="12"/>
      <c r="K1889" s="12"/>
      <c r="L1889" s="12"/>
      <c r="M1889" s="12"/>
      <c r="N1889" s="12"/>
      <c r="O1889" s="12"/>
      <c r="P1889" s="12"/>
      <c r="Q1889" s="12"/>
      <c r="R1889" s="12"/>
      <c r="S1889" s="12"/>
      <c r="T1889" s="12"/>
      <c r="U1889" s="12"/>
      <c r="V1889" s="12"/>
      <c r="W1889" s="12"/>
      <c r="X1889" s="12"/>
      <c r="Y1889" s="12"/>
      <c r="Z1889" s="12"/>
      <c r="AA1889" s="12"/>
    </row>
    <row r="1890" ht="26.25" customHeight="1">
      <c r="A1890" s="26" t="s">
        <v>3790</v>
      </c>
      <c r="B1890" s="26" t="s">
        <v>3791</v>
      </c>
      <c r="C1890" s="14">
        <v>2.0</v>
      </c>
      <c r="D1890" s="23">
        <v>490.0</v>
      </c>
      <c r="E1890" s="23">
        <v>13.0</v>
      </c>
      <c r="F1890" s="27" t="str">
        <f t="array" ref="F1890">"https://www.google.com/maps/search/?api=1&amp;query=" &amp; A1890 &amp; "," &amp; B1890</f>
        <v>https://www.google.com/maps/search/?api=1&amp;query=-30.9076839707932,-55.53734284002920</v>
      </c>
      <c r="G1890" s="27" t="str">
        <f t="array" ref="G1890">"https://earth.google.com/web/search/" &amp; A1890 &amp; "," &amp; B1890</f>
        <v>https://earth.google.com/web/search/-30.9076839707932,-55.53734284002920</v>
      </c>
      <c r="H1890" s="12"/>
      <c r="I1890" s="12"/>
      <c r="J1890" s="12"/>
      <c r="K1890" s="12"/>
      <c r="L1890" s="12"/>
      <c r="M1890" s="12"/>
      <c r="N1890" s="12"/>
      <c r="O1890" s="12"/>
      <c r="P1890" s="12"/>
      <c r="Q1890" s="12"/>
      <c r="R1890" s="12"/>
      <c r="S1890" s="12"/>
      <c r="T1890" s="12"/>
      <c r="U1890" s="12"/>
      <c r="V1890" s="12"/>
      <c r="W1890" s="12"/>
      <c r="X1890" s="12"/>
      <c r="Y1890" s="12"/>
      <c r="Z1890" s="12"/>
      <c r="AA1890" s="12"/>
    </row>
    <row r="1891" ht="26.25" customHeight="1">
      <c r="A1891" s="26" t="s">
        <v>3792</v>
      </c>
      <c r="B1891" s="26" t="s">
        <v>3793</v>
      </c>
      <c r="C1891" s="14">
        <v>2.0</v>
      </c>
      <c r="D1891" s="23">
        <v>490.0</v>
      </c>
      <c r="E1891" s="23">
        <v>14.0</v>
      </c>
      <c r="F1891" s="27" t="str">
        <f t="array" ref="F1891">"https://www.google.com/maps/search/?api=1&amp;query=" &amp; A1891 &amp; "," &amp; B1891</f>
        <v>https://www.google.com/maps/search/?api=1&amp;query=-30.9077435322812,-5.55372088408444</v>
      </c>
      <c r="G1891" s="27" t="str">
        <f t="array" ref="G1891">"https://earth.google.com/web/search/" &amp; A1891 &amp; "," &amp; B1891</f>
        <v>https://earth.google.com/web/search/-30.9077435322812,-5.55372088408444</v>
      </c>
      <c r="H1891" s="12"/>
      <c r="I1891" s="12"/>
      <c r="J1891" s="12"/>
      <c r="K1891" s="12"/>
      <c r="L1891" s="12"/>
      <c r="M1891" s="12"/>
      <c r="N1891" s="12"/>
      <c r="O1891" s="12"/>
      <c r="P1891" s="12"/>
      <c r="Q1891" s="12"/>
      <c r="R1891" s="12"/>
      <c r="S1891" s="12"/>
      <c r="T1891" s="12"/>
      <c r="U1891" s="12"/>
      <c r="V1891" s="12"/>
      <c r="W1891" s="12"/>
      <c r="X1891" s="12"/>
      <c r="Y1891" s="12"/>
      <c r="Z1891" s="12"/>
      <c r="AA1891" s="12"/>
    </row>
    <row r="1892" ht="26.25" customHeight="1">
      <c r="A1892" s="26" t="s">
        <v>3794</v>
      </c>
      <c r="B1892" s="26" t="s">
        <v>3795</v>
      </c>
      <c r="C1892" s="14">
        <v>2.0</v>
      </c>
      <c r="D1892" s="23">
        <v>490.0</v>
      </c>
      <c r="E1892" s="23">
        <v>15.0</v>
      </c>
      <c r="F1892" s="27" t="str">
        <f t="array" ref="F1892">"https://www.google.com/maps/search/?api=1&amp;query=" &amp; A1892 &amp; "," &amp; B1892</f>
        <v>https://www.google.com/maps/search/?api=1&amp;query=-30.9068674576605,-55.53700802373520</v>
      </c>
      <c r="G1892" s="27" t="str">
        <f t="array" ref="G1892">"https://earth.google.com/web/search/" &amp; A1892 &amp; "," &amp; B1892</f>
        <v>https://earth.google.com/web/search/-30.9068674576605,-55.53700802373520</v>
      </c>
      <c r="H1892" s="12"/>
      <c r="I1892" s="12"/>
      <c r="J1892" s="12"/>
      <c r="K1892" s="12"/>
      <c r="L1892" s="12"/>
      <c r="M1892" s="12"/>
      <c r="N1892" s="12"/>
      <c r="O1892" s="12"/>
      <c r="P1892" s="12"/>
      <c r="Q1892" s="12"/>
      <c r="R1892" s="12"/>
      <c r="S1892" s="12"/>
      <c r="T1892" s="12"/>
      <c r="U1892" s="12"/>
      <c r="V1892" s="12"/>
      <c r="W1892" s="12"/>
      <c r="X1892" s="12"/>
      <c r="Y1892" s="12"/>
      <c r="Z1892" s="12"/>
      <c r="AA1892" s="12"/>
    </row>
    <row r="1893" ht="26.25" customHeight="1">
      <c r="A1893" s="26" t="s">
        <v>3796</v>
      </c>
      <c r="B1893" s="26" t="s">
        <v>3797</v>
      </c>
      <c r="C1893" s="14">
        <v>2.0</v>
      </c>
      <c r="D1893" s="23">
        <v>985.0</v>
      </c>
      <c r="E1893" s="23">
        <v>1.0</v>
      </c>
      <c r="F1893" s="27" t="str">
        <f t="array" ref="F1893">"https://www.google.com/maps/search/?api=1&amp;query=" &amp; A1893 &amp; "," &amp; B1893</f>
        <v>https://www.google.com/maps/search/?api=1&amp;query=-30.9075371859759,-55.53674346156650</v>
      </c>
      <c r="G1893" s="27" t="str">
        <f t="array" ref="G1893">"https://earth.google.com/web/search/" &amp; A1893 &amp; "," &amp; B1893</f>
        <v>https://earth.google.com/web/search/-30.9075371859759,-55.53674346156650</v>
      </c>
      <c r="H1893" s="12"/>
      <c r="I1893" s="12"/>
      <c r="J1893" s="12"/>
      <c r="K1893" s="12"/>
      <c r="L1893" s="12"/>
      <c r="M1893" s="12"/>
      <c r="N1893" s="12"/>
      <c r="O1893" s="12"/>
      <c r="P1893" s="12"/>
      <c r="Q1893" s="12"/>
      <c r="R1893" s="12"/>
      <c r="S1893" s="12"/>
      <c r="T1893" s="12"/>
      <c r="U1893" s="12"/>
      <c r="V1893" s="12"/>
      <c r="W1893" s="12"/>
      <c r="X1893" s="12"/>
      <c r="Y1893" s="12"/>
      <c r="Z1893" s="12"/>
      <c r="AA1893" s="12"/>
    </row>
    <row r="1894" ht="26.25" customHeight="1">
      <c r="A1894" s="26" t="s">
        <v>3798</v>
      </c>
      <c r="B1894" s="26" t="s">
        <v>3799</v>
      </c>
      <c r="C1894" s="14">
        <v>2.0</v>
      </c>
      <c r="D1894" s="23">
        <v>985.0</v>
      </c>
      <c r="E1894" s="23">
        <v>2.0</v>
      </c>
      <c r="F1894" s="27" t="str">
        <f t="array" ref="F1894">"https://www.google.com/maps/search/?api=1&amp;query=" &amp; A1894 &amp; "," &amp; B1894</f>
        <v>https://www.google.com/maps/search/?api=1&amp;query=-30.9077163459586,-55.53685608712060</v>
      </c>
      <c r="G1894" s="27" t="str">
        <f t="array" ref="G1894">"https://earth.google.com/web/search/" &amp; A1894 &amp; "," &amp; B1894</f>
        <v>https://earth.google.com/web/search/-30.9077163459586,-55.53685608712060</v>
      </c>
      <c r="H1894" s="12"/>
      <c r="I1894" s="12"/>
      <c r="J1894" s="12"/>
      <c r="K1894" s="12"/>
      <c r="L1894" s="12"/>
      <c r="M1894" s="12"/>
      <c r="N1894" s="12"/>
      <c r="O1894" s="12"/>
      <c r="P1894" s="12"/>
      <c r="Q1894" s="12"/>
      <c r="R1894" s="12"/>
      <c r="S1894" s="12"/>
      <c r="T1894" s="12"/>
      <c r="U1894" s="12"/>
      <c r="V1894" s="12"/>
      <c r="W1894" s="12"/>
      <c r="X1894" s="12"/>
      <c r="Y1894" s="12"/>
      <c r="Z1894" s="12"/>
      <c r="AA1894" s="12"/>
    </row>
    <row r="1895" ht="26.25" customHeight="1">
      <c r="A1895" s="26" t="s">
        <v>3800</v>
      </c>
      <c r="B1895" s="26" t="s">
        <v>3801</v>
      </c>
      <c r="C1895" s="14">
        <v>2.0</v>
      </c>
      <c r="D1895" s="23">
        <v>985.0</v>
      </c>
      <c r="E1895" s="23">
        <v>3.0</v>
      </c>
      <c r="F1895" s="27" t="str">
        <f t="array" ref="F1895">"https://www.google.com/maps/search/?api=1&amp;query=" &amp; A1895 &amp; "," &amp; B1895</f>
        <v>https://www.google.com/maps/search/?api=1&amp;query=-30.9077922292611,-55.53691088715740</v>
      </c>
      <c r="G1895" s="27" t="str">
        <f t="array" ref="G1895">"https://earth.google.com/web/search/" &amp; A1895 &amp; "," &amp; B1895</f>
        <v>https://earth.google.com/web/search/-30.9077922292611,-55.53691088715740</v>
      </c>
      <c r="H1895" s="12"/>
      <c r="I1895" s="12"/>
      <c r="J1895" s="12"/>
      <c r="K1895" s="12"/>
      <c r="L1895" s="12"/>
      <c r="M1895" s="12"/>
      <c r="N1895" s="12"/>
      <c r="O1895" s="12"/>
      <c r="P1895" s="12"/>
      <c r="Q1895" s="12"/>
      <c r="R1895" s="12"/>
      <c r="S1895" s="12"/>
      <c r="T1895" s="12"/>
      <c r="U1895" s="12"/>
      <c r="V1895" s="12"/>
      <c r="W1895" s="12"/>
      <c r="X1895" s="12"/>
      <c r="Y1895" s="12"/>
      <c r="Z1895" s="12"/>
      <c r="AA1895" s="12"/>
    </row>
    <row r="1896" ht="26.25" customHeight="1">
      <c r="A1896" s="26" t="s">
        <v>3802</v>
      </c>
      <c r="B1896" s="26" t="s">
        <v>3803</v>
      </c>
      <c r="C1896" s="14">
        <v>2.0</v>
      </c>
      <c r="D1896" s="23">
        <v>985.0</v>
      </c>
      <c r="E1896" s="23">
        <v>4.0</v>
      </c>
      <c r="F1896" s="27" t="str">
        <f t="array" ref="F1896">"https://www.google.com/maps/search/?api=1&amp;query=" &amp; A1896 &amp; "," &amp; B1896</f>
        <v>https://www.google.com/maps/search/?api=1&amp;query=-30.9080426403429,-55.53669671215750</v>
      </c>
      <c r="G1896" s="27" t="str">
        <f t="array" ref="G1896">"https://earth.google.com/web/search/" &amp; A1896 &amp; "," &amp; B1896</f>
        <v>https://earth.google.com/web/search/-30.9080426403429,-55.53669671215750</v>
      </c>
      <c r="H1896" s="12"/>
      <c r="I1896" s="12"/>
      <c r="J1896" s="12"/>
      <c r="K1896" s="12"/>
      <c r="L1896" s="12"/>
      <c r="M1896" s="12"/>
      <c r="N1896" s="12"/>
      <c r="O1896" s="12"/>
      <c r="P1896" s="12"/>
      <c r="Q1896" s="12"/>
      <c r="R1896" s="12"/>
      <c r="S1896" s="12"/>
      <c r="T1896" s="12"/>
      <c r="U1896" s="12"/>
      <c r="V1896" s="12"/>
      <c r="W1896" s="12"/>
      <c r="X1896" s="12"/>
      <c r="Y1896" s="12"/>
      <c r="Z1896" s="12"/>
      <c r="AA1896" s="12"/>
    </row>
    <row r="1897" ht="26.25" customHeight="1">
      <c r="A1897" s="26" t="s">
        <v>3804</v>
      </c>
      <c r="B1897" s="26" t="s">
        <v>3805</v>
      </c>
      <c r="C1897" s="14">
        <v>2.0</v>
      </c>
      <c r="D1897" s="23">
        <v>985.0</v>
      </c>
      <c r="E1897" s="23">
        <v>5.0</v>
      </c>
      <c r="F1897" s="27" t="str">
        <f t="array" ref="F1897">"https://www.google.com/maps/search/?api=1&amp;query=" &amp; A1897 &amp; "," &amp; B1897</f>
        <v>https://www.google.com/maps/search/?api=1&amp;query=-30.9072519008649,-55.53629646466580</v>
      </c>
      <c r="G1897" s="27" t="str">
        <f t="array" ref="G1897">"https://earth.google.com/web/search/" &amp; A1897 &amp; "," &amp; B1897</f>
        <v>https://earth.google.com/web/search/-30.9072519008649,-55.53629646466580</v>
      </c>
      <c r="H1897" s="12"/>
      <c r="I1897" s="12"/>
      <c r="J1897" s="12"/>
      <c r="K1897" s="12"/>
      <c r="L1897" s="12"/>
      <c r="M1897" s="12"/>
      <c r="N1897" s="12"/>
      <c r="O1897" s="12"/>
      <c r="P1897" s="12"/>
      <c r="Q1897" s="12"/>
      <c r="R1897" s="12"/>
      <c r="S1897" s="12"/>
      <c r="T1897" s="12"/>
      <c r="U1897" s="12"/>
      <c r="V1897" s="12"/>
      <c r="W1897" s="12"/>
      <c r="X1897" s="12"/>
      <c r="Y1897" s="12"/>
      <c r="Z1897" s="12"/>
      <c r="AA1897" s="12"/>
    </row>
    <row r="1898" ht="26.25" customHeight="1">
      <c r="A1898" s="26" t="s">
        <v>3806</v>
      </c>
      <c r="B1898" s="26" t="s">
        <v>3807</v>
      </c>
      <c r="C1898" s="14">
        <v>2.0</v>
      </c>
      <c r="D1898" s="23">
        <v>480.0</v>
      </c>
      <c r="E1898" s="23">
        <v>1.0</v>
      </c>
      <c r="F1898" s="27" t="str">
        <f t="array" ref="F1898">"https://www.google.com/maps/search/?api=1&amp;query=" &amp; A1898 &amp; "," &amp; B1898</f>
        <v>https://www.google.com/maps/search/?api=1&amp;query=-30.9081611164722,-55.53513166018130</v>
      </c>
      <c r="G1898" s="27" t="str">
        <f t="array" ref="G1898">"https://earth.google.com/web/search/" &amp; A1898 &amp; "," &amp; B1898</f>
        <v>https://earth.google.com/web/search/-30.9081611164722,-55.53513166018130</v>
      </c>
      <c r="H1898" s="12"/>
      <c r="I1898" s="12"/>
      <c r="J1898" s="12"/>
      <c r="K1898" s="12"/>
      <c r="L1898" s="12"/>
      <c r="M1898" s="12"/>
      <c r="N1898" s="12"/>
      <c r="O1898" s="12"/>
      <c r="P1898" s="12"/>
      <c r="Q1898" s="12"/>
      <c r="R1898" s="12"/>
      <c r="S1898" s="12"/>
      <c r="T1898" s="12"/>
      <c r="U1898" s="12"/>
      <c r="V1898" s="12"/>
      <c r="W1898" s="12"/>
      <c r="X1898" s="12"/>
      <c r="Y1898" s="12"/>
      <c r="Z1898" s="12"/>
      <c r="AA1898" s="12"/>
    </row>
    <row r="1899" ht="26.25" customHeight="1">
      <c r="A1899" s="26" t="s">
        <v>3808</v>
      </c>
      <c r="B1899" s="26" t="s">
        <v>3809</v>
      </c>
      <c r="C1899" s="14">
        <v>2.0</v>
      </c>
      <c r="D1899" s="23">
        <v>480.0</v>
      </c>
      <c r="E1899" s="23">
        <v>2.0</v>
      </c>
      <c r="F1899" s="27" t="str">
        <f t="array" ref="F1899">"https://www.google.com/maps/search/?api=1&amp;query=" &amp; A1899 &amp; "," &amp; B1899</f>
        <v>https://www.google.com/maps/search/?api=1&amp;query=-30.9084112867260,-55.53527535363970</v>
      </c>
      <c r="G1899" s="27" t="str">
        <f t="array" ref="G1899">"https://earth.google.com/web/search/" &amp; A1899 &amp; "," &amp; B1899</f>
        <v>https://earth.google.com/web/search/-30.9084112867260,-55.53527535363970</v>
      </c>
      <c r="H1899" s="12"/>
      <c r="I1899" s="12"/>
      <c r="J1899" s="12"/>
      <c r="K1899" s="12"/>
      <c r="L1899" s="12"/>
      <c r="M1899" s="12"/>
      <c r="N1899" s="12"/>
      <c r="O1899" s="12"/>
      <c r="P1899" s="12"/>
      <c r="Q1899" s="12"/>
      <c r="R1899" s="12"/>
      <c r="S1899" s="12"/>
      <c r="T1899" s="12"/>
      <c r="U1899" s="12"/>
      <c r="V1899" s="12"/>
      <c r="W1899" s="12"/>
      <c r="X1899" s="12"/>
      <c r="Y1899" s="12"/>
      <c r="Z1899" s="12"/>
      <c r="AA1899" s="12"/>
    </row>
    <row r="1900" ht="26.25" customHeight="1">
      <c r="A1900" s="26" t="s">
        <v>3810</v>
      </c>
      <c r="B1900" s="26" t="s">
        <v>3811</v>
      </c>
      <c r="C1900" s="14">
        <v>2.0</v>
      </c>
      <c r="D1900" s="23">
        <v>480.0</v>
      </c>
      <c r="E1900" s="23">
        <v>3.0</v>
      </c>
      <c r="F1900" s="27" t="str">
        <f t="array" ref="F1900">"https://www.google.com/maps/search/?api=1&amp;query=" &amp; A1900 &amp; "," &amp; B1900</f>
        <v>https://www.google.com/maps/search/?api=1&amp;query=-30.9084524940116,-55.53532753387230</v>
      </c>
      <c r="G1900" s="27" t="str">
        <f t="array" ref="G1900">"https://earth.google.com/web/search/" &amp; A1900 &amp; "," &amp; B1900</f>
        <v>https://earth.google.com/web/search/-30.9084524940116,-55.53532753387230</v>
      </c>
      <c r="H1900" s="12"/>
      <c r="I1900" s="12"/>
      <c r="J1900" s="12"/>
      <c r="K1900" s="12"/>
      <c r="L1900" s="12"/>
      <c r="M1900" s="12"/>
      <c r="N1900" s="12"/>
      <c r="O1900" s="12"/>
      <c r="P1900" s="12"/>
      <c r="Q1900" s="12"/>
      <c r="R1900" s="12"/>
      <c r="S1900" s="12"/>
      <c r="T1900" s="12"/>
      <c r="U1900" s="12"/>
      <c r="V1900" s="12"/>
      <c r="W1900" s="12"/>
      <c r="X1900" s="12"/>
      <c r="Y1900" s="12"/>
      <c r="Z1900" s="12"/>
      <c r="AA1900" s="12"/>
    </row>
    <row r="1901" ht="26.25" customHeight="1">
      <c r="A1901" s="26" t="s">
        <v>3812</v>
      </c>
      <c r="B1901" s="26" t="s">
        <v>3813</v>
      </c>
      <c r="C1901" s="14">
        <v>2.0</v>
      </c>
      <c r="D1901" s="23">
        <v>480.0</v>
      </c>
      <c r="E1901" s="23">
        <v>4.0</v>
      </c>
      <c r="F1901" s="27" t="str">
        <f t="array" ref="F1901">"https://www.google.com/maps/search/?api=1&amp;query=" &amp; A1901 &amp; "," &amp; B1901</f>
        <v>https://www.google.com/maps/search/?api=1&amp;query=-30.9085271684437,-55.53537782293480</v>
      </c>
      <c r="G1901" s="27" t="str">
        <f t="array" ref="G1901">"https://earth.google.com/web/search/" &amp; A1901 &amp; "," &amp; B1901</f>
        <v>https://earth.google.com/web/search/-30.9085271684437,-55.53537782293480</v>
      </c>
      <c r="H1901" s="12"/>
      <c r="I1901" s="12"/>
      <c r="J1901" s="12"/>
      <c r="K1901" s="12"/>
      <c r="L1901" s="12"/>
      <c r="M1901" s="12"/>
      <c r="N1901" s="12"/>
      <c r="O1901" s="12"/>
      <c r="P1901" s="12"/>
      <c r="Q1901" s="12"/>
      <c r="R1901" s="12"/>
      <c r="S1901" s="12"/>
      <c r="T1901" s="12"/>
      <c r="U1901" s="12"/>
      <c r="V1901" s="12"/>
      <c r="W1901" s="12"/>
      <c r="X1901" s="12"/>
      <c r="Y1901" s="12"/>
      <c r="Z1901" s="12"/>
      <c r="AA1901" s="12"/>
    </row>
    <row r="1902" ht="26.25" customHeight="1">
      <c r="A1902" s="26" t="s">
        <v>3814</v>
      </c>
      <c r="B1902" s="26" t="s">
        <v>3815</v>
      </c>
      <c r="C1902" s="14">
        <v>2.0</v>
      </c>
      <c r="D1902" s="23">
        <v>480.0</v>
      </c>
      <c r="E1902" s="23">
        <v>5.0</v>
      </c>
      <c r="F1902" s="27" t="str">
        <f t="array" ref="F1902">"https://www.google.com/maps/search/?api=1&amp;query=" &amp; A1902 &amp; "," &amp; B1902</f>
        <v>https://www.google.com/maps/search/?api=1&amp;query=-30.9086122589865,-55.53543470423400</v>
      </c>
      <c r="G1902" s="27" t="str">
        <f t="array" ref="G1902">"https://earth.google.com/web/search/" &amp; A1902 &amp; "," &amp; B1902</f>
        <v>https://earth.google.com/web/search/-30.9086122589865,-55.53543470423400</v>
      </c>
      <c r="H1902" s="12"/>
      <c r="I1902" s="12"/>
      <c r="J1902" s="12"/>
      <c r="K1902" s="12"/>
      <c r="L1902" s="12"/>
      <c r="M1902" s="12"/>
      <c r="N1902" s="12"/>
      <c r="O1902" s="12"/>
      <c r="P1902" s="12"/>
      <c r="Q1902" s="12"/>
      <c r="R1902" s="12"/>
      <c r="S1902" s="12"/>
      <c r="T1902" s="12"/>
      <c r="U1902" s="12"/>
      <c r="V1902" s="12"/>
      <c r="W1902" s="12"/>
      <c r="X1902" s="12"/>
      <c r="Y1902" s="12"/>
      <c r="Z1902" s="12"/>
      <c r="AA1902" s="12"/>
    </row>
    <row r="1903" ht="26.25" customHeight="1">
      <c r="A1903" s="26" t="s">
        <v>3816</v>
      </c>
      <c r="B1903" s="26" t="s">
        <v>3817</v>
      </c>
      <c r="C1903" s="14">
        <v>2.0</v>
      </c>
      <c r="D1903" s="23">
        <v>480.0</v>
      </c>
      <c r="E1903" s="23">
        <v>6.0</v>
      </c>
      <c r="F1903" s="27" t="str">
        <f t="array" ref="F1903">"https://www.google.com/maps/search/?api=1&amp;query=" &amp; A1903 &amp; "," &amp; B1903</f>
        <v>https://www.google.com/maps/search/?api=1&amp;query=-30.9087081605357,-55.53540627118230</v>
      </c>
      <c r="G1903" s="27" t="str">
        <f t="array" ref="G1903">"https://earth.google.com/web/search/" &amp; A1903 &amp; "," &amp; B1903</f>
        <v>https://earth.google.com/web/search/-30.9087081605357,-55.53540627118230</v>
      </c>
      <c r="H1903" s="12"/>
      <c r="I1903" s="12"/>
      <c r="J1903" s="12"/>
      <c r="K1903" s="12"/>
      <c r="L1903" s="12"/>
      <c r="M1903" s="12"/>
      <c r="N1903" s="12"/>
      <c r="O1903" s="12"/>
      <c r="P1903" s="12"/>
      <c r="Q1903" s="12"/>
      <c r="R1903" s="12"/>
      <c r="S1903" s="12"/>
      <c r="T1903" s="12"/>
      <c r="U1903" s="12"/>
      <c r="V1903" s="12"/>
      <c r="W1903" s="12"/>
      <c r="X1903" s="12"/>
      <c r="Y1903" s="12"/>
      <c r="Z1903" s="12"/>
      <c r="AA1903" s="12"/>
    </row>
    <row r="1904" ht="26.25" customHeight="1">
      <c r="A1904" s="26" t="s">
        <v>3818</v>
      </c>
      <c r="B1904" s="26" t="s">
        <v>3819</v>
      </c>
      <c r="C1904" s="14">
        <v>2.0</v>
      </c>
      <c r="D1904" s="23">
        <v>480.0</v>
      </c>
      <c r="E1904" s="23">
        <v>7.0</v>
      </c>
      <c r="F1904" s="27" t="str">
        <f t="array" ref="F1904">"https://www.google.com/maps/search/?api=1&amp;query=" &amp; A1904 &amp; "," &amp; B1904</f>
        <v>https://www.google.com/maps/search/?api=1&amp;query=-30.9087498122654,-55.53533025362890</v>
      </c>
      <c r="G1904" s="27" t="str">
        <f t="array" ref="G1904">"https://earth.google.com/web/search/" &amp; A1904 &amp; "," &amp; B1904</f>
        <v>https://earth.google.com/web/search/-30.9087498122654,-55.53533025362890</v>
      </c>
      <c r="H1904" s="12"/>
      <c r="I1904" s="12"/>
      <c r="J1904" s="12"/>
      <c r="K1904" s="12"/>
      <c r="L1904" s="12"/>
      <c r="M1904" s="12"/>
      <c r="N1904" s="12"/>
      <c r="O1904" s="12"/>
      <c r="P1904" s="12"/>
      <c r="Q1904" s="12"/>
      <c r="R1904" s="12"/>
      <c r="S1904" s="12"/>
      <c r="T1904" s="12"/>
      <c r="U1904" s="12"/>
      <c r="V1904" s="12"/>
      <c r="W1904" s="12"/>
      <c r="X1904" s="12"/>
      <c r="Y1904" s="12"/>
      <c r="Z1904" s="12"/>
      <c r="AA1904" s="12"/>
    </row>
    <row r="1905" ht="26.25" customHeight="1">
      <c r="A1905" s="26" t="s">
        <v>3820</v>
      </c>
      <c r="B1905" s="26" t="s">
        <v>3821</v>
      </c>
      <c r="C1905" s="14">
        <v>2.0</v>
      </c>
      <c r="D1905" s="23">
        <v>480.0</v>
      </c>
      <c r="E1905" s="23">
        <v>8.0</v>
      </c>
      <c r="F1905" s="27" t="str">
        <f t="array" ref="F1905">"https://www.google.com/maps/search/?api=1&amp;query=" &amp; A1905 &amp; "," &amp; B1905</f>
        <v>https://www.google.com/maps/search/?api=1&amp;query=-30.9087809167469,-55.53526826567270</v>
      </c>
      <c r="G1905" s="27" t="str">
        <f t="array" ref="G1905">"https://earth.google.com/web/search/" &amp; A1905 &amp; "," &amp; B1905</f>
        <v>https://earth.google.com/web/search/-30.9087809167469,-55.53526826567270</v>
      </c>
      <c r="H1905" s="12"/>
      <c r="I1905" s="12"/>
      <c r="J1905" s="12"/>
      <c r="K1905" s="12"/>
      <c r="L1905" s="12"/>
      <c r="M1905" s="12"/>
      <c r="N1905" s="12"/>
      <c r="O1905" s="12"/>
      <c r="P1905" s="12"/>
      <c r="Q1905" s="12"/>
      <c r="R1905" s="12"/>
      <c r="S1905" s="12"/>
      <c r="T1905" s="12"/>
      <c r="U1905" s="12"/>
      <c r="V1905" s="12"/>
      <c r="W1905" s="12"/>
      <c r="X1905" s="12"/>
      <c r="Y1905" s="12"/>
      <c r="Z1905" s="12"/>
      <c r="AA1905" s="12"/>
    </row>
    <row r="1906" ht="26.25" customHeight="1">
      <c r="A1906" s="26" t="s">
        <v>3822</v>
      </c>
      <c r="B1906" s="26" t="s">
        <v>3823</v>
      </c>
      <c r="C1906" s="14">
        <v>2.0</v>
      </c>
      <c r="D1906" s="23">
        <v>480.0</v>
      </c>
      <c r="E1906" s="23">
        <v>9.0</v>
      </c>
      <c r="F1906" s="27" t="str">
        <f t="array" ref="F1906">"https://www.google.com/maps/search/?api=1&amp;query=" &amp; A1906 &amp; "," &amp; B1906</f>
        <v>https://www.google.com/maps/search/?api=1&amp;query=-30.9091395405280,-55.53459690778190</v>
      </c>
      <c r="G1906" s="27" t="str">
        <f t="array" ref="G1906">"https://earth.google.com/web/search/" &amp; A1906 &amp; "," &amp; B1906</f>
        <v>https://earth.google.com/web/search/-30.9091395405280,-55.53459690778190</v>
      </c>
      <c r="H1906" s="12"/>
      <c r="I1906" s="12"/>
      <c r="J1906" s="12"/>
      <c r="K1906" s="12"/>
      <c r="L1906" s="12"/>
      <c r="M1906" s="12"/>
      <c r="N1906" s="12"/>
      <c r="O1906" s="12"/>
      <c r="P1906" s="12"/>
      <c r="Q1906" s="12"/>
      <c r="R1906" s="12"/>
      <c r="S1906" s="12"/>
      <c r="T1906" s="12"/>
      <c r="U1906" s="12"/>
      <c r="V1906" s="12"/>
      <c r="W1906" s="12"/>
      <c r="X1906" s="12"/>
      <c r="Y1906" s="12"/>
      <c r="Z1906" s="12"/>
      <c r="AA1906" s="12"/>
    </row>
    <row r="1907" ht="26.25" customHeight="1">
      <c r="A1907" s="26" t="s">
        <v>3824</v>
      </c>
      <c r="B1907" s="26" t="s">
        <v>3825</v>
      </c>
      <c r="C1907" s="14">
        <v>2.0</v>
      </c>
      <c r="D1907" s="23">
        <v>480.0</v>
      </c>
      <c r="E1907" s="23">
        <v>10.0</v>
      </c>
      <c r="F1907" s="27" t="str">
        <f t="array" ref="F1907">"https://www.google.com/maps/search/?api=1&amp;query=" &amp; A1907 &amp; "," &amp; B1907</f>
        <v>https://www.google.com/maps/search/?api=1&amp;query=-30.9092042095766,-55.53448290956280</v>
      </c>
      <c r="G1907" s="27" t="str">
        <f t="array" ref="G1907">"https://earth.google.com/web/search/" &amp; A1907 &amp; "," &amp; B1907</f>
        <v>https://earth.google.com/web/search/-30.9092042095766,-55.53448290956280</v>
      </c>
      <c r="H1907" s="12"/>
      <c r="I1907" s="12"/>
      <c r="J1907" s="12"/>
      <c r="K1907" s="12"/>
      <c r="L1907" s="12"/>
      <c r="M1907" s="12"/>
      <c r="N1907" s="12"/>
      <c r="O1907" s="12"/>
      <c r="P1907" s="12"/>
      <c r="Q1907" s="12"/>
      <c r="R1907" s="12"/>
      <c r="S1907" s="12"/>
      <c r="T1907" s="12"/>
      <c r="U1907" s="12"/>
      <c r="V1907" s="12"/>
      <c r="W1907" s="12"/>
      <c r="X1907" s="12"/>
      <c r="Y1907" s="12"/>
      <c r="Z1907" s="12"/>
      <c r="AA1907" s="12"/>
    </row>
    <row r="1908" ht="26.25" customHeight="1">
      <c r="A1908" s="26" t="s">
        <v>3826</v>
      </c>
      <c r="B1908" s="26" t="s">
        <v>3827</v>
      </c>
      <c r="C1908" s="14">
        <v>2.0</v>
      </c>
      <c r="D1908" s="23">
        <v>480.0</v>
      </c>
      <c r="E1908" s="23">
        <v>11.0</v>
      </c>
      <c r="F1908" s="27" t="str">
        <f t="array" ref="F1908">"https://www.google.com/maps/search/?api=1&amp;query=" &amp; A1908 &amp; "," &amp; B1908</f>
        <v>https://www.google.com/maps/search/?api=1&amp;query=-30.9086261295609,-55.53373375832120</v>
      </c>
      <c r="G1908" s="27" t="str">
        <f t="array" ref="G1908">"https://earth.google.com/web/search/" &amp; A1908 &amp; "," &amp; B1908</f>
        <v>https://earth.google.com/web/search/-30.9086261295609,-55.53373375832120</v>
      </c>
      <c r="H1908" s="12"/>
      <c r="I1908" s="12"/>
      <c r="J1908" s="12"/>
      <c r="K1908" s="12"/>
      <c r="L1908" s="12"/>
      <c r="M1908" s="12"/>
      <c r="N1908" s="12"/>
      <c r="O1908" s="12"/>
      <c r="P1908" s="12"/>
      <c r="Q1908" s="12"/>
      <c r="R1908" s="12"/>
      <c r="S1908" s="12"/>
      <c r="T1908" s="12"/>
      <c r="U1908" s="12"/>
      <c r="V1908" s="12"/>
      <c r="W1908" s="12"/>
      <c r="X1908" s="12"/>
      <c r="Y1908" s="12"/>
      <c r="Z1908" s="12"/>
      <c r="AA1908" s="12"/>
    </row>
    <row r="1909" ht="26.25" customHeight="1">
      <c r="A1909" s="26" t="s">
        <v>3828</v>
      </c>
      <c r="B1909" s="26" t="s">
        <v>3829</v>
      </c>
      <c r="C1909" s="14">
        <v>2.0</v>
      </c>
      <c r="D1909" s="23">
        <v>480.0</v>
      </c>
      <c r="E1909" s="23">
        <v>12.0</v>
      </c>
      <c r="F1909" s="27" t="str">
        <f t="array" ref="F1909">"https://www.google.com/maps/search/?api=1&amp;query=" &amp; A1909 &amp; "," &amp; B1909</f>
        <v>https://www.google.com/maps/search/?api=1&amp;query=-30.9082393843810,-55.53441801180370</v>
      </c>
      <c r="G1909" s="27" t="str">
        <f t="array" ref="G1909">"https://earth.google.com/web/search/" &amp; A1909 &amp; "," &amp; B1909</f>
        <v>https://earth.google.com/web/search/-30.9082393843810,-55.53441801180370</v>
      </c>
      <c r="H1909" s="12"/>
      <c r="I1909" s="12"/>
      <c r="J1909" s="12"/>
      <c r="K1909" s="12"/>
      <c r="L1909" s="12"/>
      <c r="M1909" s="12"/>
      <c r="N1909" s="12"/>
      <c r="O1909" s="12"/>
      <c r="P1909" s="12"/>
      <c r="Q1909" s="12"/>
      <c r="R1909" s="12"/>
      <c r="S1909" s="12"/>
      <c r="T1909" s="12"/>
      <c r="U1909" s="12"/>
      <c r="V1909" s="12"/>
      <c r="W1909" s="12"/>
      <c r="X1909" s="12"/>
      <c r="Y1909" s="12"/>
      <c r="Z1909" s="12"/>
      <c r="AA1909" s="12"/>
    </row>
    <row r="1910" ht="26.25" customHeight="1">
      <c r="A1910" s="26" t="s">
        <v>3830</v>
      </c>
      <c r="B1910" s="26" t="s">
        <v>3831</v>
      </c>
      <c r="C1910" s="14">
        <v>2.0</v>
      </c>
      <c r="D1910" s="23">
        <v>480.0</v>
      </c>
      <c r="E1910" s="23">
        <v>13.0</v>
      </c>
      <c r="F1910" s="27" t="str">
        <f t="array" ref="F1910">"https://www.google.com/maps/search/?api=1&amp;query=" &amp; A1910 &amp; "," &amp; B1910</f>
        <v>https://www.google.com/maps/search/?api=1&amp;query=-30.9081983300859,-55.53449934875410</v>
      </c>
      <c r="G1910" s="27" t="str">
        <f t="array" ref="G1910">"https://earth.google.com/web/search/" &amp; A1910 &amp; "," &amp; B1910</f>
        <v>https://earth.google.com/web/search/-30.9081983300859,-55.53449934875410</v>
      </c>
      <c r="H1910" s="12"/>
      <c r="I1910" s="12"/>
      <c r="J1910" s="12"/>
      <c r="K1910" s="12"/>
      <c r="L1910" s="12"/>
      <c r="M1910" s="12"/>
      <c r="N1910" s="12"/>
      <c r="O1910" s="12"/>
      <c r="P1910" s="12"/>
      <c r="Q1910" s="12"/>
      <c r="R1910" s="12"/>
      <c r="S1910" s="12"/>
      <c r="T1910" s="12"/>
      <c r="U1910" s="12"/>
      <c r="V1910" s="12"/>
      <c r="W1910" s="12"/>
      <c r="X1910" s="12"/>
      <c r="Y1910" s="12"/>
      <c r="Z1910" s="12"/>
      <c r="AA1910" s="12"/>
    </row>
    <row r="1911" ht="26.25" customHeight="1">
      <c r="A1911" s="26" t="s">
        <v>3832</v>
      </c>
      <c r="B1911" s="26" t="s">
        <v>3833</v>
      </c>
      <c r="C1911" s="14">
        <v>2.0</v>
      </c>
      <c r="D1911" s="23">
        <v>480.0</v>
      </c>
      <c r="E1911" s="23">
        <v>14.0</v>
      </c>
      <c r="F1911" s="27" t="str">
        <f t="array" ref="F1911">"https://www.google.com/maps/search/?api=1&amp;query=" &amp; A1911 &amp; "," &amp; B1911</f>
        <v>https://www.google.com/maps/search/?api=1&amp;query=-30.9081135774281,-55.53469728585120</v>
      </c>
      <c r="G1911" s="27" t="str">
        <f t="array" ref="G1911">"https://earth.google.com/web/search/" &amp; A1911 &amp; "," &amp; B1911</f>
        <v>https://earth.google.com/web/search/-30.9081135774281,-55.53469728585120</v>
      </c>
      <c r="H1911" s="12"/>
      <c r="I1911" s="12"/>
      <c r="J1911" s="12"/>
      <c r="K1911" s="12"/>
      <c r="L1911" s="12"/>
      <c r="M1911" s="12"/>
      <c r="N1911" s="12"/>
      <c r="O1911" s="12"/>
      <c r="P1911" s="12"/>
      <c r="Q1911" s="12"/>
      <c r="R1911" s="12"/>
      <c r="S1911" s="12"/>
      <c r="T1911" s="12"/>
      <c r="U1911" s="12"/>
      <c r="V1911" s="12"/>
      <c r="W1911" s="12"/>
      <c r="X1911" s="12"/>
      <c r="Y1911" s="12"/>
      <c r="Z1911" s="12"/>
      <c r="AA1911" s="12"/>
    </row>
    <row r="1912" ht="26.25" customHeight="1">
      <c r="A1912" s="26" t="s">
        <v>3834</v>
      </c>
      <c r="B1912" s="26" t="s">
        <v>3835</v>
      </c>
      <c r="C1912" s="14">
        <v>2.0</v>
      </c>
      <c r="D1912" s="23">
        <v>480.0</v>
      </c>
      <c r="E1912" s="23">
        <v>15.0</v>
      </c>
      <c r="F1912" s="27" t="str">
        <f t="array" ref="F1912">"https://www.google.com/maps/search/?api=1&amp;query=" &amp; A1912 &amp; "," &amp; B1912</f>
        <v>https://www.google.com/maps/search/?api=1&amp;query=-30.9080834668621,-55.53473700972440</v>
      </c>
      <c r="G1912" s="27" t="str">
        <f t="array" ref="G1912">"https://earth.google.com/web/search/" &amp; A1912 &amp; "," &amp; B1912</f>
        <v>https://earth.google.com/web/search/-30.9080834668621,-55.53473700972440</v>
      </c>
      <c r="H1912" s="12"/>
      <c r="I1912" s="12"/>
      <c r="J1912" s="12"/>
      <c r="K1912" s="12"/>
      <c r="L1912" s="12"/>
      <c r="M1912" s="12"/>
      <c r="N1912" s="12"/>
      <c r="O1912" s="12"/>
      <c r="P1912" s="12"/>
      <c r="Q1912" s="12"/>
      <c r="R1912" s="12"/>
      <c r="S1912" s="12"/>
      <c r="T1912" s="12"/>
      <c r="U1912" s="12"/>
      <c r="V1912" s="12"/>
      <c r="W1912" s="12"/>
      <c r="X1912" s="12"/>
      <c r="Y1912" s="12"/>
      <c r="Z1912" s="12"/>
      <c r="AA1912" s="12"/>
    </row>
    <row r="1913" ht="26.25" customHeight="1">
      <c r="A1913" s="26" t="s">
        <v>3836</v>
      </c>
      <c r="B1913" s="26" t="s">
        <v>3837</v>
      </c>
      <c r="C1913" s="14">
        <v>2.0</v>
      </c>
      <c r="D1913" s="23">
        <v>334.0</v>
      </c>
      <c r="E1913" s="23">
        <v>1.0</v>
      </c>
      <c r="F1913" s="27" t="str">
        <f t="array" ref="F1913">"https://www.google.com/maps/search/?api=1&amp;query=" &amp; A1913 &amp; "," &amp; B1913</f>
        <v>https://www.google.com/maps/search/?api=1&amp;query=-30.9067144911370,-5.55396682750898</v>
      </c>
      <c r="G1913" s="27" t="str">
        <f t="array" ref="G1913">"https://earth.google.com/web/search/" &amp; A1913 &amp; "," &amp; B1913</f>
        <v>https://earth.google.com/web/search/-30.9067144911370,-5.55396682750898</v>
      </c>
      <c r="H1913" s="12"/>
      <c r="I1913" s="12"/>
      <c r="J1913" s="12"/>
      <c r="K1913" s="12"/>
      <c r="L1913" s="12"/>
      <c r="M1913" s="12"/>
      <c r="N1913" s="12"/>
      <c r="O1913" s="12"/>
      <c r="P1913" s="12"/>
      <c r="Q1913" s="12"/>
      <c r="R1913" s="12"/>
      <c r="S1913" s="12"/>
      <c r="T1913" s="12"/>
      <c r="U1913" s="12"/>
      <c r="V1913" s="12"/>
      <c r="W1913" s="12"/>
      <c r="X1913" s="12"/>
      <c r="Y1913" s="12"/>
      <c r="Z1913" s="12"/>
      <c r="AA1913" s="12"/>
    </row>
    <row r="1914" ht="26.25" customHeight="1">
      <c r="A1914" s="26" t="s">
        <v>3838</v>
      </c>
      <c r="B1914" s="26" t="s">
        <v>3839</v>
      </c>
      <c r="C1914" s="14">
        <v>2.0</v>
      </c>
      <c r="D1914" s="23">
        <v>334.0</v>
      </c>
      <c r="E1914" s="23">
        <v>2.0</v>
      </c>
      <c r="F1914" s="27" t="str">
        <f t="array" ref="F1914">"https://www.google.com/maps/search/?api=1&amp;query=" &amp; A1914 &amp; "," &amp; B1914</f>
        <v>https://www.google.com/maps/search/?api=1&amp;query=-30.9069188133006,-55.53979466498020</v>
      </c>
      <c r="G1914" s="27" t="str">
        <f t="array" ref="G1914">"https://earth.google.com/web/search/" &amp; A1914 &amp; "," &amp; B1914</f>
        <v>https://earth.google.com/web/search/-30.9069188133006,-55.53979466498020</v>
      </c>
      <c r="H1914" s="12"/>
      <c r="I1914" s="12"/>
      <c r="J1914" s="12"/>
      <c r="K1914" s="12"/>
      <c r="L1914" s="12"/>
      <c r="M1914" s="12"/>
      <c r="N1914" s="12"/>
      <c r="O1914" s="12"/>
      <c r="P1914" s="12"/>
      <c r="Q1914" s="12"/>
      <c r="R1914" s="12"/>
      <c r="S1914" s="12"/>
      <c r="T1914" s="12"/>
      <c r="U1914" s="12"/>
      <c r="V1914" s="12"/>
      <c r="W1914" s="12"/>
      <c r="X1914" s="12"/>
      <c r="Y1914" s="12"/>
      <c r="Z1914" s="12"/>
      <c r="AA1914" s="12"/>
    </row>
    <row r="1915" ht="26.25" customHeight="1">
      <c r="A1915" s="26" t="s">
        <v>3840</v>
      </c>
      <c r="B1915" s="26" t="s">
        <v>3841</v>
      </c>
      <c r="C1915" s="14">
        <v>2.0</v>
      </c>
      <c r="D1915" s="23">
        <v>334.0</v>
      </c>
      <c r="E1915" s="23">
        <v>3.0</v>
      </c>
      <c r="F1915" s="27" t="str">
        <f t="array" ref="F1915">"https://www.google.com/maps/search/?api=1&amp;query=" &amp; A1915 &amp; "," &amp; B1915</f>
        <v>https://www.google.com/maps/search/?api=1&amp;query=-3.0907052012756,-55.53989609941980</v>
      </c>
      <c r="G1915" s="27" t="str">
        <f t="array" ref="G1915">"https://earth.google.com/web/search/" &amp; A1915 &amp; "," &amp; B1915</f>
        <v>https://earth.google.com/web/search/-3.0907052012756,-55.53989609941980</v>
      </c>
      <c r="H1915" s="12"/>
      <c r="I1915" s="12"/>
      <c r="J1915" s="12"/>
      <c r="K1915" s="12"/>
      <c r="L1915" s="12"/>
      <c r="M1915" s="12"/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/>
    </row>
    <row r="1916" ht="26.25" customHeight="1">
      <c r="A1916" s="26" t="s">
        <v>3842</v>
      </c>
      <c r="B1916" s="26" t="s">
        <v>3843</v>
      </c>
      <c r="C1916" s="14">
        <v>2.0</v>
      </c>
      <c r="D1916" s="23">
        <v>334.0</v>
      </c>
      <c r="E1916" s="23">
        <v>4.0</v>
      </c>
      <c r="F1916" s="27" t="str">
        <f t="array" ref="F1916">"https://www.google.com/maps/search/?api=1&amp;query=" &amp; A1916 &amp; "," &amp; B1916</f>
        <v>https://www.google.com/maps/search/?api=1&amp;query=-30.9071578006948,-55.53995594669190</v>
      </c>
      <c r="G1916" s="27" t="str">
        <f t="array" ref="G1916">"https://earth.google.com/web/search/" &amp; A1916 &amp; "," &amp; B1916</f>
        <v>https://earth.google.com/web/search/-30.9071578006948,-55.53995594669190</v>
      </c>
      <c r="H1916" s="12"/>
      <c r="I1916" s="12"/>
      <c r="J1916" s="12"/>
      <c r="K1916" s="12"/>
      <c r="L1916" s="12"/>
      <c r="M1916" s="12"/>
      <c r="N1916" s="12"/>
      <c r="O1916" s="12"/>
      <c r="P1916" s="12"/>
      <c r="Q1916" s="12"/>
      <c r="R1916" s="12"/>
      <c r="S1916" s="12"/>
      <c r="T1916" s="12"/>
      <c r="U1916" s="12"/>
      <c r="V1916" s="12"/>
      <c r="W1916" s="12"/>
      <c r="X1916" s="12"/>
      <c r="Y1916" s="12"/>
      <c r="Z1916" s="12"/>
      <c r="AA1916" s="12"/>
    </row>
    <row r="1917" ht="26.25" customHeight="1">
      <c r="A1917" s="26" t="s">
        <v>3844</v>
      </c>
      <c r="B1917" s="26" t="s">
        <v>3845</v>
      </c>
      <c r="C1917" s="14">
        <v>2.0</v>
      </c>
      <c r="D1917" s="23">
        <v>334.0</v>
      </c>
      <c r="E1917" s="23">
        <v>5.0</v>
      </c>
      <c r="F1917" s="27" t="str">
        <f t="array" ref="F1917">"https://www.google.com/maps/search/?api=1&amp;query=" &amp; A1917 &amp; "," &amp; B1917</f>
        <v>https://www.google.com/maps/search/?api=1&amp;query=-30.9072763928459,-55.54004374051150</v>
      </c>
      <c r="G1917" s="27" t="str">
        <f t="array" ref="G1917">"https://earth.google.com/web/search/" &amp; A1917 &amp; "," &amp; B1917</f>
        <v>https://earth.google.com/web/search/-30.9072763928459,-55.54004374051150</v>
      </c>
      <c r="H1917" s="12"/>
      <c r="I1917" s="12"/>
      <c r="J1917" s="12"/>
      <c r="K1917" s="12"/>
      <c r="L1917" s="12"/>
      <c r="M1917" s="12"/>
      <c r="N1917" s="12"/>
      <c r="O1917" s="12"/>
      <c r="P1917" s="12"/>
      <c r="Q1917" s="12"/>
      <c r="R1917" s="12"/>
      <c r="S1917" s="12"/>
      <c r="T1917" s="12"/>
      <c r="U1917" s="12"/>
      <c r="V1917" s="12"/>
      <c r="W1917" s="12"/>
      <c r="X1917" s="12"/>
      <c r="Y1917" s="12"/>
      <c r="Z1917" s="12"/>
      <c r="AA1917" s="12"/>
    </row>
    <row r="1918" ht="26.25" customHeight="1">
      <c r="A1918" s="26" t="s">
        <v>3846</v>
      </c>
      <c r="B1918" s="26" t="s">
        <v>3847</v>
      </c>
      <c r="C1918" s="14">
        <v>2.0</v>
      </c>
      <c r="D1918" s="23">
        <v>334.0</v>
      </c>
      <c r="E1918" s="23">
        <v>6.0</v>
      </c>
      <c r="F1918" s="27" t="str">
        <f t="array" ref="F1918">"https://www.google.com/maps/search/?api=1&amp;query=" &amp; A1918 &amp; "," &amp; B1918</f>
        <v>https://www.google.com/maps/search/?api=1&amp;query=-30.9073642349430,-55.53992190206990</v>
      </c>
      <c r="G1918" s="27" t="str">
        <f t="array" ref="G1918">"https://earth.google.com/web/search/" &amp; A1918 &amp; "," &amp; B1918</f>
        <v>https://earth.google.com/web/search/-30.9073642349430,-55.53992190206990</v>
      </c>
      <c r="H1918" s="12"/>
      <c r="I1918" s="12"/>
      <c r="J1918" s="12"/>
      <c r="K1918" s="12"/>
      <c r="L1918" s="12"/>
      <c r="M1918" s="12"/>
      <c r="N1918" s="12"/>
      <c r="O1918" s="12"/>
      <c r="P1918" s="12"/>
      <c r="Q1918" s="12"/>
      <c r="R1918" s="12"/>
      <c r="S1918" s="12"/>
      <c r="T1918" s="12"/>
      <c r="U1918" s="12"/>
      <c r="V1918" s="12"/>
      <c r="W1918" s="12"/>
      <c r="X1918" s="12"/>
      <c r="Y1918" s="12"/>
      <c r="Z1918" s="12"/>
      <c r="AA1918" s="12"/>
    </row>
    <row r="1919" ht="26.25" customHeight="1">
      <c r="A1919" s="26" t="s">
        <v>3848</v>
      </c>
      <c r="B1919" s="26" t="s">
        <v>3849</v>
      </c>
      <c r="C1919" s="14">
        <v>2.0</v>
      </c>
      <c r="D1919" s="23">
        <v>334.0</v>
      </c>
      <c r="E1919" s="23">
        <v>7.0</v>
      </c>
      <c r="F1919" s="27" t="str">
        <f t="array" ref="F1919">"https://www.google.com/maps/search/?api=1&amp;query=" &amp; A1919 &amp; "," &amp; B1919</f>
        <v>https://www.google.com/maps/search/?api=1&amp;query=-30.9074948848348,-55.53973857437940</v>
      </c>
      <c r="G1919" s="27" t="str">
        <f t="array" ref="G1919">"https://earth.google.com/web/search/" &amp; A1919 &amp; "," &amp; B1919</f>
        <v>https://earth.google.com/web/search/-30.9074948848348,-55.53973857437940</v>
      </c>
      <c r="H1919" s="12"/>
      <c r="I1919" s="12"/>
      <c r="J1919" s="12"/>
      <c r="K1919" s="12"/>
      <c r="L1919" s="12"/>
      <c r="M1919" s="12"/>
      <c r="N1919" s="12"/>
      <c r="O1919" s="12"/>
      <c r="P1919" s="12"/>
      <c r="Q1919" s="12"/>
      <c r="R1919" s="12"/>
      <c r="S1919" s="12"/>
      <c r="T1919" s="12"/>
      <c r="U1919" s="12"/>
      <c r="V1919" s="12"/>
      <c r="W1919" s="12"/>
      <c r="X1919" s="12"/>
      <c r="Y1919" s="12"/>
      <c r="Z1919" s="12"/>
      <c r="AA1919" s="12"/>
    </row>
    <row r="1920" ht="26.25" customHeight="1">
      <c r="A1920" s="26" t="s">
        <v>3850</v>
      </c>
      <c r="B1920" s="26" t="s">
        <v>3851</v>
      </c>
      <c r="C1920" s="14">
        <v>2.0</v>
      </c>
      <c r="D1920" s="23">
        <v>334.0</v>
      </c>
      <c r="E1920" s="23">
        <v>8.0</v>
      </c>
      <c r="F1920" s="27" t="str">
        <f t="array" ref="F1920">"https://www.google.com/maps/search/?api=1&amp;query=" &amp; A1920 &amp; "," &amp; B1920</f>
        <v>https://www.google.com/maps/search/?api=1&amp;query=-30.9075378773290,-55.53963990887880</v>
      </c>
      <c r="G1920" s="27" t="str">
        <f t="array" ref="G1920">"https://earth.google.com/web/search/" &amp; A1920 &amp; "," &amp; B1920</f>
        <v>https://earth.google.com/web/search/-30.9075378773290,-55.53963990887880</v>
      </c>
      <c r="H1920" s="12"/>
      <c r="I1920" s="12"/>
      <c r="J1920" s="12"/>
      <c r="K1920" s="12"/>
      <c r="L1920" s="12"/>
      <c r="M1920" s="12"/>
      <c r="N1920" s="12"/>
      <c r="O1920" s="12"/>
      <c r="P1920" s="12"/>
      <c r="Q1920" s="12"/>
      <c r="R1920" s="12"/>
      <c r="S1920" s="12"/>
      <c r="T1920" s="12"/>
      <c r="U1920" s="12"/>
      <c r="V1920" s="12"/>
      <c r="W1920" s="12"/>
      <c r="X1920" s="12"/>
      <c r="Y1920" s="12"/>
      <c r="Z1920" s="12"/>
      <c r="AA1920" s="12"/>
    </row>
    <row r="1921" ht="26.25" customHeight="1">
      <c r="A1921" s="26" t="s">
        <v>3852</v>
      </c>
      <c r="B1921" s="26" t="s">
        <v>3853</v>
      </c>
      <c r="C1921" s="14">
        <v>2.0</v>
      </c>
      <c r="D1921" s="23">
        <v>334.0</v>
      </c>
      <c r="E1921" s="23">
        <v>9.0</v>
      </c>
      <c r="F1921" s="27" t="str">
        <f t="array" ref="F1921">"https://www.google.com/maps/search/?api=1&amp;query=" &amp; A1921 &amp; "," &amp; B1921</f>
        <v>https://www.google.com/maps/search/?api=1&amp;query=-30.9076153472853,-55.53948172676400</v>
      </c>
      <c r="G1921" s="27" t="str">
        <f t="array" ref="G1921">"https://earth.google.com/web/search/" &amp; A1921 &amp; "," &amp; B1921</f>
        <v>https://earth.google.com/web/search/-30.9076153472853,-55.53948172676400</v>
      </c>
      <c r="H1921" s="12"/>
      <c r="I1921" s="12"/>
      <c r="J1921" s="12"/>
      <c r="K1921" s="12"/>
      <c r="L1921" s="12"/>
      <c r="M1921" s="12"/>
      <c r="N1921" s="12"/>
      <c r="O1921" s="12"/>
      <c r="P1921" s="12"/>
      <c r="Q1921" s="12"/>
      <c r="R1921" s="12"/>
      <c r="S1921" s="12"/>
      <c r="T1921" s="12"/>
      <c r="U1921" s="12"/>
      <c r="V1921" s="12"/>
      <c r="W1921" s="12"/>
      <c r="X1921" s="12"/>
      <c r="Y1921" s="12"/>
      <c r="Z1921" s="12"/>
      <c r="AA1921" s="12"/>
    </row>
    <row r="1922" ht="26.25" customHeight="1">
      <c r="A1922" s="26" t="s">
        <v>3854</v>
      </c>
      <c r="B1922" s="26" t="s">
        <v>3855</v>
      </c>
      <c r="C1922" s="14">
        <v>2.0</v>
      </c>
      <c r="D1922" s="23">
        <v>334.0</v>
      </c>
      <c r="E1922" s="23">
        <v>10.0</v>
      </c>
      <c r="F1922" s="27" t="str">
        <f t="array" ref="F1922">"https://www.google.com/maps/search/?api=1&amp;query=" &amp; A1922 &amp; "," &amp; B1922</f>
        <v>https://www.google.com/maps/search/?api=1&amp;query=-30.9077232108455,-5.55392407650193</v>
      </c>
      <c r="G1922" s="27" t="str">
        <f t="array" ref="G1922">"https://earth.google.com/web/search/" &amp; A1922 &amp; "," &amp; B1922</f>
        <v>https://earth.google.com/web/search/-30.9077232108455,-5.55392407650193</v>
      </c>
      <c r="H1922" s="12"/>
      <c r="I1922" s="12"/>
      <c r="J1922" s="12"/>
      <c r="K1922" s="12"/>
      <c r="L1922" s="12"/>
      <c r="M1922" s="12"/>
      <c r="N1922" s="12"/>
      <c r="O1922" s="12"/>
      <c r="P1922" s="12"/>
      <c r="Q1922" s="12"/>
      <c r="R1922" s="12"/>
      <c r="S1922" s="12"/>
      <c r="T1922" s="12"/>
      <c r="U1922" s="12"/>
      <c r="V1922" s="12"/>
      <c r="W1922" s="12"/>
      <c r="X1922" s="12"/>
      <c r="Y1922" s="12"/>
      <c r="Z1922" s="12"/>
      <c r="AA1922" s="12"/>
    </row>
    <row r="1923" ht="26.25" customHeight="1">
      <c r="A1923" s="26" t="s">
        <v>3856</v>
      </c>
      <c r="B1923" s="26" t="s">
        <v>3857</v>
      </c>
      <c r="C1923" s="14">
        <v>2.0</v>
      </c>
      <c r="D1923" s="23">
        <v>334.0</v>
      </c>
      <c r="E1923" s="23">
        <v>11.0</v>
      </c>
      <c r="F1923" s="27" t="str">
        <f t="array" ref="F1923">"https://www.google.com/maps/search/?api=1&amp;query=" &amp; A1923 &amp; "," &amp; B1923</f>
        <v>https://www.google.com/maps/search/?api=1&amp;query=-30.9076643141159,-55.53920019501480</v>
      </c>
      <c r="G1923" s="27" t="str">
        <f t="array" ref="G1923">"https://earth.google.com/web/search/" &amp; A1923 &amp; "," &amp; B1923</f>
        <v>https://earth.google.com/web/search/-30.9076643141159,-55.53920019501480</v>
      </c>
      <c r="H1923" s="12"/>
      <c r="I1923" s="12"/>
      <c r="J1923" s="12"/>
      <c r="K1923" s="12"/>
      <c r="L1923" s="12"/>
      <c r="M1923" s="12"/>
      <c r="N1923" s="12"/>
      <c r="O1923" s="12"/>
      <c r="P1923" s="12"/>
      <c r="Q1923" s="12"/>
      <c r="R1923" s="12"/>
      <c r="S1923" s="12"/>
      <c r="T1923" s="12"/>
      <c r="U1923" s="12"/>
      <c r="V1923" s="12"/>
      <c r="W1923" s="12"/>
      <c r="X1923" s="12"/>
      <c r="Y1923" s="12"/>
      <c r="Z1923" s="12"/>
      <c r="AA1923" s="12"/>
    </row>
    <row r="1924" ht="26.25" customHeight="1">
      <c r="A1924" s="26" t="s">
        <v>3858</v>
      </c>
      <c r="B1924" s="26" t="s">
        <v>3859</v>
      </c>
      <c r="C1924" s="14">
        <v>2.0</v>
      </c>
      <c r="D1924" s="23">
        <v>334.0</v>
      </c>
      <c r="E1924" s="23">
        <v>12.0</v>
      </c>
      <c r="F1924" s="27" t="str">
        <f t="array" ref="F1924">"https://www.google.com/maps/search/?api=1&amp;query=" &amp; A1924 &amp; "," &amp; B1924</f>
        <v>https://www.google.com/maps/search/?api=1&amp;query=-30.9075911723391,-55.53914179910050</v>
      </c>
      <c r="G1924" s="27" t="str">
        <f t="array" ref="G1924">"https://earth.google.com/web/search/" &amp; A1924 &amp; "," &amp; B1924</f>
        <v>https://earth.google.com/web/search/-30.9075911723391,-55.53914179910050</v>
      </c>
      <c r="H1924" s="12"/>
      <c r="I1924" s="12"/>
      <c r="J1924" s="12"/>
      <c r="K1924" s="12"/>
      <c r="L1924" s="12"/>
      <c r="M1924" s="12"/>
      <c r="N1924" s="12"/>
      <c r="O1924" s="12"/>
      <c r="P1924" s="12"/>
      <c r="Q1924" s="12"/>
      <c r="R1924" s="12"/>
      <c r="S1924" s="12"/>
      <c r="T1924" s="12"/>
      <c r="U1924" s="12"/>
      <c r="V1924" s="12"/>
      <c r="W1924" s="12"/>
      <c r="X1924" s="12"/>
      <c r="Y1924" s="12"/>
      <c r="Z1924" s="12"/>
      <c r="AA1924" s="12"/>
    </row>
    <row r="1925" ht="26.25" customHeight="1">
      <c r="A1925" s="26" t="s">
        <v>3860</v>
      </c>
      <c r="B1925" s="26" t="s">
        <v>3861</v>
      </c>
      <c r="C1925" s="14">
        <v>2.0</v>
      </c>
      <c r="D1925" s="23">
        <v>334.0</v>
      </c>
      <c r="E1925" s="23">
        <v>13.0</v>
      </c>
      <c r="F1925" s="27" t="str">
        <f t="array" ref="F1925">"https://www.google.com/maps/search/?api=1&amp;query=" &amp; A1925 &amp; "," &amp; B1925</f>
        <v>https://www.google.com/maps/search/?api=1&amp;query=-30.9074437101511,-55.53905624510340</v>
      </c>
      <c r="G1925" s="27" t="str">
        <f t="array" ref="G1925">"https://earth.google.com/web/search/" &amp; A1925 &amp; "," &amp; B1925</f>
        <v>https://earth.google.com/web/search/-30.9074437101511,-55.53905624510340</v>
      </c>
      <c r="H1925" s="12"/>
      <c r="I1925" s="12"/>
      <c r="J1925" s="12"/>
      <c r="K1925" s="12"/>
      <c r="L1925" s="12"/>
      <c r="M1925" s="12"/>
      <c r="N1925" s="12"/>
      <c r="O1925" s="12"/>
      <c r="P1925" s="12"/>
      <c r="Q1925" s="12"/>
      <c r="R1925" s="12"/>
      <c r="S1925" s="12"/>
      <c r="T1925" s="12"/>
      <c r="U1925" s="12"/>
      <c r="V1925" s="12"/>
      <c r="W1925" s="12"/>
      <c r="X1925" s="12"/>
      <c r="Y1925" s="12"/>
      <c r="Z1925" s="12"/>
      <c r="AA1925" s="12"/>
    </row>
    <row r="1926" ht="26.25" customHeight="1">
      <c r="A1926" s="26" t="s">
        <v>3862</v>
      </c>
      <c r="B1926" s="26" t="s">
        <v>3863</v>
      </c>
      <c r="C1926" s="14">
        <v>2.0</v>
      </c>
      <c r="D1926" s="23">
        <v>334.0</v>
      </c>
      <c r="E1926" s="23">
        <v>14.0</v>
      </c>
      <c r="F1926" s="27" t="str">
        <f t="array" ref="F1926">"https://www.google.com/maps/search/?api=1&amp;query=" &amp; A1926 &amp; "," &amp; B1926</f>
        <v>https://www.google.com/maps/search/?api=1&amp;query=-30.9072067776012,-5.55388876637424</v>
      </c>
      <c r="G1926" s="27" t="str">
        <f t="array" ref="G1926">"https://earth.google.com/web/search/" &amp; A1926 &amp; "," &amp; B1926</f>
        <v>https://earth.google.com/web/search/-30.9072067776012,-5.55388876637424</v>
      </c>
      <c r="H1926" s="12"/>
      <c r="I1926" s="12"/>
      <c r="J1926" s="12"/>
      <c r="K1926" s="12"/>
      <c r="L1926" s="12"/>
      <c r="M1926" s="12"/>
      <c r="N1926" s="12"/>
      <c r="O1926" s="12"/>
      <c r="P1926" s="12"/>
      <c r="Q1926" s="12"/>
      <c r="R1926" s="12"/>
      <c r="S1926" s="12"/>
      <c r="T1926" s="12"/>
      <c r="U1926" s="12"/>
      <c r="V1926" s="12"/>
      <c r="W1926" s="12"/>
      <c r="X1926" s="12"/>
      <c r="Y1926" s="12"/>
      <c r="Z1926" s="12"/>
      <c r="AA1926" s="12"/>
    </row>
    <row r="1927" ht="26.25" customHeight="1">
      <c r="A1927" s="26" t="s">
        <v>3864</v>
      </c>
      <c r="B1927" s="26" t="s">
        <v>3865</v>
      </c>
      <c r="C1927" s="14">
        <v>2.0</v>
      </c>
      <c r="D1927" s="23">
        <v>334.0</v>
      </c>
      <c r="E1927" s="23">
        <v>15.0</v>
      </c>
      <c r="F1927" s="27" t="str">
        <f t="array" ref="F1927">"https://www.google.com/maps/search/?api=1&amp;query=" &amp; A1927 &amp; "," &amp; B1927</f>
        <v>https://www.google.com/maps/search/?api=1&amp;query=-30.9068976092871,-55.53900637265560</v>
      </c>
      <c r="G1927" s="27" t="str">
        <f t="array" ref="G1927">"https://earth.google.com/web/search/" &amp; A1927 &amp; "," &amp; B1927</f>
        <v>https://earth.google.com/web/search/-30.9068976092871,-55.53900637265560</v>
      </c>
      <c r="H1927" s="12"/>
      <c r="I1927" s="12"/>
      <c r="J1927" s="12"/>
      <c r="K1927" s="12"/>
      <c r="L1927" s="12"/>
      <c r="M1927" s="12"/>
      <c r="N1927" s="12"/>
      <c r="O1927" s="12"/>
      <c r="P1927" s="12"/>
      <c r="Q1927" s="12"/>
      <c r="R1927" s="12"/>
      <c r="S1927" s="12"/>
      <c r="T1927" s="12"/>
      <c r="U1927" s="12"/>
      <c r="V1927" s="12"/>
      <c r="W1927" s="12"/>
      <c r="X1927" s="12"/>
      <c r="Y1927" s="12"/>
      <c r="Z1927" s="12"/>
      <c r="AA1927" s="12"/>
    </row>
    <row r="1928" ht="26.25" customHeight="1">
      <c r="A1928" s="26" t="s">
        <v>3866</v>
      </c>
      <c r="B1928" s="26" t="s">
        <v>3867</v>
      </c>
      <c r="C1928" s="14">
        <v>2.0</v>
      </c>
      <c r="D1928" s="23">
        <v>334.0</v>
      </c>
      <c r="E1928" s="23">
        <v>16.0</v>
      </c>
      <c r="F1928" s="27" t="str">
        <f t="array" ref="F1928">"https://www.google.com/maps/search/?api=1&amp;query=" &amp; A1928 &amp; "," &amp; B1928</f>
        <v>https://www.google.com/maps/search/?api=1&amp;query=-30.9068512495173,-55.53911412744990</v>
      </c>
      <c r="G1928" s="27" t="str">
        <f t="array" ref="G1928">"https://earth.google.com/web/search/" &amp; A1928 &amp; "," &amp; B1928</f>
        <v>https://earth.google.com/web/search/-30.9068512495173,-55.53911412744990</v>
      </c>
      <c r="H1928" s="12"/>
      <c r="I1928" s="12"/>
      <c r="J1928" s="12"/>
      <c r="K1928" s="12"/>
      <c r="L1928" s="12"/>
      <c r="M1928" s="12"/>
      <c r="N1928" s="12"/>
      <c r="O1928" s="12"/>
      <c r="P1928" s="12"/>
      <c r="Q1928" s="12"/>
      <c r="R1928" s="12"/>
      <c r="S1928" s="12"/>
      <c r="T1928" s="12"/>
      <c r="U1928" s="12"/>
      <c r="V1928" s="12"/>
      <c r="W1928" s="12"/>
      <c r="X1928" s="12"/>
      <c r="Y1928" s="12"/>
      <c r="Z1928" s="12"/>
      <c r="AA1928" s="12"/>
    </row>
    <row r="1929" ht="26.25" customHeight="1">
      <c r="A1929" s="26" t="s">
        <v>3868</v>
      </c>
      <c r="B1929" s="26" t="s">
        <v>3869</v>
      </c>
      <c r="C1929" s="14">
        <v>2.0</v>
      </c>
      <c r="D1929" s="23">
        <v>334.0</v>
      </c>
      <c r="E1929" s="23">
        <v>16.0</v>
      </c>
      <c r="F1929" s="27" t="str">
        <f t="array" ref="F1929">"https://www.google.com/maps/search/?api=1&amp;query=" &amp; A1929 &amp; "," &amp; B1929</f>
        <v>https://www.google.com/maps/search/?api=1&amp;query=-30.9068139107749,-55.53918173944180</v>
      </c>
      <c r="G1929" s="27" t="str">
        <f t="array" ref="G1929">"https://earth.google.com/web/search/" &amp; A1929 &amp; "," &amp; B1929</f>
        <v>https://earth.google.com/web/search/-30.9068139107749,-55.53918173944180</v>
      </c>
      <c r="H1929" s="12"/>
      <c r="I1929" s="12"/>
      <c r="J1929" s="12"/>
      <c r="K1929" s="12"/>
      <c r="L1929" s="12"/>
      <c r="M1929" s="12"/>
      <c r="N1929" s="12"/>
      <c r="O1929" s="12"/>
      <c r="P1929" s="12"/>
      <c r="Q1929" s="12"/>
      <c r="R1929" s="12"/>
      <c r="S1929" s="12"/>
      <c r="T1929" s="12"/>
      <c r="U1929" s="12"/>
      <c r="V1929" s="12"/>
      <c r="W1929" s="12"/>
      <c r="X1929" s="12"/>
      <c r="Y1929" s="12"/>
      <c r="Z1929" s="12"/>
      <c r="AA1929" s="12"/>
    </row>
    <row r="1930" ht="26.25" customHeight="1">
      <c r="A1930" s="26" t="s">
        <v>3870</v>
      </c>
      <c r="B1930" s="26" t="s">
        <v>3871</v>
      </c>
      <c r="C1930" s="14">
        <v>2.0</v>
      </c>
      <c r="D1930" s="23">
        <v>487.0</v>
      </c>
      <c r="E1930" s="23">
        <v>1.0</v>
      </c>
      <c r="F1930" s="27" t="str">
        <f t="array" ref="F1930">"https://www.google.com/maps/search/?api=1&amp;query=" &amp; A1930 &amp; "," &amp; B1930</f>
        <v>https://www.google.com/maps/search/?api=1&amp;query=-30.9071874722003,-55.53849449975420</v>
      </c>
      <c r="G1930" s="27" t="str">
        <f t="array" ref="G1930">"https://earth.google.com/web/search/" &amp; A1930 &amp; "," &amp; B1930</f>
        <v>https://earth.google.com/web/search/-30.9071874722003,-55.53849449975420</v>
      </c>
      <c r="H1930" s="12"/>
      <c r="I1930" s="12"/>
      <c r="J1930" s="12"/>
      <c r="K1930" s="12"/>
      <c r="L1930" s="12"/>
      <c r="M1930" s="12"/>
      <c r="N1930" s="12"/>
      <c r="O1930" s="12"/>
      <c r="P1930" s="12"/>
      <c r="Q1930" s="12"/>
      <c r="R1930" s="12"/>
      <c r="S1930" s="12"/>
      <c r="T1930" s="12"/>
      <c r="U1930" s="12"/>
      <c r="V1930" s="12"/>
      <c r="W1930" s="12"/>
      <c r="X1930" s="12"/>
      <c r="Y1930" s="12"/>
      <c r="Z1930" s="12"/>
      <c r="AA1930" s="12"/>
    </row>
    <row r="1931" ht="26.25" customHeight="1">
      <c r="A1931" s="26" t="s">
        <v>3872</v>
      </c>
      <c r="B1931" s="26" t="s">
        <v>3873</v>
      </c>
      <c r="C1931" s="14">
        <v>2.0</v>
      </c>
      <c r="D1931" s="23">
        <v>487.0</v>
      </c>
      <c r="E1931" s="23">
        <v>2.0</v>
      </c>
      <c r="F1931" s="27" t="str">
        <f t="array" ref="F1931">"https://www.google.com/maps/search/?api=1&amp;query=" &amp; A1931 &amp; "," &amp; B1931</f>
        <v>https://www.google.com/maps/search/?api=1&amp;query=-30.9072321101634,-55.53859287966510</v>
      </c>
      <c r="G1931" s="27" t="str">
        <f t="array" ref="G1931">"https://earth.google.com/web/search/" &amp; A1931 &amp; "," &amp; B1931</f>
        <v>https://earth.google.com/web/search/-30.9072321101634,-55.53859287966510</v>
      </c>
      <c r="H1931" s="12"/>
      <c r="I1931" s="12"/>
      <c r="J1931" s="12"/>
      <c r="K1931" s="12"/>
      <c r="L1931" s="12"/>
      <c r="M1931" s="12"/>
      <c r="N1931" s="12"/>
      <c r="O1931" s="12"/>
      <c r="P1931" s="12"/>
      <c r="Q1931" s="12"/>
      <c r="R1931" s="12"/>
      <c r="S1931" s="12"/>
      <c r="T1931" s="12"/>
      <c r="U1931" s="12"/>
      <c r="V1931" s="12"/>
      <c r="W1931" s="12"/>
      <c r="X1931" s="12"/>
      <c r="Y1931" s="12"/>
      <c r="Z1931" s="12"/>
      <c r="AA1931" s="12"/>
    </row>
    <row r="1932" ht="26.25" customHeight="1">
      <c r="A1932" s="26" t="s">
        <v>3874</v>
      </c>
      <c r="B1932" s="26" t="s">
        <v>3875</v>
      </c>
      <c r="C1932" s="14">
        <v>2.0</v>
      </c>
      <c r="D1932" s="23">
        <v>487.0</v>
      </c>
      <c r="E1932" s="23">
        <v>3.0</v>
      </c>
      <c r="F1932" s="27" t="str">
        <f t="array" ref="F1932">"https://www.google.com/maps/search/?api=1&amp;query=" &amp; A1932 &amp; "," &amp; B1932</f>
        <v>https://www.google.com/maps/search/?api=1&amp;query=-30.9072965732702,-55.53862706815460</v>
      </c>
      <c r="G1932" s="27" t="str">
        <f t="array" ref="G1932">"https://earth.google.com/web/search/" &amp; A1932 &amp; "," &amp; B1932</f>
        <v>https://earth.google.com/web/search/-30.9072965732702,-55.53862706815460</v>
      </c>
      <c r="H1932" s="12"/>
      <c r="I1932" s="12"/>
      <c r="J1932" s="12"/>
      <c r="K1932" s="12"/>
      <c r="L1932" s="12"/>
      <c r="M1932" s="12"/>
      <c r="N1932" s="12"/>
      <c r="O1932" s="12"/>
      <c r="P1932" s="12"/>
      <c r="Q1932" s="12"/>
      <c r="R1932" s="12"/>
      <c r="S1932" s="12"/>
      <c r="T1932" s="12"/>
      <c r="U1932" s="12"/>
      <c r="V1932" s="12"/>
      <c r="W1932" s="12"/>
      <c r="X1932" s="12"/>
      <c r="Y1932" s="12"/>
      <c r="Z1932" s="12"/>
      <c r="AA1932" s="12"/>
    </row>
    <row r="1933" ht="26.25" customHeight="1">
      <c r="A1933" s="26" t="s">
        <v>3876</v>
      </c>
      <c r="B1933" s="26" t="s">
        <v>3877</v>
      </c>
      <c r="C1933" s="14">
        <v>2.0</v>
      </c>
      <c r="D1933" s="23">
        <v>487.0</v>
      </c>
      <c r="E1933" s="23">
        <v>4.0</v>
      </c>
      <c r="F1933" s="27" t="str">
        <f t="array" ref="F1933">"https://www.google.com/maps/search/?api=1&amp;query=" &amp; A1933 &amp; "," &amp; B1933</f>
        <v>https://www.google.com/maps/search/?api=1&amp;query=-30.9078656890094,-55.53903747907960</v>
      </c>
      <c r="G1933" s="27" t="str">
        <f t="array" ref="G1933">"https://earth.google.com/web/search/" &amp; A1933 &amp; "," &amp; B1933</f>
        <v>https://earth.google.com/web/search/-30.9078656890094,-55.53903747907960</v>
      </c>
      <c r="H1933" s="12"/>
      <c r="I1933" s="12"/>
      <c r="J1933" s="12"/>
      <c r="K1933" s="12"/>
      <c r="L1933" s="12"/>
      <c r="M1933" s="12"/>
      <c r="N1933" s="12"/>
      <c r="O1933" s="12"/>
      <c r="P1933" s="12"/>
      <c r="Q1933" s="12"/>
      <c r="R1933" s="12"/>
      <c r="S1933" s="12"/>
      <c r="T1933" s="12"/>
      <c r="U1933" s="12"/>
      <c r="V1933" s="12"/>
      <c r="W1933" s="12"/>
      <c r="X1933" s="12"/>
      <c r="Y1933" s="12"/>
      <c r="Z1933" s="12"/>
      <c r="AA1933" s="12"/>
    </row>
    <row r="1934" ht="26.25" customHeight="1">
      <c r="A1934" s="26" t="s">
        <v>3878</v>
      </c>
      <c r="B1934" s="26" t="s">
        <v>3879</v>
      </c>
      <c r="C1934" s="14">
        <v>2.0</v>
      </c>
      <c r="D1934" s="23">
        <v>487.0</v>
      </c>
      <c r="E1934" s="23">
        <v>5.0</v>
      </c>
      <c r="F1934" s="27" t="str">
        <f t="array" ref="F1934">"https://www.google.com/maps/search/?api=1&amp;query=" &amp; A1934 &amp; "," &amp; B1934</f>
        <v>https://www.google.com/maps/search/?api=1&amp;query=-30.9079732668565,-55.53886845868690</v>
      </c>
      <c r="G1934" s="27" t="str">
        <f t="array" ref="G1934">"https://earth.google.com/web/search/" &amp; A1934 &amp; "," &amp; B1934</f>
        <v>https://earth.google.com/web/search/-30.9079732668565,-55.53886845868690</v>
      </c>
      <c r="H1934" s="12"/>
      <c r="I1934" s="12"/>
      <c r="J1934" s="12"/>
      <c r="K1934" s="12"/>
      <c r="L1934" s="12"/>
      <c r="M1934" s="12"/>
      <c r="N1934" s="12"/>
      <c r="O1934" s="12"/>
      <c r="P1934" s="12"/>
      <c r="Q1934" s="12"/>
      <c r="R1934" s="12"/>
      <c r="S1934" s="12"/>
      <c r="T1934" s="12"/>
      <c r="U1934" s="12"/>
      <c r="V1934" s="12"/>
      <c r="W1934" s="12"/>
      <c r="X1934" s="12"/>
      <c r="Y1934" s="12"/>
      <c r="Z1934" s="12"/>
      <c r="AA1934" s="12"/>
    </row>
    <row r="1935" ht="26.25" customHeight="1">
      <c r="A1935" s="26" t="s">
        <v>3880</v>
      </c>
      <c r="B1935" s="26" t="s">
        <v>3881</v>
      </c>
      <c r="C1935" s="14">
        <v>2.0</v>
      </c>
      <c r="D1935" s="23">
        <v>487.0</v>
      </c>
      <c r="E1935" s="23">
        <v>6.0</v>
      </c>
      <c r="F1935" s="27" t="str">
        <f t="array" ref="F1935">"https://www.google.com/maps/search/?api=1&amp;query=" &amp; A1935 &amp; "," &amp; B1935</f>
        <v>https://www.google.com/maps/search/?api=1&amp;query=-30.9080251112686,-5.55388044644375</v>
      </c>
      <c r="G1935" s="27" t="str">
        <f t="array" ref="G1935">"https://earth.google.com/web/search/" &amp; A1935 &amp; "," &amp; B1935</f>
        <v>https://earth.google.com/web/search/-30.9080251112686,-5.55388044644375</v>
      </c>
      <c r="H1935" s="12"/>
      <c r="I1935" s="12"/>
      <c r="J1935" s="12"/>
      <c r="K1935" s="12"/>
      <c r="L1935" s="12"/>
      <c r="M1935" s="12"/>
      <c r="N1935" s="12"/>
      <c r="O1935" s="12"/>
      <c r="P1935" s="12"/>
      <c r="Q1935" s="12"/>
      <c r="R1935" s="12"/>
      <c r="S1935" s="12"/>
      <c r="T1935" s="12"/>
      <c r="U1935" s="12"/>
      <c r="V1935" s="12"/>
      <c r="W1935" s="12"/>
      <c r="X1935" s="12"/>
      <c r="Y1935" s="12"/>
      <c r="Z1935" s="12"/>
      <c r="AA1935" s="12"/>
    </row>
    <row r="1936" ht="26.25" customHeight="1">
      <c r="A1936" s="26" t="s">
        <v>3882</v>
      </c>
      <c r="B1936" s="26" t="s">
        <v>3883</v>
      </c>
      <c r="C1936" s="14">
        <v>2.0</v>
      </c>
      <c r="D1936" s="23">
        <v>487.0</v>
      </c>
      <c r="E1936" s="23">
        <v>7.0</v>
      </c>
      <c r="F1936" s="27" t="str">
        <f t="array" ref="F1936">"https://www.google.com/maps/search/?api=1&amp;query=" &amp; A1936 &amp; "," &amp; B1936</f>
        <v>https://www.google.com/maps/search/?api=1&amp;query=-30.9080863435974,-55.53868932142700</v>
      </c>
      <c r="G1936" s="27" t="str">
        <f t="array" ref="G1936">"https://earth.google.com/web/search/" &amp; A1936 &amp; "," &amp; B1936</f>
        <v>https://earth.google.com/web/search/-30.9080863435974,-55.53868932142700</v>
      </c>
      <c r="H1936" s="12"/>
      <c r="I1936" s="12"/>
      <c r="J1936" s="12"/>
      <c r="K1936" s="12"/>
      <c r="L1936" s="12"/>
      <c r="M1936" s="12"/>
      <c r="N1936" s="12"/>
      <c r="O1936" s="12"/>
      <c r="P1936" s="12"/>
      <c r="Q1936" s="12"/>
      <c r="R1936" s="12"/>
      <c r="S1936" s="12"/>
      <c r="T1936" s="12"/>
      <c r="U1936" s="12"/>
      <c r="V1936" s="12"/>
      <c r="W1936" s="12"/>
      <c r="X1936" s="12"/>
      <c r="Y1936" s="12"/>
      <c r="Z1936" s="12"/>
      <c r="AA1936" s="12"/>
    </row>
    <row r="1937" ht="26.25" customHeight="1">
      <c r="A1937" s="26" t="s">
        <v>3884</v>
      </c>
      <c r="B1937" s="26" t="s">
        <v>3885</v>
      </c>
      <c r="C1937" s="14">
        <v>2.0</v>
      </c>
      <c r="D1937" s="23">
        <v>487.0</v>
      </c>
      <c r="E1937" s="23">
        <v>8.0</v>
      </c>
      <c r="F1937" s="27" t="str">
        <f t="array" ref="F1937">"https://www.google.com/maps/search/?api=1&amp;query=" &amp; A1937 &amp; "," &amp; B1937</f>
        <v>https://www.google.com/maps/search/?api=1&amp;query=-30.9081526104645,-55.53851245530610</v>
      </c>
      <c r="G1937" s="27" t="str">
        <f t="array" ref="G1937">"https://earth.google.com/web/search/" &amp; A1937 &amp; "," &amp; B1937</f>
        <v>https://earth.google.com/web/search/-30.9081526104645,-55.53851245530610</v>
      </c>
      <c r="H1937" s="12"/>
      <c r="I1937" s="12"/>
      <c r="J1937" s="12"/>
      <c r="K1937" s="12"/>
      <c r="L1937" s="12"/>
      <c r="M1937" s="12"/>
      <c r="N1937" s="12"/>
      <c r="O1937" s="12"/>
      <c r="P1937" s="12"/>
      <c r="Q1937" s="12"/>
      <c r="R1937" s="12"/>
      <c r="S1937" s="12"/>
      <c r="T1937" s="12"/>
      <c r="U1937" s="12"/>
      <c r="V1937" s="12"/>
      <c r="W1937" s="12"/>
      <c r="X1937" s="12"/>
      <c r="Y1937" s="12"/>
      <c r="Z1937" s="12"/>
      <c r="AA1937" s="12"/>
    </row>
    <row r="1938" ht="26.25" customHeight="1">
      <c r="A1938" s="26" t="s">
        <v>3886</v>
      </c>
      <c r="B1938" s="26" t="s">
        <v>3887</v>
      </c>
      <c r="C1938" s="14">
        <v>2.0</v>
      </c>
      <c r="D1938" s="23">
        <v>487.0</v>
      </c>
      <c r="E1938" s="23">
        <v>9.0</v>
      </c>
      <c r="F1938" s="27" t="str">
        <f t="array" ref="F1938">"https://www.google.com/maps/search/?api=1&amp;query=" &amp; A1938 &amp; "," &amp; B1938</f>
        <v>https://www.google.com/maps/search/?api=1&amp;query=-30.9081747135611,-55.53833216187170</v>
      </c>
      <c r="G1938" s="27" t="str">
        <f t="array" ref="G1938">"https://earth.google.com/web/search/" &amp; A1938 &amp; "," &amp; B1938</f>
        <v>https://earth.google.com/web/search/-30.9081747135611,-55.53833216187170</v>
      </c>
      <c r="H1938" s="12"/>
      <c r="I1938" s="12"/>
      <c r="J1938" s="12"/>
      <c r="K1938" s="12"/>
      <c r="L1938" s="12"/>
      <c r="M1938" s="12"/>
      <c r="N1938" s="12"/>
      <c r="O1938" s="12"/>
      <c r="P1938" s="12"/>
      <c r="Q1938" s="12"/>
      <c r="R1938" s="12"/>
      <c r="S1938" s="12"/>
      <c r="T1938" s="12"/>
      <c r="U1938" s="12"/>
      <c r="V1938" s="12"/>
      <c r="W1938" s="12"/>
      <c r="X1938" s="12"/>
      <c r="Y1938" s="12"/>
      <c r="Z1938" s="12"/>
      <c r="AA1938" s="12"/>
    </row>
    <row r="1939" ht="26.25" customHeight="1">
      <c r="A1939" s="26" t="s">
        <v>3888</v>
      </c>
      <c r="B1939" s="26" t="s">
        <v>3889</v>
      </c>
      <c r="C1939" s="14">
        <v>2.0</v>
      </c>
      <c r="D1939" s="23">
        <v>487.0</v>
      </c>
      <c r="E1939" s="23">
        <v>10.0</v>
      </c>
      <c r="F1939" s="27" t="str">
        <f t="array" ref="F1939">"https://www.google.com/maps/search/?api=1&amp;query=" &amp; A1939 &amp; "," &amp; B1939</f>
        <v>https://www.google.com/maps/search/?api=1&amp;query=-3.0908038182837,-55.53824583688240</v>
      </c>
      <c r="G1939" s="27" t="str">
        <f t="array" ref="G1939">"https://earth.google.com/web/search/" &amp; A1939 &amp; "," &amp; B1939</f>
        <v>https://earth.google.com/web/search/-3.0908038182837,-55.53824583688240</v>
      </c>
      <c r="H1939" s="12"/>
      <c r="I1939" s="12"/>
      <c r="J1939" s="12"/>
      <c r="K1939" s="12"/>
      <c r="L1939" s="12"/>
      <c r="M1939" s="12"/>
      <c r="N1939" s="12"/>
      <c r="O1939" s="12"/>
      <c r="P1939" s="12"/>
      <c r="Q1939" s="12"/>
      <c r="R1939" s="12"/>
      <c r="S1939" s="12"/>
      <c r="T1939" s="12"/>
      <c r="U1939" s="12"/>
      <c r="V1939" s="12"/>
      <c r="W1939" s="12"/>
      <c r="X1939" s="12"/>
      <c r="Y1939" s="12"/>
      <c r="Z1939" s="12"/>
      <c r="AA1939" s="12"/>
    </row>
    <row r="1940" ht="26.25" customHeight="1">
      <c r="A1940" s="26" t="s">
        <v>3890</v>
      </c>
      <c r="B1940" s="26" t="s">
        <v>3891</v>
      </c>
      <c r="C1940" s="14">
        <v>2.0</v>
      </c>
      <c r="D1940" s="23">
        <v>488.0</v>
      </c>
      <c r="E1940" s="23">
        <v>1.0</v>
      </c>
      <c r="F1940" s="27" t="str">
        <f t="array" ref="F1940">"https://www.google.com/maps/search/?api=1&amp;query=" &amp; A1940 &amp; "," &amp; B1940</f>
        <v>https://www.google.com/maps/search/?api=1&amp;query=-30.9075839197517,-55.53777893528010</v>
      </c>
      <c r="G1940" s="27" t="str">
        <f t="array" ref="G1940">"https://earth.google.com/web/search/" &amp; A1940 &amp; "," &amp; B1940</f>
        <v>https://earth.google.com/web/search/-30.9075839197517,-55.53777893528010</v>
      </c>
      <c r="H1940" s="12"/>
      <c r="I1940" s="12"/>
      <c r="J1940" s="12"/>
      <c r="K1940" s="12"/>
      <c r="L1940" s="12"/>
      <c r="M1940" s="12"/>
      <c r="N1940" s="12"/>
      <c r="O1940" s="12"/>
      <c r="P1940" s="12"/>
      <c r="Q1940" s="12"/>
      <c r="R1940" s="12"/>
      <c r="S1940" s="12"/>
      <c r="T1940" s="12"/>
      <c r="U1940" s="12"/>
      <c r="V1940" s="12"/>
      <c r="W1940" s="12"/>
      <c r="X1940" s="12"/>
      <c r="Y1940" s="12"/>
      <c r="Z1940" s="12"/>
      <c r="AA1940" s="12"/>
    </row>
    <row r="1941" ht="26.25" customHeight="1">
      <c r="A1941" s="26" t="s">
        <v>3892</v>
      </c>
      <c r="B1941" s="26" t="s">
        <v>3893</v>
      </c>
      <c r="C1941" s="14">
        <v>2.0</v>
      </c>
      <c r="D1941" s="23">
        <v>488.0</v>
      </c>
      <c r="E1941" s="23">
        <v>2.0</v>
      </c>
      <c r="F1941" s="27" t="str">
        <f t="array" ref="F1941">"https://www.google.com/maps/search/?api=1&amp;query=" &amp; A1941 &amp; "," &amp; B1941</f>
        <v>https://www.google.com/maps/search/?api=1&amp;query=-30.9076934328550,-55.53787644178570</v>
      </c>
      <c r="G1941" s="27" t="str">
        <f t="array" ref="G1941">"https://earth.google.com/web/search/" &amp; A1941 &amp; "," &amp; B1941</f>
        <v>https://earth.google.com/web/search/-30.9076934328550,-55.53787644178570</v>
      </c>
      <c r="H1941" s="12"/>
      <c r="I1941" s="12"/>
      <c r="J1941" s="12"/>
      <c r="K1941" s="12"/>
      <c r="L1941" s="12"/>
      <c r="M1941" s="12"/>
      <c r="N1941" s="12"/>
      <c r="O1941" s="12"/>
      <c r="P1941" s="12"/>
      <c r="Q1941" s="12"/>
      <c r="R1941" s="12"/>
      <c r="S1941" s="12"/>
      <c r="T1941" s="12"/>
      <c r="U1941" s="12"/>
      <c r="V1941" s="12"/>
      <c r="W1941" s="12"/>
      <c r="X1941" s="12"/>
      <c r="Y1941" s="12"/>
      <c r="Z1941" s="12"/>
      <c r="AA1941" s="12"/>
    </row>
    <row r="1942" ht="26.25" customHeight="1">
      <c r="A1942" s="26" t="s">
        <v>3894</v>
      </c>
      <c r="B1942" s="26" t="s">
        <v>3895</v>
      </c>
      <c r="C1942" s="14">
        <v>2.0</v>
      </c>
      <c r="D1942" s="23">
        <v>488.0</v>
      </c>
      <c r="E1942" s="23">
        <v>3.0</v>
      </c>
      <c r="F1942" s="27" t="str">
        <f t="array" ref="F1942">"https://www.google.com/maps/search/?api=1&amp;query=" &amp; A1942 &amp; "," &amp; B1942</f>
        <v>https://www.google.com/maps/search/?api=1&amp;query=-30.9077614699812,-55.53791006356830</v>
      </c>
      <c r="G1942" s="27" t="str">
        <f t="array" ref="G1942">"https://earth.google.com/web/search/" &amp; A1942 &amp; "," &amp; B1942</f>
        <v>https://earth.google.com/web/search/-30.9077614699812,-55.53791006356830</v>
      </c>
      <c r="H1942" s="12"/>
      <c r="I1942" s="12"/>
      <c r="J1942" s="12"/>
      <c r="K1942" s="12"/>
      <c r="L1942" s="12"/>
      <c r="M1942" s="12"/>
      <c r="N1942" s="12"/>
      <c r="O1942" s="12"/>
      <c r="P1942" s="12"/>
      <c r="Q1942" s="12"/>
      <c r="R1942" s="12"/>
      <c r="S1942" s="12"/>
      <c r="T1942" s="12"/>
      <c r="U1942" s="12"/>
      <c r="V1942" s="12"/>
      <c r="W1942" s="12"/>
      <c r="X1942" s="12"/>
      <c r="Y1942" s="12"/>
      <c r="Z1942" s="12"/>
      <c r="AA1942" s="12"/>
    </row>
    <row r="1943" ht="26.25" customHeight="1">
      <c r="A1943" s="26" t="s">
        <v>3896</v>
      </c>
      <c r="B1943" s="26" t="s">
        <v>3897</v>
      </c>
      <c r="C1943" s="14">
        <v>2.0</v>
      </c>
      <c r="D1943" s="23">
        <v>488.0</v>
      </c>
      <c r="E1943" s="23">
        <v>4.0</v>
      </c>
      <c r="F1943" s="27" t="str">
        <f t="array" ref="F1943">"https://www.google.com/maps/search/?api=1&amp;query=" &amp; A1943 &amp; "," &amp; B1943</f>
        <v>https://www.google.com/maps/search/?api=1&amp;query=-30.9078573144382,-5.55380003001757</v>
      </c>
      <c r="G1943" s="27" t="str">
        <f t="array" ref="G1943">"https://earth.google.com/web/search/" &amp; A1943 &amp; "," &amp; B1943</f>
        <v>https://earth.google.com/web/search/-30.9078573144382,-5.55380003001757</v>
      </c>
      <c r="H1943" s="12"/>
      <c r="I1943" s="12"/>
      <c r="J1943" s="12"/>
      <c r="K1943" s="12"/>
      <c r="L1943" s="12"/>
      <c r="M1943" s="12"/>
      <c r="N1943" s="12"/>
      <c r="O1943" s="12"/>
      <c r="P1943" s="12"/>
      <c r="Q1943" s="12"/>
      <c r="R1943" s="12"/>
      <c r="S1943" s="12"/>
      <c r="T1943" s="12"/>
      <c r="U1943" s="12"/>
      <c r="V1943" s="12"/>
      <c r="W1943" s="12"/>
      <c r="X1943" s="12"/>
      <c r="Y1943" s="12"/>
      <c r="Z1943" s="12"/>
      <c r="AA1943" s="12"/>
    </row>
    <row r="1944" ht="26.25" customHeight="1">
      <c r="A1944" s="26" t="s">
        <v>3898</v>
      </c>
      <c r="B1944" s="26" t="s">
        <v>3899</v>
      </c>
      <c r="C1944" s="14">
        <v>2.0</v>
      </c>
      <c r="D1944" s="23">
        <v>488.0</v>
      </c>
      <c r="E1944" s="23">
        <v>5.0</v>
      </c>
      <c r="F1944" s="27" t="str">
        <f t="array" ref="F1944">"https://www.google.com/maps/search/?api=1&amp;query=" &amp; A1944 &amp; "," &amp; B1944</f>
        <v>https://www.google.com/maps/search/?api=1&amp;query=-30.9078999733690,-55.53804085721210</v>
      </c>
      <c r="G1944" s="27" t="str">
        <f t="array" ref="G1944">"https://earth.google.com/web/search/" &amp; A1944 &amp; "," &amp; B1944</f>
        <v>https://earth.google.com/web/search/-30.9078999733690,-55.53804085721210</v>
      </c>
      <c r="H1944" s="12"/>
      <c r="I1944" s="12"/>
      <c r="J1944" s="12"/>
      <c r="K1944" s="12"/>
      <c r="L1944" s="12"/>
      <c r="M1944" s="12"/>
      <c r="N1944" s="12"/>
      <c r="O1944" s="12"/>
      <c r="P1944" s="12"/>
      <c r="Q1944" s="12"/>
      <c r="R1944" s="12"/>
      <c r="S1944" s="12"/>
      <c r="T1944" s="12"/>
      <c r="U1944" s="12"/>
      <c r="V1944" s="12"/>
      <c r="W1944" s="12"/>
      <c r="X1944" s="12"/>
      <c r="Y1944" s="12"/>
      <c r="Z1944" s="12"/>
      <c r="AA1944" s="12"/>
    </row>
    <row r="1945" ht="26.25" customHeight="1">
      <c r="A1945" s="26" t="s">
        <v>3900</v>
      </c>
      <c r="B1945" s="26" t="s">
        <v>3901</v>
      </c>
      <c r="C1945" s="14">
        <v>2.0</v>
      </c>
      <c r="D1945" s="23">
        <v>488.0</v>
      </c>
      <c r="E1945" s="23">
        <v>6.0</v>
      </c>
      <c r="F1945" s="27" t="str">
        <f t="array" ref="F1945">"https://www.google.com/maps/search/?api=1&amp;query=" &amp; A1945 &amp; "," &amp; B1945</f>
        <v>https://www.google.com/maps/search/?api=1&amp;query=-30.9079632605790,-55.53804337288730</v>
      </c>
      <c r="G1945" s="27" t="str">
        <f t="array" ref="G1945">"https://earth.google.com/web/search/" &amp; A1945 &amp; "," &amp; B1945</f>
        <v>https://earth.google.com/web/search/-30.9079632605790,-55.53804337288730</v>
      </c>
      <c r="H1945" s="12"/>
      <c r="I1945" s="12"/>
      <c r="J1945" s="12"/>
      <c r="K1945" s="12"/>
      <c r="L1945" s="12"/>
      <c r="M1945" s="12"/>
      <c r="N1945" s="12"/>
      <c r="O1945" s="12"/>
      <c r="P1945" s="12"/>
      <c r="Q1945" s="12"/>
      <c r="R1945" s="12"/>
      <c r="S1945" s="12"/>
      <c r="T1945" s="12"/>
      <c r="U1945" s="12"/>
      <c r="V1945" s="12"/>
      <c r="W1945" s="12"/>
      <c r="X1945" s="12"/>
      <c r="Y1945" s="12"/>
      <c r="Z1945" s="12"/>
      <c r="AA1945" s="12"/>
    </row>
    <row r="1946" ht="26.25" customHeight="1">
      <c r="A1946" s="26" t="s">
        <v>3902</v>
      </c>
      <c r="B1946" s="26" t="s">
        <v>3903</v>
      </c>
      <c r="C1946" s="14">
        <v>2.0</v>
      </c>
      <c r="D1946" s="23">
        <v>488.0</v>
      </c>
      <c r="E1946" s="23">
        <v>7.0</v>
      </c>
      <c r="F1946" s="27" t="str">
        <f t="array" ref="F1946">"https://www.google.com/maps/search/?api=1&amp;query=" &amp; A1946 &amp; "," &amp; B1946</f>
        <v>https://www.google.com/maps/search/?api=1&amp;query=-30.9080304847924,-55.53808743097220</v>
      </c>
      <c r="G1946" s="27" t="str">
        <f t="array" ref="G1946">"https://earth.google.com/web/search/" &amp; A1946 &amp; "," &amp; B1946</f>
        <v>https://earth.google.com/web/search/-30.9080304847924,-55.53808743097220</v>
      </c>
      <c r="H1946" s="12"/>
      <c r="I1946" s="12"/>
      <c r="J1946" s="12"/>
      <c r="K1946" s="12"/>
      <c r="L1946" s="12"/>
      <c r="M1946" s="12"/>
      <c r="N1946" s="12"/>
      <c r="O1946" s="12"/>
      <c r="P1946" s="12"/>
      <c r="Q1946" s="12"/>
      <c r="R1946" s="12"/>
      <c r="S1946" s="12"/>
      <c r="T1946" s="12"/>
      <c r="U1946" s="12"/>
      <c r="V1946" s="12"/>
      <c r="W1946" s="12"/>
      <c r="X1946" s="12"/>
      <c r="Y1946" s="12"/>
      <c r="Z1946" s="12"/>
      <c r="AA1946" s="12"/>
    </row>
    <row r="1947" ht="26.25" customHeight="1">
      <c r="A1947" s="26" t="s">
        <v>3904</v>
      </c>
      <c r="B1947" s="26" t="s">
        <v>3905</v>
      </c>
      <c r="C1947" s="14">
        <v>2.0</v>
      </c>
      <c r="D1947" s="23">
        <v>488.0</v>
      </c>
      <c r="E1947" s="23">
        <v>8.0</v>
      </c>
      <c r="F1947" s="27" t="str">
        <f t="array" ref="F1947">"https://www.google.com/maps/search/?api=1&amp;query=" &amp; A1947 &amp; "," &amp; B1947</f>
        <v>https://www.google.com/maps/search/?api=1&amp;query=-30.9081109706709,-55.53815297703640</v>
      </c>
      <c r="G1947" s="27" t="str">
        <f t="array" ref="G1947">"https://earth.google.com/web/search/" &amp; A1947 &amp; "," &amp; B1947</f>
        <v>https://earth.google.com/web/search/-30.9081109706709,-55.53815297703640</v>
      </c>
      <c r="H1947" s="12"/>
      <c r="I1947" s="12"/>
      <c r="J1947" s="12"/>
      <c r="K1947" s="12"/>
      <c r="L1947" s="12"/>
      <c r="M1947" s="12"/>
      <c r="N1947" s="12"/>
      <c r="O1947" s="12"/>
      <c r="P1947" s="12"/>
      <c r="Q1947" s="12"/>
      <c r="R1947" s="12"/>
      <c r="S1947" s="12"/>
      <c r="T1947" s="12"/>
      <c r="U1947" s="12"/>
      <c r="V1947" s="12"/>
      <c r="W1947" s="12"/>
      <c r="X1947" s="12"/>
      <c r="Y1947" s="12"/>
      <c r="Z1947" s="12"/>
      <c r="AA1947" s="12"/>
    </row>
    <row r="1948" ht="26.25" customHeight="1">
      <c r="A1948" s="26" t="s">
        <v>3906</v>
      </c>
      <c r="B1948" s="26" t="s">
        <v>3907</v>
      </c>
      <c r="C1948" s="14">
        <v>2.0</v>
      </c>
      <c r="D1948" s="23">
        <v>488.0</v>
      </c>
      <c r="E1948" s="23">
        <v>9.0</v>
      </c>
      <c r="F1948" s="27" t="str">
        <f t="array" ref="F1948">"https://www.google.com/maps/search/?api=1&amp;query=" &amp; A1948 &amp; "," &amp; B1948</f>
        <v>https://www.google.com/maps/search/?api=1&amp;query=-30.9082103821806,-55.53825002262090</v>
      </c>
      <c r="G1948" s="27" t="str">
        <f t="array" ref="G1948">"https://earth.google.com/web/search/" &amp; A1948 &amp; "," &amp; B1948</f>
        <v>https://earth.google.com/web/search/-30.9082103821806,-55.53825002262090</v>
      </c>
      <c r="H1948" s="12"/>
      <c r="I1948" s="12"/>
      <c r="J1948" s="12"/>
      <c r="K1948" s="12"/>
      <c r="L1948" s="12"/>
      <c r="M1948" s="12"/>
      <c r="N1948" s="12"/>
      <c r="O1948" s="12"/>
      <c r="P1948" s="12"/>
      <c r="Q1948" s="12"/>
      <c r="R1948" s="12"/>
      <c r="S1948" s="12"/>
      <c r="T1948" s="12"/>
      <c r="U1948" s="12"/>
      <c r="V1948" s="12"/>
      <c r="W1948" s="12"/>
      <c r="X1948" s="12"/>
      <c r="Y1948" s="12"/>
      <c r="Z1948" s="12"/>
      <c r="AA1948" s="12"/>
    </row>
    <row r="1949" ht="26.25" customHeight="1">
      <c r="A1949" s="26" t="s">
        <v>3908</v>
      </c>
      <c r="B1949" s="26" t="s">
        <v>3909</v>
      </c>
      <c r="C1949" s="14">
        <v>2.0</v>
      </c>
      <c r="D1949" s="23">
        <v>488.0</v>
      </c>
      <c r="E1949" s="23">
        <v>10.0</v>
      </c>
      <c r="F1949" s="27" t="str">
        <f t="array" ref="F1949">"https://www.google.com/maps/search/?api=1&amp;query=" &amp; A1949 &amp; "," &amp; B1949</f>
        <v>https://www.google.com/maps/search/?api=1&amp;query=-30.9083172445533,-55.53822976313470</v>
      </c>
      <c r="G1949" s="27" t="str">
        <f t="array" ref="G1949">"https://earth.google.com/web/search/" &amp; A1949 &amp; "," &amp; B1949</f>
        <v>https://earth.google.com/web/search/-30.9083172445533,-55.53822976313470</v>
      </c>
      <c r="H1949" s="12"/>
      <c r="I1949" s="12"/>
      <c r="J1949" s="12"/>
      <c r="K1949" s="12"/>
      <c r="L1949" s="12"/>
      <c r="M1949" s="12"/>
      <c r="N1949" s="12"/>
      <c r="O1949" s="12"/>
      <c r="P1949" s="12"/>
      <c r="Q1949" s="12"/>
      <c r="R1949" s="12"/>
      <c r="S1949" s="12"/>
      <c r="T1949" s="12"/>
      <c r="U1949" s="12"/>
      <c r="V1949" s="12"/>
      <c r="W1949" s="12"/>
      <c r="X1949" s="12"/>
      <c r="Y1949" s="12"/>
      <c r="Z1949" s="12"/>
      <c r="AA1949" s="12"/>
    </row>
    <row r="1950" ht="26.25" customHeight="1">
      <c r="A1950" s="26" t="s">
        <v>3910</v>
      </c>
      <c r="B1950" s="26" t="s">
        <v>3911</v>
      </c>
      <c r="C1950" s="14">
        <v>2.0</v>
      </c>
      <c r="D1950" s="23">
        <v>488.0</v>
      </c>
      <c r="E1950" s="23">
        <v>11.0</v>
      </c>
      <c r="F1950" s="27" t="str">
        <f t="array" ref="F1950">"https://www.google.com/maps/search/?api=1&amp;query=" &amp; A1950 &amp; "," &amp; B1950</f>
        <v>https://www.google.com/maps/search/?api=1&amp;query=-30.9083489337653,-5.55381171180847</v>
      </c>
      <c r="G1950" s="27" t="str">
        <f t="array" ref="G1950">"https://earth.google.com/web/search/" &amp; A1950 &amp; "," &amp; B1950</f>
        <v>https://earth.google.com/web/search/-30.9083489337653,-5.55381171180847</v>
      </c>
      <c r="H1950" s="12"/>
      <c r="I1950" s="12"/>
      <c r="J1950" s="12"/>
      <c r="K1950" s="12"/>
      <c r="L1950" s="12"/>
      <c r="M1950" s="12"/>
      <c r="N1950" s="12"/>
      <c r="O1950" s="12"/>
      <c r="P1950" s="12"/>
      <c r="Q1950" s="12"/>
      <c r="R1950" s="12"/>
      <c r="S1950" s="12"/>
      <c r="T1950" s="12"/>
      <c r="U1950" s="12"/>
      <c r="V1950" s="12"/>
      <c r="W1950" s="12"/>
      <c r="X1950" s="12"/>
      <c r="Y1950" s="12"/>
      <c r="Z1950" s="12"/>
      <c r="AA1950" s="12"/>
    </row>
    <row r="1951" ht="26.25" customHeight="1">
      <c r="A1951" s="26" t="s">
        <v>3912</v>
      </c>
      <c r="B1951" s="26" t="s">
        <v>3913</v>
      </c>
      <c r="C1951" s="14">
        <v>2.0</v>
      </c>
      <c r="D1951" s="23">
        <v>488.0</v>
      </c>
      <c r="E1951" s="23">
        <v>12.0</v>
      </c>
      <c r="F1951" s="27" t="str">
        <f t="array" ref="F1951">"https://www.google.com/maps/search/?api=1&amp;query=" &amp; A1951 &amp; "," &amp; B1951</f>
        <v>https://www.google.com/maps/search/?api=1&amp;query=-30.9083942404715,-55.53805491474020</v>
      </c>
      <c r="G1951" s="27" t="str">
        <f t="array" ref="G1951">"https://earth.google.com/web/search/" &amp; A1951 &amp; "," &amp; B1951</f>
        <v>https://earth.google.com/web/search/-30.9083942404715,-55.53805491474020</v>
      </c>
      <c r="H1951" s="12"/>
      <c r="I1951" s="12"/>
      <c r="J1951" s="12"/>
      <c r="K1951" s="12"/>
      <c r="L1951" s="12"/>
      <c r="M1951" s="12"/>
      <c r="N1951" s="12"/>
      <c r="O1951" s="12"/>
      <c r="P1951" s="12"/>
      <c r="Q1951" s="12"/>
      <c r="R1951" s="12"/>
      <c r="S1951" s="12"/>
      <c r="T1951" s="12"/>
      <c r="U1951" s="12"/>
      <c r="V1951" s="12"/>
      <c r="W1951" s="12"/>
      <c r="X1951" s="12"/>
      <c r="Y1951" s="12"/>
      <c r="Z1951" s="12"/>
      <c r="AA1951" s="12"/>
    </row>
    <row r="1952" ht="26.25" customHeight="1">
      <c r="A1952" s="26" t="s">
        <v>3914</v>
      </c>
      <c r="B1952" s="26" t="s">
        <v>3915</v>
      </c>
      <c r="C1952" s="14">
        <v>2.0</v>
      </c>
      <c r="D1952" s="23">
        <v>488.0</v>
      </c>
      <c r="E1952" s="23">
        <v>13.0</v>
      </c>
      <c r="F1952" s="27" t="str">
        <f t="array" ref="F1952">"https://www.google.com/maps/search/?api=1&amp;query=" &amp; A1952 &amp; "," &amp; B1952</f>
        <v>https://www.google.com/maps/search/?api=1&amp;query=-30.9084462894125,-55.53747882897120</v>
      </c>
      <c r="G1952" s="27" t="str">
        <f t="array" ref="G1952">"https://earth.google.com/web/search/" &amp; A1952 &amp; "," &amp; B1952</f>
        <v>https://earth.google.com/web/search/-30.9084462894125,-55.53747882897120</v>
      </c>
      <c r="H1952" s="12"/>
      <c r="I1952" s="12"/>
      <c r="J1952" s="12"/>
      <c r="K1952" s="12"/>
      <c r="L1952" s="12"/>
      <c r="M1952" s="12"/>
      <c r="N1952" s="12"/>
      <c r="O1952" s="12"/>
      <c r="P1952" s="12"/>
      <c r="Q1952" s="12"/>
      <c r="R1952" s="12"/>
      <c r="S1952" s="12"/>
      <c r="T1952" s="12"/>
      <c r="U1952" s="12"/>
      <c r="V1952" s="12"/>
      <c r="W1952" s="12"/>
      <c r="X1952" s="12"/>
      <c r="Y1952" s="12"/>
      <c r="Z1952" s="12"/>
      <c r="AA1952" s="12"/>
    </row>
    <row r="1953" ht="26.25" customHeight="1">
      <c r="A1953" s="26" t="s">
        <v>3916</v>
      </c>
      <c r="B1953" s="26" t="s">
        <v>3917</v>
      </c>
      <c r="C1953" s="14">
        <v>2.0</v>
      </c>
      <c r="D1953" s="23">
        <v>488.0</v>
      </c>
      <c r="E1953" s="23">
        <v>14.0</v>
      </c>
      <c r="F1953" s="27" t="str">
        <f t="array" ref="F1953">"https://www.google.com/maps/search/?api=1&amp;query=" &amp; A1953 &amp; "," &amp; B1953</f>
        <v>https://www.google.com/maps/search/?api=1&amp;query=-30.9083661764538,-55.53743823704750</v>
      </c>
      <c r="G1953" s="27" t="str">
        <f t="array" ref="G1953">"https://earth.google.com/web/search/" &amp; A1953 &amp; "," &amp; B1953</f>
        <v>https://earth.google.com/web/search/-30.9083661764538,-55.53743823704750</v>
      </c>
      <c r="H1953" s="12"/>
      <c r="I1953" s="12"/>
      <c r="J1953" s="12"/>
      <c r="K1953" s="12"/>
      <c r="L1953" s="12"/>
      <c r="M1953" s="12"/>
      <c r="N1953" s="12"/>
      <c r="O1953" s="12"/>
      <c r="P1953" s="12"/>
      <c r="Q1953" s="12"/>
      <c r="R1953" s="12"/>
      <c r="S1953" s="12"/>
      <c r="T1953" s="12"/>
      <c r="U1953" s="12"/>
      <c r="V1953" s="12"/>
      <c r="W1953" s="12"/>
      <c r="X1953" s="12"/>
      <c r="Y1953" s="12"/>
      <c r="Z1953" s="12"/>
      <c r="AA1953" s="12"/>
    </row>
    <row r="1954" ht="26.25" customHeight="1">
      <c r="A1954" s="26" t="s">
        <v>3918</v>
      </c>
      <c r="B1954" s="26" t="s">
        <v>3919</v>
      </c>
      <c r="C1954" s="14">
        <v>2.0</v>
      </c>
      <c r="D1954" s="23">
        <v>488.0</v>
      </c>
      <c r="E1954" s="23">
        <v>15.0</v>
      </c>
      <c r="F1954" s="27" t="str">
        <f t="array" ref="F1954">"https://www.google.com/maps/search/?api=1&amp;query=" &amp; A1954 &amp; "," &amp; B1954</f>
        <v>https://www.google.com/maps/search/?api=1&amp;query=-3.0908130049086,-55.53725351902570</v>
      </c>
      <c r="G1954" s="27" t="str">
        <f t="array" ref="G1954">"https://earth.google.com/web/search/" &amp; A1954 &amp; "," &amp; B1954</f>
        <v>https://earth.google.com/web/search/-3.0908130049086,-55.53725351902570</v>
      </c>
      <c r="H1954" s="12"/>
      <c r="I1954" s="12"/>
      <c r="J1954" s="12"/>
      <c r="K1954" s="12"/>
      <c r="L1954" s="12"/>
      <c r="M1954" s="12"/>
      <c r="N1954" s="12"/>
      <c r="O1954" s="12"/>
      <c r="P1954" s="12"/>
      <c r="Q1954" s="12"/>
      <c r="R1954" s="12"/>
      <c r="S1954" s="12"/>
      <c r="T1954" s="12"/>
      <c r="U1954" s="12"/>
      <c r="V1954" s="12"/>
      <c r="W1954" s="12"/>
      <c r="X1954" s="12"/>
      <c r="Y1954" s="12"/>
      <c r="Z1954" s="12"/>
      <c r="AA1954" s="12"/>
    </row>
    <row r="1955" ht="26.25" customHeight="1">
      <c r="A1955" s="26" t="s">
        <v>3920</v>
      </c>
      <c r="B1955" s="26" t="s">
        <v>3921</v>
      </c>
      <c r="C1955" s="14">
        <v>2.0</v>
      </c>
      <c r="D1955" s="23">
        <v>488.0</v>
      </c>
      <c r="E1955" s="23">
        <v>16.0</v>
      </c>
      <c r="F1955" s="27" t="str">
        <f t="array" ref="F1955">"https://www.google.com/maps/search/?api=1&amp;query=" &amp; A1955 &amp; "," &amp; B1955</f>
        <v>https://www.google.com/maps/search/?api=1&amp;query=-30.9079695882589,-55.53714747685140</v>
      </c>
      <c r="G1955" s="27" t="str">
        <f t="array" ref="G1955">"https://earth.google.com/web/search/" &amp; A1955 &amp; "," &amp; B1955</f>
        <v>https://earth.google.com/web/search/-30.9079695882589,-55.53714747685140</v>
      </c>
      <c r="H1955" s="12"/>
      <c r="I1955" s="12"/>
      <c r="J1955" s="12"/>
      <c r="K1955" s="12"/>
      <c r="L1955" s="12"/>
      <c r="M1955" s="12"/>
      <c r="N1955" s="12"/>
      <c r="O1955" s="12"/>
      <c r="P1955" s="12"/>
      <c r="Q1955" s="12"/>
      <c r="R1955" s="12"/>
      <c r="S1955" s="12"/>
      <c r="T1955" s="12"/>
      <c r="U1955" s="12"/>
      <c r="V1955" s="12"/>
      <c r="W1955" s="12"/>
      <c r="X1955" s="12"/>
      <c r="Y1955" s="12"/>
      <c r="Z1955" s="12"/>
      <c r="AA1955" s="12"/>
    </row>
    <row r="1956" ht="26.25" customHeight="1">
      <c r="A1956" s="26" t="s">
        <v>3922</v>
      </c>
      <c r="B1956" s="26" t="s">
        <v>3923</v>
      </c>
      <c r="C1956" s="14">
        <v>2.0</v>
      </c>
      <c r="D1956" s="23">
        <v>488.0</v>
      </c>
      <c r="E1956" s="23">
        <v>17.0</v>
      </c>
      <c r="F1956" s="27" t="str">
        <f t="array" ref="F1956">"https://www.google.com/maps/search/?api=1&amp;query=" &amp; A1956 &amp; "," &amp; B1956</f>
        <v>https://www.google.com/maps/search/?api=1&amp;query=-30.9079016670764,-55.53715680886880</v>
      </c>
      <c r="G1956" s="27" t="str">
        <f t="array" ref="G1956">"https://earth.google.com/web/search/" &amp; A1956 &amp; "," &amp; B1956</f>
        <v>https://earth.google.com/web/search/-30.9079016670764,-55.53715680886880</v>
      </c>
      <c r="H1956" s="12"/>
      <c r="I1956" s="12"/>
      <c r="J1956" s="12"/>
      <c r="K1956" s="12"/>
      <c r="L1956" s="12"/>
      <c r="M1956" s="12"/>
      <c r="N1956" s="12"/>
      <c r="O1956" s="12"/>
      <c r="P1956" s="12"/>
      <c r="Q1956" s="12"/>
      <c r="R1956" s="12"/>
      <c r="S1956" s="12"/>
      <c r="T1956" s="12"/>
      <c r="U1956" s="12"/>
      <c r="V1956" s="12"/>
      <c r="W1956" s="12"/>
      <c r="X1956" s="12"/>
      <c r="Y1956" s="12"/>
      <c r="Z1956" s="12"/>
      <c r="AA1956" s="12"/>
    </row>
    <row r="1957" ht="26.25" customHeight="1">
      <c r="A1957" s="26" t="s">
        <v>3924</v>
      </c>
      <c r="B1957" s="26" t="s">
        <v>3925</v>
      </c>
      <c r="C1957" s="14">
        <v>2.0</v>
      </c>
      <c r="D1957" s="23">
        <v>488.0</v>
      </c>
      <c r="E1957" s="23">
        <v>18.0</v>
      </c>
      <c r="F1957" s="27" t="str">
        <f t="array" ref="F1957">"https://www.google.com/maps/search/?api=1&amp;query=" &amp; A1957 &amp; "," &amp; B1957</f>
        <v>https://www.google.com/maps/search/?api=1&amp;query=-30.9076974756985,-55.53752038965040</v>
      </c>
      <c r="G1957" s="27" t="str">
        <f t="array" ref="G1957">"https://earth.google.com/web/search/" &amp; A1957 &amp; "," &amp; B1957</f>
        <v>https://earth.google.com/web/search/-30.9076974756985,-55.53752038965040</v>
      </c>
      <c r="H1957" s="12"/>
      <c r="I1957" s="12"/>
      <c r="J1957" s="12"/>
      <c r="K1957" s="12"/>
      <c r="L1957" s="12"/>
      <c r="M1957" s="12"/>
      <c r="N1957" s="12"/>
      <c r="O1957" s="12"/>
      <c r="P1957" s="12"/>
      <c r="Q1957" s="12"/>
      <c r="R1957" s="12"/>
      <c r="S1957" s="12"/>
      <c r="T1957" s="12"/>
      <c r="U1957" s="12"/>
      <c r="V1957" s="12"/>
      <c r="W1957" s="12"/>
      <c r="X1957" s="12"/>
      <c r="Y1957" s="12"/>
      <c r="Z1957" s="12"/>
      <c r="AA1957" s="12"/>
    </row>
    <row r="1958" ht="26.25" customHeight="1">
      <c r="A1958" s="26" t="s">
        <v>3926</v>
      </c>
      <c r="B1958" s="26" t="s">
        <v>3927</v>
      </c>
      <c r="C1958" s="14">
        <v>2.0</v>
      </c>
      <c r="D1958" s="23">
        <v>1118.0</v>
      </c>
      <c r="E1958" s="23">
        <v>1.0</v>
      </c>
      <c r="F1958" s="27" t="str">
        <f t="array" ref="F1958">"https://www.google.com/maps/search/?api=1&amp;query=" &amp; A1958 &amp; "," &amp; B1958</f>
        <v>https://www.google.com/maps/search/?api=1&amp;query=-30.9081032977885,-55.53712453340220</v>
      </c>
      <c r="G1958" s="27" t="str">
        <f t="array" ref="G1958">"https://earth.google.com/web/search/" &amp; A1958 &amp; "," &amp; B1958</f>
        <v>https://earth.google.com/web/search/-30.9081032977885,-55.53712453340220</v>
      </c>
      <c r="H1958" s="12"/>
      <c r="I1958" s="12"/>
      <c r="J1958" s="12"/>
      <c r="K1958" s="12"/>
      <c r="L1958" s="12"/>
      <c r="M1958" s="12"/>
      <c r="N1958" s="12"/>
      <c r="O1958" s="12"/>
      <c r="P1958" s="12"/>
      <c r="Q1958" s="12"/>
      <c r="R1958" s="12"/>
      <c r="S1958" s="12"/>
      <c r="T1958" s="12"/>
      <c r="U1958" s="12"/>
      <c r="V1958" s="12"/>
      <c r="W1958" s="12"/>
      <c r="X1958" s="12"/>
      <c r="Y1958" s="12"/>
      <c r="Z1958" s="12"/>
      <c r="AA1958" s="12"/>
    </row>
    <row r="1959" ht="26.25" customHeight="1">
      <c r="A1959" s="26" t="s">
        <v>3928</v>
      </c>
      <c r="B1959" s="26" t="s">
        <v>3929</v>
      </c>
      <c r="C1959" s="14">
        <v>2.0</v>
      </c>
      <c r="D1959" s="23">
        <v>1118.0</v>
      </c>
      <c r="E1959" s="23">
        <v>2.0</v>
      </c>
      <c r="F1959" s="27" t="str">
        <f t="array" ref="F1959">"https://www.google.com/maps/search/?api=1&amp;query=" &amp; A1959 &amp; "," &amp; B1959</f>
        <v>https://www.google.com/maps/search/?api=1&amp;query=-30.9086807573204,-55.53747956900180</v>
      </c>
      <c r="G1959" s="27" t="str">
        <f t="array" ref="G1959">"https://earth.google.com/web/search/" &amp; A1959 &amp; "," &amp; B1959</f>
        <v>https://earth.google.com/web/search/-30.9086807573204,-55.53747956900180</v>
      </c>
      <c r="H1959" s="12"/>
      <c r="I1959" s="12"/>
      <c r="J1959" s="12"/>
      <c r="K1959" s="12"/>
      <c r="L1959" s="12"/>
      <c r="M1959" s="12"/>
      <c r="N1959" s="12"/>
      <c r="O1959" s="12"/>
      <c r="P1959" s="12"/>
      <c r="Q1959" s="12"/>
      <c r="R1959" s="12"/>
      <c r="S1959" s="12"/>
      <c r="T1959" s="12"/>
      <c r="U1959" s="12"/>
      <c r="V1959" s="12"/>
      <c r="W1959" s="12"/>
      <c r="X1959" s="12"/>
      <c r="Y1959" s="12"/>
      <c r="Z1959" s="12"/>
      <c r="AA1959" s="12"/>
    </row>
    <row r="1960" ht="26.25" customHeight="1">
      <c r="A1960" s="26" t="s">
        <v>3930</v>
      </c>
      <c r="B1960" s="26" t="s">
        <v>3931</v>
      </c>
      <c r="C1960" s="14">
        <v>2.0</v>
      </c>
      <c r="D1960" s="23">
        <v>1118.0</v>
      </c>
      <c r="E1960" s="23">
        <v>3.0</v>
      </c>
      <c r="F1960" s="27" t="str">
        <f t="array" ref="F1960">"https://www.google.com/maps/search/?api=1&amp;query=" &amp; A1960 &amp; "," &amp; B1960</f>
        <v>https://www.google.com/maps/search/?api=1&amp;query=-30.9086979275594,-55.53745046967640</v>
      </c>
      <c r="G1960" s="27" t="str">
        <f t="array" ref="G1960">"https://earth.google.com/web/search/" &amp; A1960 &amp; "," &amp; B1960</f>
        <v>https://earth.google.com/web/search/-30.9086979275594,-55.53745046967640</v>
      </c>
      <c r="H1960" s="12"/>
      <c r="I1960" s="12"/>
      <c r="J1960" s="12"/>
      <c r="K1960" s="12"/>
      <c r="L1960" s="12"/>
      <c r="M1960" s="12"/>
      <c r="N1960" s="12"/>
      <c r="O1960" s="12"/>
      <c r="P1960" s="12"/>
      <c r="Q1960" s="12"/>
      <c r="R1960" s="12"/>
      <c r="S1960" s="12"/>
      <c r="T1960" s="12"/>
      <c r="U1960" s="12"/>
      <c r="V1960" s="12"/>
      <c r="W1960" s="12"/>
      <c r="X1960" s="12"/>
      <c r="Y1960" s="12"/>
      <c r="Z1960" s="12"/>
      <c r="AA1960" s="12"/>
    </row>
    <row r="1961" ht="26.25" customHeight="1">
      <c r="A1961" s="26" t="s">
        <v>3932</v>
      </c>
      <c r="B1961" s="26" t="s">
        <v>3933</v>
      </c>
      <c r="C1961" s="14">
        <v>2.0</v>
      </c>
      <c r="D1961" s="23">
        <v>1118.0</v>
      </c>
      <c r="E1961" s="23">
        <v>4.0</v>
      </c>
      <c r="F1961" s="27" t="str">
        <f t="array" ref="F1961">"https://www.google.com/maps/search/?api=1&amp;query=" &amp; A1961 &amp; "," &amp; B1961</f>
        <v>https://www.google.com/maps/search/?api=1&amp;query=-30.9087159399512,-55.53741450519490</v>
      </c>
      <c r="G1961" s="27" t="str">
        <f t="array" ref="G1961">"https://earth.google.com/web/search/" &amp; A1961 &amp; "," &amp; B1961</f>
        <v>https://earth.google.com/web/search/-30.9087159399512,-55.53741450519490</v>
      </c>
      <c r="H1961" s="12"/>
      <c r="I1961" s="12"/>
      <c r="J1961" s="12"/>
      <c r="K1961" s="12"/>
      <c r="L1961" s="12"/>
      <c r="M1961" s="12"/>
      <c r="N1961" s="12"/>
      <c r="O1961" s="12"/>
      <c r="P1961" s="12"/>
      <c r="Q1961" s="12"/>
      <c r="R1961" s="12"/>
      <c r="S1961" s="12"/>
      <c r="T1961" s="12"/>
      <c r="U1961" s="12"/>
      <c r="V1961" s="12"/>
      <c r="W1961" s="12"/>
      <c r="X1961" s="12"/>
      <c r="Y1961" s="12"/>
      <c r="Z1961" s="12"/>
      <c r="AA1961" s="12"/>
    </row>
    <row r="1962" ht="26.25" customHeight="1">
      <c r="A1962" s="26" t="s">
        <v>3934</v>
      </c>
      <c r="B1962" s="26" t="s">
        <v>3935</v>
      </c>
      <c r="C1962" s="14">
        <v>2.0</v>
      </c>
      <c r="D1962" s="23">
        <v>1118.0</v>
      </c>
      <c r="E1962" s="23">
        <v>5.0</v>
      </c>
      <c r="F1962" s="27" t="str">
        <f t="array" ref="F1962">"https://www.google.com/maps/search/?api=1&amp;query=" &amp; A1962 &amp; "," &amp; B1962</f>
        <v>https://www.google.com/maps/search/?api=1&amp;query=-30.9087433158811,-55.53736978772040</v>
      </c>
      <c r="G1962" s="27" t="str">
        <f t="array" ref="G1962">"https://earth.google.com/web/search/" &amp; A1962 &amp; "," &amp; B1962</f>
        <v>https://earth.google.com/web/search/-30.9087433158811,-55.53736978772040</v>
      </c>
      <c r="H1962" s="12"/>
      <c r="I1962" s="12"/>
      <c r="J1962" s="12"/>
      <c r="K1962" s="12"/>
      <c r="L1962" s="12"/>
      <c r="M1962" s="12"/>
      <c r="N1962" s="12"/>
      <c r="O1962" s="12"/>
      <c r="P1962" s="12"/>
      <c r="Q1962" s="12"/>
      <c r="R1962" s="12"/>
      <c r="S1962" s="12"/>
      <c r="T1962" s="12"/>
      <c r="U1962" s="12"/>
      <c r="V1962" s="12"/>
      <c r="W1962" s="12"/>
      <c r="X1962" s="12"/>
      <c r="Y1962" s="12"/>
      <c r="Z1962" s="12"/>
      <c r="AA1962" s="12"/>
    </row>
    <row r="1963" ht="26.25" customHeight="1">
      <c r="A1963" s="26" t="s">
        <v>3936</v>
      </c>
      <c r="B1963" s="26" t="s">
        <v>3937</v>
      </c>
      <c r="C1963" s="14">
        <v>2.0</v>
      </c>
      <c r="D1963" s="23">
        <v>1118.0</v>
      </c>
      <c r="E1963" s="23">
        <v>6.0</v>
      </c>
      <c r="F1963" s="27" t="str">
        <f t="array" ref="F1963">"https://www.google.com/maps/search/?api=1&amp;query=" &amp; A1963 &amp; "," &amp; B1963</f>
        <v>https://www.google.com/maps/search/?api=1&amp;query=-30.9087690784424,-55.53732231203020</v>
      </c>
      <c r="G1963" s="27" t="str">
        <f t="array" ref="G1963">"https://earth.google.com/web/search/" &amp; A1963 &amp; "," &amp; B1963</f>
        <v>https://earth.google.com/web/search/-30.9087690784424,-55.53732231203020</v>
      </c>
      <c r="H1963" s="12"/>
      <c r="I1963" s="12"/>
      <c r="J1963" s="12"/>
      <c r="K1963" s="12"/>
      <c r="L1963" s="12"/>
      <c r="M1963" s="12"/>
      <c r="N1963" s="12"/>
      <c r="O1963" s="12"/>
      <c r="P1963" s="12"/>
      <c r="Q1963" s="12"/>
      <c r="R1963" s="12"/>
      <c r="S1963" s="12"/>
      <c r="T1963" s="12"/>
      <c r="U1963" s="12"/>
      <c r="V1963" s="12"/>
      <c r="W1963" s="12"/>
      <c r="X1963" s="12"/>
      <c r="Y1963" s="12"/>
      <c r="Z1963" s="12"/>
      <c r="AA1963" s="12"/>
    </row>
    <row r="1964" ht="26.25" customHeight="1">
      <c r="A1964" s="26" t="s">
        <v>3938</v>
      </c>
      <c r="B1964" s="26" t="s">
        <v>3939</v>
      </c>
      <c r="C1964" s="14">
        <v>2.0</v>
      </c>
      <c r="D1964" s="23">
        <v>1118.0</v>
      </c>
      <c r="E1964" s="23">
        <v>7.0</v>
      </c>
      <c r="F1964" s="27" t="str">
        <f t="array" ref="F1964">"https://www.google.com/maps/search/?api=1&amp;query=" &amp; A1964 &amp; "," &amp; B1964</f>
        <v>https://www.google.com/maps/search/?api=1&amp;query=-30.9087982584869,-55.53727333301200</v>
      </c>
      <c r="G1964" s="27" t="str">
        <f t="array" ref="G1964">"https://earth.google.com/web/search/" &amp; A1964 &amp; "," &amp; B1964</f>
        <v>https://earth.google.com/web/search/-30.9087982584869,-55.53727333301200</v>
      </c>
      <c r="H1964" s="12"/>
      <c r="I1964" s="12"/>
      <c r="J1964" s="12"/>
      <c r="K1964" s="12"/>
      <c r="L1964" s="12"/>
      <c r="M1964" s="12"/>
      <c r="N1964" s="12"/>
      <c r="O1964" s="12"/>
      <c r="P1964" s="12"/>
      <c r="Q1964" s="12"/>
      <c r="R1964" s="12"/>
      <c r="S1964" s="12"/>
      <c r="T1964" s="12"/>
      <c r="U1964" s="12"/>
      <c r="V1964" s="12"/>
      <c r="W1964" s="12"/>
      <c r="X1964" s="12"/>
      <c r="Y1964" s="12"/>
      <c r="Z1964" s="12"/>
      <c r="AA1964" s="12"/>
    </row>
    <row r="1965" ht="26.25" customHeight="1">
      <c r="A1965" s="26" t="s">
        <v>3940</v>
      </c>
      <c r="B1965" s="26" t="s">
        <v>3941</v>
      </c>
      <c r="C1965" s="14">
        <v>2.0</v>
      </c>
      <c r="D1965" s="23">
        <v>1118.0</v>
      </c>
      <c r="E1965" s="23">
        <v>8.0</v>
      </c>
      <c r="F1965" s="27" t="str">
        <f t="array" ref="F1965">"https://www.google.com/maps/search/?api=1&amp;query=" &amp; A1965 &amp; "," &amp; B1965</f>
        <v>https://www.google.com/maps/search/?api=1&amp;query=-30.9088243367387,-55.53723044869410</v>
      </c>
      <c r="G1965" s="27" t="str">
        <f t="array" ref="G1965">"https://earth.google.com/web/search/" &amp; A1965 &amp; "," &amp; B1965</f>
        <v>https://earth.google.com/web/search/-30.9088243367387,-55.53723044869410</v>
      </c>
      <c r="H1965" s="12"/>
      <c r="I1965" s="12"/>
      <c r="J1965" s="12"/>
      <c r="K1965" s="12"/>
      <c r="L1965" s="12"/>
      <c r="M1965" s="12"/>
      <c r="N1965" s="12"/>
      <c r="O1965" s="12"/>
      <c r="P1965" s="12"/>
      <c r="Q1965" s="12"/>
      <c r="R1965" s="12"/>
      <c r="S1965" s="12"/>
      <c r="T1965" s="12"/>
      <c r="U1965" s="12"/>
      <c r="V1965" s="12"/>
      <c r="W1965" s="12"/>
      <c r="X1965" s="12"/>
      <c r="Y1965" s="12"/>
      <c r="Z1965" s="12"/>
      <c r="AA1965" s="12"/>
    </row>
    <row r="1966" ht="26.25" customHeight="1">
      <c r="A1966" s="26" t="s">
        <v>3942</v>
      </c>
      <c r="B1966" s="26" t="s">
        <v>3943</v>
      </c>
      <c r="C1966" s="14">
        <v>2.0</v>
      </c>
      <c r="D1966" s="23">
        <v>1118.0</v>
      </c>
      <c r="E1966" s="23">
        <v>9.0</v>
      </c>
      <c r="F1966" s="27" t="str">
        <f t="array" ref="F1966">"https://www.google.com/maps/search/?api=1&amp;query=" &amp; A1966 &amp; "," &amp; B1966</f>
        <v>https://www.google.com/maps/search/?api=1&amp;query=-30.9088489367600,-55.53718984995610</v>
      </c>
      <c r="G1966" s="27" t="str">
        <f t="array" ref="G1966">"https://earth.google.com/web/search/" &amp; A1966 &amp; "," &amp; B1966</f>
        <v>https://earth.google.com/web/search/-30.9088489367600,-55.53718984995610</v>
      </c>
      <c r="H1966" s="12"/>
      <c r="I1966" s="12"/>
      <c r="J1966" s="12"/>
      <c r="K1966" s="12"/>
      <c r="L1966" s="12"/>
      <c r="M1966" s="12"/>
      <c r="N1966" s="12"/>
      <c r="O1966" s="12"/>
      <c r="P1966" s="12"/>
      <c r="Q1966" s="12"/>
      <c r="R1966" s="12"/>
      <c r="S1966" s="12"/>
      <c r="T1966" s="12"/>
      <c r="U1966" s="12"/>
      <c r="V1966" s="12"/>
      <c r="W1966" s="12"/>
      <c r="X1966" s="12"/>
      <c r="Y1966" s="12"/>
      <c r="Z1966" s="12"/>
      <c r="AA1966" s="12"/>
    </row>
    <row r="1967" ht="26.25" customHeight="1">
      <c r="A1967" s="26" t="s">
        <v>3944</v>
      </c>
      <c r="B1967" s="26" t="s">
        <v>3945</v>
      </c>
      <c r="C1967" s="14">
        <v>2.0</v>
      </c>
      <c r="D1967" s="23">
        <v>1118.0</v>
      </c>
      <c r="E1967" s="23">
        <v>10.0</v>
      </c>
      <c r="F1967" s="27" t="str">
        <f t="array" ref="F1967">"https://www.google.com/maps/search/?api=1&amp;query=" &amp; A1967 &amp; "," &amp; B1967</f>
        <v>https://www.google.com/maps/search/?api=1&amp;query=-30.9088897351608,-5.55371205201277</v>
      </c>
      <c r="G1967" s="27" t="str">
        <f t="array" ref="G1967">"https://earth.google.com/web/search/" &amp; A1967 &amp; "," &amp; B1967</f>
        <v>https://earth.google.com/web/search/-30.9088897351608,-5.55371205201277</v>
      </c>
      <c r="H1967" s="12"/>
      <c r="I1967" s="12"/>
      <c r="J1967" s="12"/>
      <c r="K1967" s="12"/>
      <c r="L1967" s="12"/>
      <c r="M1967" s="12"/>
      <c r="N1967" s="12"/>
      <c r="O1967" s="12"/>
      <c r="P1967" s="12"/>
      <c r="Q1967" s="12"/>
      <c r="R1967" s="12"/>
      <c r="S1967" s="12"/>
      <c r="T1967" s="12"/>
      <c r="U1967" s="12"/>
      <c r="V1967" s="12"/>
      <c r="W1967" s="12"/>
      <c r="X1967" s="12"/>
      <c r="Y1967" s="12"/>
      <c r="Z1967" s="12"/>
      <c r="AA1967" s="12"/>
    </row>
    <row r="1968" ht="26.25" customHeight="1">
      <c r="A1968" s="26" t="s">
        <v>3946</v>
      </c>
      <c r="B1968" s="26" t="s">
        <v>3947</v>
      </c>
      <c r="C1968" s="14">
        <v>2.0</v>
      </c>
      <c r="D1968" s="23">
        <v>1118.0</v>
      </c>
      <c r="E1968" s="23">
        <v>11.0</v>
      </c>
      <c r="F1968" s="27" t="str">
        <f t="array" ref="F1968">"https://www.google.com/maps/search/?api=1&amp;query=" &amp; A1968 &amp; "," &amp; B1968</f>
        <v>https://www.google.com/maps/search/?api=1&amp;query=-30.9089276772624,-55.53704107963920</v>
      </c>
      <c r="G1968" s="27" t="str">
        <f t="array" ref="G1968">"https://earth.google.com/web/search/" &amp; A1968 &amp; "," &amp; B1968</f>
        <v>https://earth.google.com/web/search/-30.9089276772624,-55.53704107963920</v>
      </c>
      <c r="H1968" s="12"/>
      <c r="I1968" s="12"/>
      <c r="J1968" s="12"/>
      <c r="K1968" s="12"/>
      <c r="L1968" s="12"/>
      <c r="M1968" s="12"/>
      <c r="N1968" s="12"/>
      <c r="O1968" s="12"/>
      <c r="P1968" s="12"/>
      <c r="Q1968" s="12"/>
      <c r="R1968" s="12"/>
      <c r="S1968" s="12"/>
      <c r="T1968" s="12"/>
      <c r="U1968" s="12"/>
      <c r="V1968" s="12"/>
      <c r="W1968" s="12"/>
      <c r="X1968" s="12"/>
      <c r="Y1968" s="12"/>
      <c r="Z1968" s="12"/>
      <c r="AA1968" s="12"/>
    </row>
    <row r="1969" ht="26.25" customHeight="1">
      <c r="A1969" s="26" t="s">
        <v>3948</v>
      </c>
      <c r="B1969" s="26" t="s">
        <v>3949</v>
      </c>
      <c r="C1969" s="14">
        <v>2.0</v>
      </c>
      <c r="D1969" s="23">
        <v>1118.0</v>
      </c>
      <c r="E1969" s="23">
        <v>12.0</v>
      </c>
      <c r="F1969" s="27" t="str">
        <f t="array" ref="F1969">"https://www.google.com/maps/search/?api=1&amp;query=" &amp; A1969 &amp; "," &amp; B1969</f>
        <v>https://www.google.com/maps/search/?api=1&amp;query=-30.9089586588897,-55.53699567491180</v>
      </c>
      <c r="G1969" s="27" t="str">
        <f t="array" ref="G1969">"https://earth.google.com/web/search/" &amp; A1969 &amp; "," &amp; B1969</f>
        <v>https://earth.google.com/web/search/-30.9089586588897,-55.53699567491180</v>
      </c>
      <c r="H1969" s="12"/>
      <c r="I1969" s="12"/>
      <c r="J1969" s="12"/>
      <c r="K1969" s="12"/>
      <c r="L1969" s="12"/>
      <c r="M1969" s="12"/>
      <c r="N1969" s="12"/>
      <c r="O1969" s="12"/>
      <c r="P1969" s="12"/>
      <c r="Q1969" s="12"/>
      <c r="R1969" s="12"/>
      <c r="S1969" s="12"/>
      <c r="T1969" s="12"/>
      <c r="U1969" s="12"/>
      <c r="V1969" s="12"/>
      <c r="W1969" s="12"/>
      <c r="X1969" s="12"/>
      <c r="Y1969" s="12"/>
      <c r="Z1969" s="12"/>
      <c r="AA1969" s="12"/>
    </row>
    <row r="1970" ht="26.25" customHeight="1">
      <c r="A1970" s="26" t="s">
        <v>3950</v>
      </c>
      <c r="B1970" s="26" t="s">
        <v>3951</v>
      </c>
      <c r="C1970" s="14">
        <v>2.0</v>
      </c>
      <c r="D1970" s="23">
        <v>1118.0</v>
      </c>
      <c r="E1970" s="23">
        <v>13.0</v>
      </c>
      <c r="F1970" s="27" t="str">
        <f t="array" ref="F1970">"https://www.google.com/maps/search/?api=1&amp;query=" &amp; A1970 &amp; "," &amp; B1970</f>
        <v>https://www.google.com/maps/search/?api=1&amp;query=-30.9089942101199,-55.53693028950430</v>
      </c>
      <c r="G1970" s="27" t="str">
        <f t="array" ref="G1970">"https://earth.google.com/web/search/" &amp; A1970 &amp; "," &amp; B1970</f>
        <v>https://earth.google.com/web/search/-30.9089942101199,-55.53693028950430</v>
      </c>
      <c r="H1970" s="12"/>
      <c r="I1970" s="12"/>
      <c r="J1970" s="12"/>
      <c r="K1970" s="12"/>
      <c r="L1970" s="12"/>
      <c r="M1970" s="12"/>
      <c r="N1970" s="12"/>
      <c r="O1970" s="12"/>
      <c r="P1970" s="12"/>
      <c r="Q1970" s="12"/>
      <c r="R1970" s="12"/>
      <c r="S1970" s="12"/>
      <c r="T1970" s="12"/>
      <c r="U1970" s="12"/>
      <c r="V1970" s="12"/>
      <c r="W1970" s="12"/>
      <c r="X1970" s="12"/>
      <c r="Y1970" s="12"/>
      <c r="Z1970" s="12"/>
      <c r="AA1970" s="12"/>
    </row>
    <row r="1971" ht="26.25" customHeight="1">
      <c r="A1971" s="26" t="s">
        <v>3952</v>
      </c>
      <c r="B1971" s="26" t="s">
        <v>3953</v>
      </c>
      <c r="C1971" s="14">
        <v>2.0</v>
      </c>
      <c r="D1971" s="23">
        <v>1118.0</v>
      </c>
      <c r="E1971" s="23">
        <v>14.0</v>
      </c>
      <c r="F1971" s="27" t="str">
        <f t="array" ref="F1971">"https://www.google.com/maps/search/?api=1&amp;query=" &amp; A1971 &amp; "," &amp; B1971</f>
        <v>https://www.google.com/maps/search/?api=1&amp;query=-30.9081023542337,-55.53673403338280</v>
      </c>
      <c r="G1971" s="27" t="str">
        <f t="array" ref="G1971">"https://earth.google.com/web/search/" &amp; A1971 &amp; "," &amp; B1971</f>
        <v>https://earth.google.com/web/search/-30.9081023542337,-55.53673403338280</v>
      </c>
      <c r="H1971" s="12"/>
      <c r="I1971" s="12"/>
      <c r="J1971" s="12"/>
      <c r="K1971" s="12"/>
      <c r="L1971" s="12"/>
      <c r="M1971" s="12"/>
      <c r="N1971" s="12"/>
      <c r="O1971" s="12"/>
      <c r="P1971" s="12"/>
      <c r="Q1971" s="12"/>
      <c r="R1971" s="12"/>
      <c r="S1971" s="12"/>
      <c r="T1971" s="12"/>
      <c r="U1971" s="12"/>
      <c r="V1971" s="12"/>
      <c r="W1971" s="12"/>
      <c r="X1971" s="12"/>
      <c r="Y1971" s="12"/>
      <c r="Z1971" s="12"/>
      <c r="AA1971" s="12"/>
    </row>
    <row r="1972" ht="26.25" customHeight="1">
      <c r="A1972" s="26" t="s">
        <v>3954</v>
      </c>
      <c r="B1972" s="26" t="s">
        <v>3955</v>
      </c>
      <c r="C1972" s="14">
        <v>2.0</v>
      </c>
      <c r="D1972" s="23">
        <v>491.0</v>
      </c>
      <c r="E1972" s="23">
        <v>1.0</v>
      </c>
      <c r="F1972" s="27" t="str">
        <f t="array" ref="F1972">"https://www.google.com/maps/search/?api=1&amp;query=" &amp; A1972 &amp; "," &amp; B1972</f>
        <v>https://www.google.com/maps/search/?api=1&amp;query=-30.9090424697535,-55.53682650184280</v>
      </c>
      <c r="G1972" s="27" t="str">
        <f t="array" ref="G1972">"https://earth.google.com/web/search/" &amp; A1972 &amp; "," &amp; B1972</f>
        <v>https://earth.google.com/web/search/-30.9090424697535,-55.53682650184280</v>
      </c>
      <c r="H1972" s="12"/>
      <c r="I1972" s="12"/>
      <c r="J1972" s="12"/>
      <c r="K1972" s="12"/>
      <c r="L1972" s="12"/>
      <c r="M1972" s="12"/>
      <c r="N1972" s="12"/>
      <c r="O1972" s="12"/>
      <c r="P1972" s="12"/>
      <c r="Q1972" s="12"/>
      <c r="R1972" s="12"/>
      <c r="S1972" s="12"/>
      <c r="T1972" s="12"/>
      <c r="U1972" s="12"/>
      <c r="V1972" s="12"/>
      <c r="W1972" s="12"/>
      <c r="X1972" s="12"/>
      <c r="Y1972" s="12"/>
      <c r="Z1972" s="12"/>
      <c r="AA1972" s="12"/>
    </row>
    <row r="1973" ht="26.25" customHeight="1">
      <c r="A1973" s="26" t="s">
        <v>3956</v>
      </c>
      <c r="B1973" s="26" t="s">
        <v>3957</v>
      </c>
      <c r="C1973" s="14">
        <v>2.0</v>
      </c>
      <c r="D1973" s="23">
        <v>491.0</v>
      </c>
      <c r="E1973" s="23">
        <v>2.0</v>
      </c>
      <c r="F1973" s="27" t="str">
        <f t="array" ref="F1973">"https://www.google.com/maps/search/?api=1&amp;query=" &amp; A1973 &amp; "," &amp; B1973</f>
        <v>https://www.google.com/maps/search/?api=1&amp;query=-30.9091077074369,-55.53670179254400</v>
      </c>
      <c r="G1973" s="27" t="str">
        <f t="array" ref="G1973">"https://earth.google.com/web/search/" &amp; A1973 &amp; "," &amp; B1973</f>
        <v>https://earth.google.com/web/search/-30.9091077074369,-55.53670179254400</v>
      </c>
      <c r="H1973" s="12"/>
      <c r="I1973" s="12"/>
      <c r="J1973" s="12"/>
      <c r="K1973" s="12"/>
      <c r="L1973" s="12"/>
      <c r="M1973" s="12"/>
      <c r="N1973" s="12"/>
      <c r="O1973" s="12"/>
      <c r="P1973" s="12"/>
      <c r="Q1973" s="12"/>
      <c r="R1973" s="12"/>
      <c r="S1973" s="12"/>
      <c r="T1973" s="12"/>
      <c r="U1973" s="12"/>
      <c r="V1973" s="12"/>
      <c r="W1973" s="12"/>
      <c r="X1973" s="12"/>
      <c r="Y1973" s="12"/>
      <c r="Z1973" s="12"/>
      <c r="AA1973" s="12"/>
    </row>
    <row r="1974" ht="26.25" customHeight="1">
      <c r="A1974" s="26" t="s">
        <v>3958</v>
      </c>
      <c r="B1974" s="26" t="s">
        <v>3959</v>
      </c>
      <c r="C1974" s="14">
        <v>2.0</v>
      </c>
      <c r="D1974" s="23">
        <v>491.0</v>
      </c>
      <c r="E1974" s="23">
        <v>3.0</v>
      </c>
      <c r="F1974" s="27" t="str">
        <f t="array" ref="F1974">"https://www.google.com/maps/search/?api=1&amp;query=" &amp; A1974 &amp; "," &amp; B1974</f>
        <v>https://www.google.com/maps/search/?api=1&amp;query=-30.9092480054476,-5.55364141626183</v>
      </c>
      <c r="G1974" s="27" t="str">
        <f t="array" ref="G1974">"https://earth.google.com/web/search/" &amp; A1974 &amp; "," &amp; B1974</f>
        <v>https://earth.google.com/web/search/-30.9092480054476,-5.55364141626183</v>
      </c>
      <c r="H1974" s="12"/>
      <c r="I1974" s="12"/>
      <c r="J1974" s="12"/>
      <c r="K1974" s="12"/>
      <c r="L1974" s="12"/>
      <c r="M1974" s="12"/>
      <c r="N1974" s="12"/>
      <c r="O1974" s="12"/>
      <c r="P1974" s="12"/>
      <c r="Q1974" s="12"/>
      <c r="R1974" s="12"/>
      <c r="S1974" s="12"/>
      <c r="T1974" s="12"/>
      <c r="U1974" s="12"/>
      <c r="V1974" s="12"/>
      <c r="W1974" s="12"/>
      <c r="X1974" s="12"/>
      <c r="Y1974" s="12"/>
      <c r="Z1974" s="12"/>
      <c r="AA1974" s="12"/>
    </row>
    <row r="1975" ht="26.25" customHeight="1">
      <c r="A1975" s="26" t="s">
        <v>3960</v>
      </c>
      <c r="B1975" s="26" t="s">
        <v>3961</v>
      </c>
      <c r="C1975" s="14">
        <v>2.0</v>
      </c>
      <c r="D1975" s="23">
        <v>491.0</v>
      </c>
      <c r="E1975" s="23">
        <v>4.0</v>
      </c>
      <c r="F1975" s="27" t="str">
        <f t="array" ref="F1975">"https://www.google.com/maps/search/?api=1&amp;query=" &amp; A1975 &amp; "," &amp; B1975</f>
        <v>https://www.google.com/maps/search/?api=1&amp;query=-0.3090933346657,-55.53607627793260</v>
      </c>
      <c r="G1975" s="27" t="str">
        <f t="array" ref="G1975">"https://earth.google.com/web/search/" &amp; A1975 &amp; "," &amp; B1975</f>
        <v>https://earth.google.com/web/search/-0.3090933346657,-55.53607627793260</v>
      </c>
      <c r="H1975" s="12"/>
      <c r="I1975" s="12"/>
      <c r="J1975" s="12"/>
      <c r="K1975" s="12"/>
      <c r="L1975" s="12"/>
      <c r="M1975" s="12"/>
      <c r="N1975" s="12"/>
      <c r="O1975" s="12"/>
      <c r="P1975" s="12"/>
      <c r="Q1975" s="12"/>
      <c r="R1975" s="12"/>
      <c r="S1975" s="12"/>
      <c r="T1975" s="12"/>
      <c r="U1975" s="12"/>
      <c r="V1975" s="12"/>
      <c r="W1975" s="12"/>
      <c r="X1975" s="12"/>
      <c r="Y1975" s="12"/>
      <c r="Z1975" s="12"/>
      <c r="AA1975" s="12"/>
    </row>
    <row r="1976" ht="26.25" customHeight="1">
      <c r="A1976" s="26" t="s">
        <v>3962</v>
      </c>
      <c r="B1976" s="26" t="s">
        <v>3963</v>
      </c>
      <c r="C1976" s="14">
        <v>2.0</v>
      </c>
      <c r="D1976" s="23">
        <v>491.0</v>
      </c>
      <c r="E1976" s="23">
        <v>5.0</v>
      </c>
      <c r="F1976" s="27" t="str">
        <f t="array" ref="F1976">"https://www.google.com/maps/search/?api=1&amp;query=" &amp; A1976 &amp; "," &amp; B1976</f>
        <v>https://www.google.com/maps/search/?api=1&amp;query=-30.9086293907846,-5.55357735023748</v>
      </c>
      <c r="G1976" s="27" t="str">
        <f t="array" ref="G1976">"https://earth.google.com/web/search/" &amp; A1976 &amp; "," &amp; B1976</f>
        <v>https://earth.google.com/web/search/-30.9086293907846,-5.55357735023748</v>
      </c>
      <c r="H1976" s="12"/>
      <c r="I1976" s="12"/>
      <c r="J1976" s="12"/>
      <c r="K1976" s="12"/>
      <c r="L1976" s="12"/>
      <c r="M1976" s="12"/>
      <c r="N1976" s="12"/>
      <c r="O1976" s="12"/>
      <c r="P1976" s="12"/>
      <c r="Q1976" s="12"/>
      <c r="R1976" s="12"/>
      <c r="S1976" s="12"/>
      <c r="T1976" s="12"/>
      <c r="U1976" s="12"/>
      <c r="V1976" s="12"/>
      <c r="W1976" s="12"/>
      <c r="X1976" s="12"/>
      <c r="Y1976" s="12"/>
      <c r="Z1976" s="12"/>
      <c r="AA1976" s="12"/>
    </row>
    <row r="1977" ht="26.25" customHeight="1">
      <c r="A1977" s="26" t="s">
        <v>3964</v>
      </c>
      <c r="B1977" s="26" t="s">
        <v>3965</v>
      </c>
      <c r="C1977" s="14">
        <v>2.0</v>
      </c>
      <c r="D1977" s="23">
        <v>481.0</v>
      </c>
      <c r="E1977" s="23">
        <v>1.0</v>
      </c>
      <c r="F1977" s="27" t="str">
        <f t="array" ref="F1977">"https://www.google.com/maps/search/?api=1&amp;query=" &amp; A1977 &amp; "," &amp; B1977</f>
        <v>https://www.google.com/maps/search/?api=1&amp;query=-30.9089323999263,-55.53566866307930</v>
      </c>
      <c r="G1977" s="27" t="str">
        <f t="array" ref="G1977">"https://earth.google.com/web/search/" &amp; A1977 &amp; "," &amp; B1977</f>
        <v>https://earth.google.com/web/search/-30.9089323999263,-55.53566866307930</v>
      </c>
      <c r="H1977" s="12"/>
      <c r="I1977" s="12"/>
      <c r="J1977" s="12"/>
      <c r="K1977" s="12"/>
      <c r="L1977" s="12"/>
      <c r="M1977" s="12"/>
      <c r="N1977" s="12"/>
      <c r="O1977" s="12"/>
      <c r="P1977" s="12"/>
      <c r="Q1977" s="12"/>
      <c r="R1977" s="12"/>
      <c r="S1977" s="12"/>
      <c r="T1977" s="12"/>
      <c r="U1977" s="12"/>
      <c r="V1977" s="12"/>
      <c r="W1977" s="12"/>
      <c r="X1977" s="12"/>
      <c r="Y1977" s="12"/>
      <c r="Z1977" s="12"/>
      <c r="AA1977" s="12"/>
    </row>
    <row r="1978" ht="26.25" customHeight="1">
      <c r="A1978" s="26" t="s">
        <v>3966</v>
      </c>
      <c r="B1978" s="26" t="s">
        <v>3967</v>
      </c>
      <c r="C1978" s="14">
        <v>2.0</v>
      </c>
      <c r="D1978" s="23">
        <v>481.0</v>
      </c>
      <c r="E1978" s="23">
        <v>2.0</v>
      </c>
      <c r="F1978" s="27" t="str">
        <f t="array" ref="F1978">"https://www.google.com/maps/search/?api=1&amp;query=" &amp; A1978 &amp; "," &amp; B1978</f>
        <v>https://www.google.com/maps/search/?api=1&amp;query=-30.9090724798390,-55.53577072328340</v>
      </c>
      <c r="G1978" s="27" t="str">
        <f t="array" ref="G1978">"https://earth.google.com/web/search/" &amp; A1978 &amp; "," &amp; B1978</f>
        <v>https://earth.google.com/web/search/-30.9090724798390,-55.53577072328340</v>
      </c>
      <c r="H1978" s="12"/>
      <c r="I1978" s="12"/>
      <c r="J1978" s="12"/>
      <c r="K1978" s="12"/>
      <c r="L1978" s="12"/>
      <c r="M1978" s="12"/>
      <c r="N1978" s="12"/>
      <c r="O1978" s="12"/>
      <c r="P1978" s="12"/>
      <c r="Q1978" s="12"/>
      <c r="R1978" s="12"/>
      <c r="S1978" s="12"/>
      <c r="T1978" s="12"/>
      <c r="U1978" s="12"/>
      <c r="V1978" s="12"/>
      <c r="W1978" s="12"/>
      <c r="X1978" s="12"/>
      <c r="Y1978" s="12"/>
      <c r="Z1978" s="12"/>
      <c r="AA1978" s="12"/>
    </row>
    <row r="1979" ht="26.25" customHeight="1">
      <c r="A1979" s="26" t="s">
        <v>3968</v>
      </c>
      <c r="B1979" s="26" t="s">
        <v>3969</v>
      </c>
      <c r="C1979" s="14">
        <v>2.0</v>
      </c>
      <c r="D1979" s="23">
        <v>481.0</v>
      </c>
      <c r="E1979" s="23">
        <v>3.0</v>
      </c>
      <c r="F1979" s="27" t="str">
        <f t="array" ref="F1979">"https://www.google.com/maps/search/?api=1&amp;query=" &amp; A1979 &amp; "," &amp; B1979</f>
        <v>https://www.google.com/maps/search/?api=1&amp;query=-30.9092639694395,-55.53590033962960</v>
      </c>
      <c r="G1979" s="27" t="str">
        <f t="array" ref="G1979">"https://earth.google.com/web/search/" &amp; A1979 &amp; "," &amp; B1979</f>
        <v>https://earth.google.com/web/search/-30.9092639694395,-55.53590033962960</v>
      </c>
      <c r="H1979" s="12"/>
      <c r="I1979" s="12"/>
      <c r="J1979" s="12"/>
      <c r="K1979" s="12"/>
      <c r="L1979" s="12"/>
      <c r="M1979" s="12"/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</row>
    <row r="1980" ht="26.25" customHeight="1">
      <c r="A1980" s="26" t="s">
        <v>3970</v>
      </c>
      <c r="B1980" s="26" t="s">
        <v>3971</v>
      </c>
      <c r="C1980" s="14">
        <v>2.0</v>
      </c>
      <c r="D1980" s="23">
        <v>481.0</v>
      </c>
      <c r="E1980" s="23">
        <v>4.0</v>
      </c>
      <c r="F1980" s="27" t="str">
        <f t="array" ref="F1980">"https://www.google.com/maps/search/?api=1&amp;query=" &amp; A1980 &amp; "," &amp; B1980</f>
        <v>https://www.google.com/maps/search/?api=1&amp;query=-30.9093219052586,-55.53592961173440</v>
      </c>
      <c r="G1980" s="27" t="str">
        <f t="array" ref="G1980">"https://earth.google.com/web/search/" &amp; A1980 &amp; "," &amp; B1980</f>
        <v>https://earth.google.com/web/search/-30.9093219052586,-55.53592961173440</v>
      </c>
      <c r="H1980" s="12"/>
      <c r="I1980" s="12"/>
      <c r="J1980" s="12"/>
      <c r="K1980" s="12"/>
      <c r="L1980" s="12"/>
      <c r="M1980" s="12"/>
      <c r="N1980" s="12"/>
      <c r="O1980" s="12"/>
      <c r="P1980" s="12"/>
      <c r="Q1980" s="12"/>
      <c r="R1980" s="12"/>
      <c r="S1980" s="12"/>
      <c r="T1980" s="12"/>
      <c r="U1980" s="12"/>
      <c r="V1980" s="12"/>
      <c r="W1980" s="12"/>
      <c r="X1980" s="12"/>
      <c r="Y1980" s="12"/>
      <c r="Z1980" s="12"/>
      <c r="AA1980" s="12"/>
    </row>
    <row r="1981" ht="26.25" customHeight="1">
      <c r="A1981" s="26" t="s">
        <v>3972</v>
      </c>
      <c r="B1981" s="26" t="s">
        <v>3973</v>
      </c>
      <c r="C1981" s="14">
        <v>2.0</v>
      </c>
      <c r="D1981" s="23">
        <v>481.0</v>
      </c>
      <c r="E1981" s="23">
        <v>5.0</v>
      </c>
      <c r="F1981" s="27" t="str">
        <f t="array" ref="F1981">"https://www.google.com/maps/search/?api=1&amp;query=" &amp; A1981 &amp; "," &amp; B1981</f>
        <v>https://www.google.com/maps/search/?api=1&amp;query=-30.9094141535973,-55.53598486095790</v>
      </c>
      <c r="G1981" s="27" t="str">
        <f t="array" ref="G1981">"https://earth.google.com/web/search/" &amp; A1981 &amp; "," &amp; B1981</f>
        <v>https://earth.google.com/web/search/-30.9094141535973,-55.53598486095790</v>
      </c>
      <c r="H1981" s="12"/>
      <c r="I1981" s="12"/>
      <c r="J1981" s="12"/>
      <c r="K1981" s="12"/>
      <c r="L1981" s="12"/>
      <c r="M1981" s="12"/>
      <c r="N1981" s="12"/>
      <c r="O1981" s="12"/>
      <c r="P1981" s="12"/>
      <c r="Q1981" s="12"/>
      <c r="R1981" s="12"/>
      <c r="S1981" s="12"/>
      <c r="T1981" s="12"/>
      <c r="U1981" s="12"/>
      <c r="V1981" s="12"/>
      <c r="W1981" s="12"/>
      <c r="X1981" s="12"/>
      <c r="Y1981" s="12"/>
      <c r="Z1981" s="12"/>
      <c r="AA1981" s="12"/>
    </row>
    <row r="1982" ht="26.25" customHeight="1">
      <c r="A1982" s="26" t="s">
        <v>3974</v>
      </c>
      <c r="B1982" s="26" t="s">
        <v>3975</v>
      </c>
      <c r="C1982" s="14">
        <v>2.0</v>
      </c>
      <c r="D1982" s="23">
        <v>481.0</v>
      </c>
      <c r="E1982" s="23">
        <v>6.0</v>
      </c>
      <c r="F1982" s="27" t="str">
        <f t="array" ref="F1982">"https://www.google.com/maps/search/?api=1&amp;query=" &amp; A1982 &amp; "," &amp; B1982</f>
        <v>https://www.google.com/maps/search/?api=1&amp;query=-3.0909747500150,-55.53551292288010</v>
      </c>
      <c r="G1982" s="27" t="str">
        <f t="array" ref="G1982">"https://earth.google.com/web/search/" &amp; A1982 &amp; "," &amp; B1982</f>
        <v>https://earth.google.com/web/search/-3.0909747500150,-55.53551292288010</v>
      </c>
      <c r="H1982" s="12"/>
      <c r="I1982" s="12"/>
      <c r="J1982" s="12"/>
      <c r="K1982" s="12"/>
      <c r="L1982" s="12"/>
      <c r="M1982" s="12"/>
      <c r="N1982" s="12"/>
      <c r="O1982" s="12"/>
      <c r="P1982" s="12"/>
      <c r="Q1982" s="12"/>
      <c r="R1982" s="12"/>
      <c r="S1982" s="12"/>
      <c r="T1982" s="12"/>
      <c r="U1982" s="12"/>
      <c r="V1982" s="12"/>
      <c r="W1982" s="12"/>
      <c r="X1982" s="12"/>
      <c r="Y1982" s="12"/>
      <c r="Z1982" s="12"/>
      <c r="AA1982" s="12"/>
    </row>
    <row r="1983" ht="26.25" customHeight="1">
      <c r="A1983" s="26" t="s">
        <v>3976</v>
      </c>
      <c r="B1983" s="26" t="s">
        <v>3977</v>
      </c>
      <c r="C1983" s="14">
        <v>2.0</v>
      </c>
      <c r="D1983" s="23">
        <v>481.0</v>
      </c>
      <c r="E1983" s="23">
        <v>7.0</v>
      </c>
      <c r="F1983" s="27" t="str">
        <f t="array" ref="F1983">"https://www.google.com/maps/search/?api=1&amp;query=" &amp; A1983 &amp; "," &amp; B1983</f>
        <v>https://www.google.com/maps/search/?api=1&amp;query=-0.3090978339026,-55.53543399554730</v>
      </c>
      <c r="G1983" s="27" t="str">
        <f t="array" ref="G1983">"https://earth.google.com/web/search/" &amp; A1983 &amp; "," &amp; B1983</f>
        <v>https://earth.google.com/web/search/-0.3090978339026,-55.53543399554730</v>
      </c>
      <c r="H1983" s="12"/>
      <c r="I1983" s="12"/>
      <c r="J1983" s="12"/>
      <c r="K1983" s="12"/>
      <c r="L1983" s="12"/>
      <c r="M1983" s="12"/>
      <c r="N1983" s="12"/>
      <c r="O1983" s="12"/>
      <c r="P1983" s="12"/>
      <c r="Q1983" s="12"/>
      <c r="R1983" s="12"/>
      <c r="S1983" s="12"/>
      <c r="T1983" s="12"/>
      <c r="U1983" s="12"/>
      <c r="V1983" s="12"/>
      <c r="W1983" s="12"/>
      <c r="X1983" s="12"/>
      <c r="Y1983" s="12"/>
      <c r="Z1983" s="12"/>
      <c r="AA1983" s="12"/>
    </row>
    <row r="1984" ht="26.25" customHeight="1">
      <c r="A1984" s="26" t="s">
        <v>3978</v>
      </c>
      <c r="B1984" s="26" t="s">
        <v>3979</v>
      </c>
      <c r="C1984" s="14">
        <v>2.0</v>
      </c>
      <c r="D1984" s="23">
        <v>481.0</v>
      </c>
      <c r="E1984" s="23">
        <v>8.0</v>
      </c>
      <c r="F1984" s="27" t="str">
        <f t="array" ref="F1984">"https://www.google.com/maps/search/?api=1&amp;query=" &amp; A1984 &amp; "," &amp; B1984</f>
        <v>https://www.google.com/maps/search/?api=1&amp;query=-30.9099961733594,-55.53504587609630</v>
      </c>
      <c r="G1984" s="27" t="str">
        <f t="array" ref="G1984">"https://earth.google.com/web/search/" &amp; A1984 &amp; "," &amp; B1984</f>
        <v>https://earth.google.com/web/search/-30.9099961733594,-55.53504587609630</v>
      </c>
      <c r="H1984" s="12"/>
      <c r="I1984" s="12"/>
      <c r="J1984" s="12"/>
      <c r="K1984" s="12"/>
      <c r="L1984" s="12"/>
      <c r="M1984" s="12"/>
      <c r="N1984" s="12"/>
      <c r="O1984" s="12"/>
      <c r="P1984" s="12"/>
      <c r="Q1984" s="12"/>
      <c r="R1984" s="12"/>
      <c r="S1984" s="12"/>
      <c r="T1984" s="12"/>
      <c r="U1984" s="12"/>
      <c r="V1984" s="12"/>
      <c r="W1984" s="12"/>
      <c r="X1984" s="12"/>
      <c r="Y1984" s="12"/>
      <c r="Z1984" s="12"/>
      <c r="AA1984" s="12"/>
    </row>
    <row r="1985" ht="26.25" customHeight="1">
      <c r="A1985" s="26" t="s">
        <v>3980</v>
      </c>
      <c r="B1985" s="26" t="s">
        <v>3981</v>
      </c>
      <c r="C1985" s="14">
        <v>2.0</v>
      </c>
      <c r="D1985" s="23">
        <v>481.0</v>
      </c>
      <c r="E1985" s="23">
        <v>9.0</v>
      </c>
      <c r="F1985" s="27" t="str">
        <f t="array" ref="F1985">"https://www.google.com/maps/search/?api=1&amp;query=" &amp; A1985 &amp; "," &amp; B1985</f>
        <v>https://www.google.com/maps/search/?api=1&amp;query=-30.9100322636082,-55.53495102858270</v>
      </c>
      <c r="G1985" s="27" t="str">
        <f t="array" ref="G1985">"https://earth.google.com/web/search/" &amp; A1985 &amp; "," &amp; B1985</f>
        <v>https://earth.google.com/web/search/-30.9100322636082,-55.53495102858270</v>
      </c>
      <c r="H1985" s="12"/>
      <c r="I1985" s="12"/>
      <c r="J1985" s="12"/>
      <c r="K1985" s="12"/>
      <c r="L1985" s="12"/>
      <c r="M1985" s="12"/>
      <c r="N1985" s="12"/>
      <c r="O1985" s="12"/>
      <c r="P1985" s="12"/>
      <c r="Q1985" s="12"/>
      <c r="R1985" s="12"/>
      <c r="S1985" s="12"/>
      <c r="T1985" s="12"/>
      <c r="U1985" s="12"/>
      <c r="V1985" s="12"/>
      <c r="W1985" s="12"/>
      <c r="X1985" s="12"/>
      <c r="Y1985" s="12"/>
      <c r="Z1985" s="12"/>
      <c r="AA1985" s="12"/>
    </row>
    <row r="1986" ht="26.25" customHeight="1">
      <c r="A1986" s="26" t="s">
        <v>3982</v>
      </c>
      <c r="B1986" s="26" t="s">
        <v>3983</v>
      </c>
      <c r="C1986" s="14">
        <v>2.0</v>
      </c>
      <c r="D1986" s="23">
        <v>481.0</v>
      </c>
      <c r="E1986" s="23">
        <v>10.0</v>
      </c>
      <c r="F1986" s="27" t="str">
        <f t="array" ref="F1986">"https://www.google.com/maps/search/?api=1&amp;query=" &amp; A1986 &amp; "," &amp; B1986</f>
        <v>https://www.google.com/maps/search/?api=1&amp;query=-30.9100641549084,-55.53486701506430</v>
      </c>
      <c r="G1986" s="27" t="str">
        <f t="array" ref="G1986">"https://earth.google.com/web/search/" &amp; A1986 &amp; "," &amp; B1986</f>
        <v>https://earth.google.com/web/search/-30.9100641549084,-55.53486701506430</v>
      </c>
      <c r="H1986" s="12"/>
      <c r="I1986" s="12"/>
      <c r="J1986" s="12"/>
      <c r="K1986" s="12"/>
      <c r="L1986" s="12"/>
      <c r="M1986" s="12"/>
      <c r="N1986" s="12"/>
      <c r="O1986" s="12"/>
      <c r="P1986" s="12"/>
      <c r="Q1986" s="12"/>
      <c r="R1986" s="12"/>
      <c r="S1986" s="12"/>
      <c r="T1986" s="12"/>
      <c r="U1986" s="12"/>
      <c r="V1986" s="12"/>
      <c r="W1986" s="12"/>
      <c r="X1986" s="12"/>
      <c r="Y1986" s="12"/>
      <c r="Z1986" s="12"/>
      <c r="AA1986" s="12"/>
    </row>
    <row r="1987" ht="26.25" customHeight="1">
      <c r="A1987" s="26" t="s">
        <v>3984</v>
      </c>
      <c r="B1987" s="26" t="s">
        <v>3985</v>
      </c>
      <c r="C1987" s="14">
        <v>2.0</v>
      </c>
      <c r="D1987" s="23">
        <v>481.0</v>
      </c>
      <c r="E1987" s="23">
        <v>11.0</v>
      </c>
      <c r="F1987" s="27" t="str">
        <f t="array" ref="F1987">"https://www.google.com/maps/search/?api=1&amp;query=" &amp; A1987 &amp; "," &amp; B1987</f>
        <v>https://www.google.com/maps/search/?api=1&amp;query=-3.0910126354641,-55.53479506736090</v>
      </c>
      <c r="G1987" s="27" t="str">
        <f t="array" ref="G1987">"https://earth.google.com/web/search/" &amp; A1987 &amp; "," &amp; B1987</f>
        <v>https://earth.google.com/web/search/-3.0910126354641,-55.53479506736090</v>
      </c>
      <c r="H1987" s="12"/>
      <c r="I1987" s="12"/>
      <c r="J1987" s="12"/>
      <c r="K1987" s="12"/>
      <c r="L1987" s="12"/>
      <c r="M1987" s="12"/>
      <c r="N1987" s="12"/>
      <c r="O1987" s="12"/>
      <c r="P1987" s="12"/>
      <c r="Q1987" s="12"/>
      <c r="R1987" s="12"/>
      <c r="S1987" s="12"/>
      <c r="T1987" s="12"/>
      <c r="U1987" s="12"/>
      <c r="V1987" s="12"/>
      <c r="W1987" s="12"/>
      <c r="X1987" s="12"/>
      <c r="Y1987" s="12"/>
      <c r="Z1987" s="12"/>
      <c r="AA1987" s="12"/>
    </row>
    <row r="1988" ht="26.25" customHeight="1">
      <c r="A1988" s="26" t="s">
        <v>3986</v>
      </c>
      <c r="B1988" s="26" t="s">
        <v>3987</v>
      </c>
      <c r="C1988" s="14">
        <v>2.0</v>
      </c>
      <c r="D1988" s="23">
        <v>481.0</v>
      </c>
      <c r="E1988" s="23">
        <v>12.0</v>
      </c>
      <c r="F1988" s="27" t="str">
        <f t="array" ref="F1988">"https://www.google.com/maps/search/?api=1&amp;query=" &amp; A1988 &amp; "," &amp; B1988</f>
        <v>https://www.google.com/maps/search/?api=1&amp;query=-3.0910138871596,-55.53456991797500</v>
      </c>
      <c r="G1988" s="27" t="str">
        <f t="array" ref="G1988">"https://earth.google.com/web/search/" &amp; A1988 &amp; "," &amp; B1988</f>
        <v>https://earth.google.com/web/search/-3.0910138871596,-55.53456991797500</v>
      </c>
      <c r="H1988" s="12"/>
      <c r="I1988" s="12"/>
      <c r="J1988" s="12"/>
      <c r="K1988" s="12"/>
      <c r="L1988" s="12"/>
      <c r="M1988" s="12"/>
      <c r="N1988" s="12"/>
      <c r="O1988" s="12"/>
      <c r="P1988" s="12"/>
      <c r="Q1988" s="12"/>
      <c r="R1988" s="12"/>
      <c r="S1988" s="12"/>
      <c r="T1988" s="12"/>
      <c r="U1988" s="12"/>
      <c r="V1988" s="12"/>
      <c r="W1988" s="12"/>
      <c r="X1988" s="12"/>
      <c r="Y1988" s="12"/>
      <c r="Z1988" s="12"/>
      <c r="AA1988" s="12"/>
    </row>
    <row r="1989" ht="26.25" customHeight="1">
      <c r="A1989" s="26" t="s">
        <v>3988</v>
      </c>
      <c r="B1989" s="26" t="s">
        <v>3989</v>
      </c>
      <c r="C1989" s="14">
        <v>2.0</v>
      </c>
      <c r="D1989" s="23">
        <v>481.0</v>
      </c>
      <c r="E1989" s="23">
        <v>13.0</v>
      </c>
      <c r="F1989" s="27" t="str">
        <f t="array" ref="F1989">"https://www.google.com/maps/search/?api=1&amp;query=" &amp; A1989 &amp; "," &amp; B1989</f>
        <v>https://www.google.com/maps/search/?api=1&amp;query=-30.9092605398707,-55.53453254849330</v>
      </c>
      <c r="G1989" s="27" t="str">
        <f t="array" ref="G1989">"https://earth.google.com/web/search/" &amp; A1989 &amp; "," &amp; B1989</f>
        <v>https://earth.google.com/web/search/-30.9092605398707,-55.53453254849330</v>
      </c>
      <c r="H1989" s="12"/>
      <c r="I1989" s="12"/>
      <c r="J1989" s="12"/>
      <c r="K1989" s="12"/>
      <c r="L1989" s="12"/>
      <c r="M1989" s="12"/>
      <c r="N1989" s="12"/>
      <c r="O1989" s="12"/>
      <c r="P1989" s="12"/>
      <c r="Q1989" s="12"/>
      <c r="R1989" s="12"/>
      <c r="S1989" s="12"/>
      <c r="T1989" s="12"/>
      <c r="U1989" s="12"/>
      <c r="V1989" s="12"/>
      <c r="W1989" s="12"/>
      <c r="X1989" s="12"/>
      <c r="Y1989" s="12"/>
      <c r="Z1989" s="12"/>
      <c r="AA1989" s="12"/>
    </row>
    <row r="1990" ht="26.25" customHeight="1">
      <c r="A1990" s="26" t="s">
        <v>3990</v>
      </c>
      <c r="B1990" s="26" t="s">
        <v>3991</v>
      </c>
      <c r="C1990" s="14">
        <v>2.0</v>
      </c>
      <c r="D1990" s="23">
        <v>378.0</v>
      </c>
      <c r="E1990" s="23">
        <v>1.0</v>
      </c>
      <c r="F1990" s="27" t="str">
        <f t="array" ref="F1990">"https://www.google.com/maps/search/?api=1&amp;query=" &amp; A1990 &amp; "," &amp; B1990</f>
        <v>https://www.google.com/maps/search/?api=1&amp;query=-30.9075168704428,-55.54023000039730</v>
      </c>
      <c r="G1990" s="27" t="str">
        <f t="array" ref="G1990">"https://earth.google.com/web/search/" &amp; A1990 &amp; "," &amp; B1990</f>
        <v>https://earth.google.com/web/search/-30.9075168704428,-55.54023000039730</v>
      </c>
      <c r="H1990" s="12"/>
      <c r="I1990" s="12"/>
      <c r="J1990" s="12"/>
      <c r="K1990" s="12"/>
      <c r="L1990" s="12"/>
      <c r="M1990" s="12"/>
      <c r="N1990" s="12"/>
      <c r="O1990" s="12"/>
      <c r="P1990" s="12"/>
      <c r="Q1990" s="12"/>
      <c r="R1990" s="12"/>
      <c r="S1990" s="12"/>
      <c r="T1990" s="12"/>
      <c r="U1990" s="12"/>
      <c r="V1990" s="12"/>
      <c r="W1990" s="12"/>
      <c r="X1990" s="12"/>
      <c r="Y1990" s="12"/>
      <c r="Z1990" s="12"/>
      <c r="AA1990" s="12"/>
    </row>
    <row r="1991" ht="26.25" customHeight="1">
      <c r="A1991" s="26" t="s">
        <v>3992</v>
      </c>
      <c r="B1991" s="26" t="s">
        <v>3993</v>
      </c>
      <c r="C1991" s="14">
        <v>2.0</v>
      </c>
      <c r="D1991" s="23">
        <v>378.0</v>
      </c>
      <c r="E1991" s="23">
        <v>2.0</v>
      </c>
      <c r="F1991" s="27" t="str">
        <f t="array" ref="F1991">"https://www.google.com/maps/search/?api=1&amp;query=" &amp; A1991 &amp; "," &amp; B1991</f>
        <v>https://www.google.com/maps/search/?api=1&amp;query=-30.9075827258386,-55.54025951720340</v>
      </c>
      <c r="G1991" s="27" t="str">
        <f t="array" ref="G1991">"https://earth.google.com/web/search/" &amp; A1991 &amp; "," &amp; B1991</f>
        <v>https://earth.google.com/web/search/-30.9075827258386,-55.54025951720340</v>
      </c>
      <c r="H1991" s="12"/>
      <c r="I1991" s="12"/>
      <c r="J1991" s="12"/>
      <c r="K1991" s="12"/>
      <c r="L1991" s="12"/>
      <c r="M1991" s="12"/>
      <c r="N1991" s="12"/>
      <c r="O1991" s="12"/>
      <c r="P1991" s="12"/>
      <c r="Q1991" s="12"/>
      <c r="R1991" s="12"/>
      <c r="S1991" s="12"/>
      <c r="T1991" s="12"/>
      <c r="U1991" s="12"/>
      <c r="V1991" s="12"/>
      <c r="W1991" s="12"/>
      <c r="X1991" s="12"/>
      <c r="Y1991" s="12"/>
      <c r="Z1991" s="12"/>
      <c r="AA1991" s="12"/>
    </row>
    <row r="1992" ht="26.25" customHeight="1">
      <c r="A1992" s="26" t="s">
        <v>3994</v>
      </c>
      <c r="B1992" s="26" t="s">
        <v>3995</v>
      </c>
      <c r="C1992" s="14">
        <v>2.0</v>
      </c>
      <c r="D1992" s="23">
        <v>378.0</v>
      </c>
      <c r="E1992" s="23">
        <v>3.0</v>
      </c>
      <c r="F1992" s="27" t="str">
        <f t="array" ref="F1992">"https://www.google.com/maps/search/?api=1&amp;query=" &amp; A1992 &amp; "," &amp; B1992</f>
        <v>https://www.google.com/maps/search/?api=1&amp;query=-30.9078469636894,-55.54046744882460</v>
      </c>
      <c r="G1992" s="27" t="str">
        <f t="array" ref="G1992">"https://earth.google.com/web/search/" &amp; A1992 &amp; "," &amp; B1992</f>
        <v>https://earth.google.com/web/search/-30.9078469636894,-55.54046744882460</v>
      </c>
      <c r="H1992" s="12"/>
      <c r="I1992" s="12"/>
      <c r="J1992" s="12"/>
      <c r="K1992" s="12"/>
      <c r="L1992" s="12"/>
      <c r="M1992" s="12"/>
      <c r="N1992" s="12"/>
      <c r="O1992" s="12"/>
      <c r="P1992" s="12"/>
      <c r="Q1992" s="12"/>
      <c r="R1992" s="12"/>
      <c r="S1992" s="12"/>
      <c r="T1992" s="12"/>
      <c r="U1992" s="12"/>
      <c r="V1992" s="12"/>
      <c r="W1992" s="12"/>
      <c r="X1992" s="12"/>
      <c r="Y1992" s="12"/>
      <c r="Z1992" s="12"/>
      <c r="AA1992" s="12"/>
    </row>
    <row r="1993" ht="26.25" customHeight="1">
      <c r="A1993" s="26" t="s">
        <v>3996</v>
      </c>
      <c r="B1993" s="26" t="s">
        <v>3997</v>
      </c>
      <c r="C1993" s="14">
        <v>2.0</v>
      </c>
      <c r="D1993" s="23">
        <v>378.0</v>
      </c>
      <c r="E1993" s="23">
        <v>4.0</v>
      </c>
      <c r="F1993" s="27" t="str">
        <f t="array" ref="F1993">"https://www.google.com/maps/search/?api=1&amp;query=" &amp; A1993 &amp; "," &amp; B1993</f>
        <v>https://www.google.com/maps/search/?api=1&amp;query=-30.9079467161812,-55.54053184403150</v>
      </c>
      <c r="G1993" s="27" t="str">
        <f t="array" ref="G1993">"https://earth.google.com/web/search/" &amp; A1993 &amp; "," &amp; B1993</f>
        <v>https://earth.google.com/web/search/-30.9079467161812,-55.54053184403150</v>
      </c>
      <c r="H1993" s="12"/>
      <c r="I1993" s="12"/>
      <c r="J1993" s="12"/>
      <c r="K1993" s="12"/>
      <c r="L1993" s="12"/>
      <c r="M1993" s="12"/>
      <c r="N1993" s="12"/>
      <c r="O1993" s="12"/>
      <c r="P1993" s="12"/>
      <c r="Q1993" s="12"/>
      <c r="R1993" s="12"/>
      <c r="S1993" s="12"/>
      <c r="T1993" s="12"/>
      <c r="U1993" s="12"/>
      <c r="V1993" s="12"/>
      <c r="W1993" s="12"/>
      <c r="X1993" s="12"/>
      <c r="Y1993" s="12"/>
      <c r="Z1993" s="12"/>
      <c r="AA1993" s="12"/>
    </row>
    <row r="1994" ht="26.25" customHeight="1">
      <c r="A1994" s="26" t="s">
        <v>3998</v>
      </c>
      <c r="B1994" s="26" t="s">
        <v>3999</v>
      </c>
      <c r="C1994" s="14">
        <v>2.0</v>
      </c>
      <c r="D1994" s="23">
        <v>378.0</v>
      </c>
      <c r="E1994" s="23">
        <v>5.0</v>
      </c>
      <c r="F1994" s="27" t="str">
        <f t="array" ref="F1994">"https://www.google.com/maps/search/?api=1&amp;query=" &amp; A1994 &amp; "," &amp; B1994</f>
        <v>https://www.google.com/maps/search/?api=1&amp;query=-30.9080264933958,-55.54057852505380</v>
      </c>
      <c r="G1994" s="27" t="str">
        <f t="array" ref="G1994">"https://earth.google.com/web/search/" &amp; A1994 &amp; "," &amp; B1994</f>
        <v>https://earth.google.com/web/search/-30.9080264933958,-55.54057852505380</v>
      </c>
      <c r="H1994" s="12"/>
      <c r="I1994" s="12"/>
      <c r="J1994" s="12"/>
      <c r="K1994" s="12"/>
      <c r="L1994" s="12"/>
      <c r="M1994" s="12"/>
      <c r="N1994" s="12"/>
      <c r="O1994" s="12"/>
      <c r="P1994" s="12"/>
      <c r="Q1994" s="12"/>
      <c r="R1994" s="12"/>
      <c r="S1994" s="12"/>
      <c r="T1994" s="12"/>
      <c r="U1994" s="12"/>
      <c r="V1994" s="12"/>
      <c r="W1994" s="12"/>
      <c r="X1994" s="12"/>
      <c r="Y1994" s="12"/>
      <c r="Z1994" s="12"/>
      <c r="AA1994" s="12"/>
    </row>
    <row r="1995" ht="26.25" customHeight="1">
      <c r="A1995" s="26" t="s">
        <v>4000</v>
      </c>
      <c r="B1995" s="26" t="s">
        <v>4001</v>
      </c>
      <c r="C1995" s="14">
        <v>2.0</v>
      </c>
      <c r="D1995" s="23">
        <v>378.0</v>
      </c>
      <c r="E1995" s="23">
        <v>6.0</v>
      </c>
      <c r="F1995" s="27" t="str">
        <f t="array" ref="F1995">"https://www.google.com/maps/search/?api=1&amp;query=" &amp; A1995 &amp; "," &amp; B1995</f>
        <v>https://www.google.com/maps/search/?api=1&amp;query=-30.9080624935910,-55.54062850894060</v>
      </c>
      <c r="G1995" s="27" t="str">
        <f t="array" ref="G1995">"https://earth.google.com/web/search/" &amp; A1995 &amp; "," &amp; B1995</f>
        <v>https://earth.google.com/web/search/-30.9080624935910,-55.54062850894060</v>
      </c>
      <c r="H1995" s="12"/>
      <c r="I1995" s="12"/>
      <c r="J1995" s="12"/>
      <c r="K1995" s="12"/>
      <c r="L1995" s="12"/>
      <c r="M1995" s="12"/>
      <c r="N1995" s="12"/>
      <c r="O1995" s="12"/>
      <c r="P1995" s="12"/>
      <c r="Q1995" s="12"/>
      <c r="R1995" s="12"/>
      <c r="S1995" s="12"/>
      <c r="T1995" s="12"/>
      <c r="U1995" s="12"/>
      <c r="V1995" s="12"/>
      <c r="W1995" s="12"/>
      <c r="X1995" s="12"/>
      <c r="Y1995" s="12"/>
      <c r="Z1995" s="12"/>
      <c r="AA1995" s="12"/>
    </row>
    <row r="1996" ht="26.25" customHeight="1">
      <c r="A1996" s="26" t="s">
        <v>4002</v>
      </c>
      <c r="B1996" s="26" t="s">
        <v>4003</v>
      </c>
      <c r="C1996" s="14">
        <v>2.0</v>
      </c>
      <c r="D1996" s="23">
        <v>378.0</v>
      </c>
      <c r="E1996" s="23">
        <v>7.0</v>
      </c>
      <c r="F1996" s="27" t="str">
        <f t="array" ref="F1996">"https://www.google.com/maps/search/?api=1&amp;query=" &amp; A1996 &amp; "," &amp; B1996</f>
        <v>https://www.google.com/maps/search/?api=1&amp;query=-30.9081426362302,-55.54055494623980</v>
      </c>
      <c r="G1996" s="27" t="str">
        <f t="array" ref="G1996">"https://earth.google.com/web/search/" &amp; A1996 &amp; "," &amp; B1996</f>
        <v>https://earth.google.com/web/search/-30.9081426362302,-55.54055494623980</v>
      </c>
      <c r="H1996" s="12"/>
      <c r="I1996" s="12"/>
      <c r="J1996" s="12"/>
      <c r="K1996" s="12"/>
      <c r="L1996" s="12"/>
      <c r="M1996" s="12"/>
      <c r="N1996" s="12"/>
      <c r="O1996" s="12"/>
      <c r="P1996" s="12"/>
      <c r="Q1996" s="12"/>
      <c r="R1996" s="12"/>
      <c r="S1996" s="12"/>
      <c r="T1996" s="12"/>
      <c r="U1996" s="12"/>
      <c r="V1996" s="12"/>
      <c r="W1996" s="12"/>
      <c r="X1996" s="12"/>
      <c r="Y1996" s="12"/>
      <c r="Z1996" s="12"/>
      <c r="AA1996" s="12"/>
    </row>
    <row r="1997" ht="26.25" customHeight="1">
      <c r="A1997" s="26" t="s">
        <v>4004</v>
      </c>
      <c r="B1997" s="26" t="s">
        <v>4005</v>
      </c>
      <c r="C1997" s="14">
        <v>2.0</v>
      </c>
      <c r="D1997" s="23">
        <v>378.0</v>
      </c>
      <c r="E1997" s="23">
        <v>8.0</v>
      </c>
      <c r="F1997" s="27" t="str">
        <f t="array" ref="F1997">"https://www.google.com/maps/search/?api=1&amp;query=" &amp; A1997 &amp; "," &amp; B1997</f>
        <v>https://www.google.com/maps/search/?api=1&amp;query=-30.9083153128780,-55.54018627720550</v>
      </c>
      <c r="G1997" s="27" t="str">
        <f t="array" ref="G1997">"https://earth.google.com/web/search/" &amp; A1997 &amp; "," &amp; B1997</f>
        <v>https://earth.google.com/web/search/-30.9083153128780,-55.54018627720550</v>
      </c>
      <c r="H1997" s="12"/>
      <c r="I1997" s="12"/>
      <c r="J1997" s="12"/>
      <c r="K1997" s="12"/>
      <c r="L1997" s="12"/>
      <c r="M1997" s="12"/>
      <c r="N1997" s="12"/>
      <c r="O1997" s="12"/>
      <c r="P1997" s="12"/>
      <c r="Q1997" s="12"/>
      <c r="R1997" s="12"/>
      <c r="S1997" s="12"/>
      <c r="T1997" s="12"/>
      <c r="U1997" s="12"/>
      <c r="V1997" s="12"/>
      <c r="W1997" s="12"/>
      <c r="X1997" s="12"/>
      <c r="Y1997" s="12"/>
      <c r="Z1997" s="12"/>
      <c r="AA1997" s="12"/>
    </row>
    <row r="1998" ht="26.25" customHeight="1">
      <c r="A1998" s="26" t="s">
        <v>4006</v>
      </c>
      <c r="B1998" s="26" t="s">
        <v>4007</v>
      </c>
      <c r="C1998" s="14">
        <v>2.0</v>
      </c>
      <c r="D1998" s="23">
        <v>378.0</v>
      </c>
      <c r="E1998" s="23">
        <v>9.0</v>
      </c>
      <c r="F1998" s="27" t="str">
        <f t="array" ref="F1998">"https://www.google.com/maps/search/?api=1&amp;query=" &amp; A1998 &amp; "," &amp; B1998</f>
        <v>https://www.google.com/maps/search/?api=1&amp;query=-30.9083811519693,-55.54007145415900</v>
      </c>
      <c r="G1998" s="27" t="str">
        <f t="array" ref="G1998">"https://earth.google.com/web/search/" &amp; A1998 &amp; "," &amp; B1998</f>
        <v>https://earth.google.com/web/search/-30.9083811519693,-55.54007145415900</v>
      </c>
      <c r="H1998" s="12"/>
      <c r="I1998" s="12"/>
      <c r="J1998" s="12"/>
      <c r="K1998" s="12"/>
      <c r="L1998" s="12"/>
      <c r="M1998" s="12"/>
      <c r="N1998" s="12"/>
      <c r="O1998" s="12"/>
      <c r="P1998" s="12"/>
      <c r="Q1998" s="12"/>
      <c r="R1998" s="12"/>
      <c r="S1998" s="12"/>
      <c r="T1998" s="12"/>
      <c r="U1998" s="12"/>
      <c r="V1998" s="12"/>
      <c r="W1998" s="12"/>
      <c r="X1998" s="12"/>
      <c r="Y1998" s="12"/>
      <c r="Z1998" s="12"/>
      <c r="AA1998" s="12"/>
    </row>
    <row r="1999" ht="26.25" customHeight="1">
      <c r="A1999" s="26" t="s">
        <v>4008</v>
      </c>
      <c r="B1999" s="26" t="s">
        <v>4009</v>
      </c>
      <c r="C1999" s="14">
        <v>2.0</v>
      </c>
      <c r="D1999" s="23">
        <v>378.0</v>
      </c>
      <c r="E1999" s="23">
        <v>10.0</v>
      </c>
      <c r="F1999" s="27" t="str">
        <f t="array" ref="F1999">"https://www.google.com/maps/search/?api=1&amp;query=" &amp; A1999 &amp; "," &amp; B1999</f>
        <v>https://www.google.com/maps/search/?api=1&amp;query=-30.9084425475676,-55.53998242090230</v>
      </c>
      <c r="G1999" s="27" t="str">
        <f t="array" ref="G1999">"https://earth.google.com/web/search/" &amp; A1999 &amp; "," &amp; B1999</f>
        <v>https://earth.google.com/web/search/-30.9084425475676,-55.53998242090230</v>
      </c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/>
      <c r="S1999" s="12"/>
      <c r="T1999" s="12"/>
      <c r="U1999" s="12"/>
      <c r="V1999" s="12"/>
      <c r="W1999" s="12"/>
      <c r="X1999" s="12"/>
      <c r="Y1999" s="12"/>
      <c r="Z1999" s="12"/>
      <c r="AA1999" s="12"/>
    </row>
    <row r="2000" ht="26.25" customHeight="1">
      <c r="A2000" s="26" t="s">
        <v>4010</v>
      </c>
      <c r="B2000" s="26" t="s">
        <v>4011</v>
      </c>
      <c r="C2000" s="14">
        <v>2.0</v>
      </c>
      <c r="D2000" s="23">
        <v>378.0</v>
      </c>
      <c r="E2000" s="23">
        <v>11.0</v>
      </c>
      <c r="F2000" s="27" t="str">
        <f t="array" ref="F2000">"https://www.google.com/maps/search/?api=1&amp;query=" &amp; A2000 &amp; "," &amp; B2000</f>
        <v>https://www.google.com/maps/search/?api=1&amp;query=-30.9084664364429,-55.53976924679620</v>
      </c>
      <c r="G2000" s="27" t="str">
        <f t="array" ref="G2000">"https://earth.google.com/web/search/" &amp; A2000 &amp; "," &amp; B2000</f>
        <v>https://earth.google.com/web/search/-30.9084664364429,-55.53976924679620</v>
      </c>
      <c r="H2000" s="12"/>
      <c r="I2000" s="12"/>
      <c r="J2000" s="12"/>
      <c r="K2000" s="12"/>
      <c r="L2000" s="12"/>
      <c r="M2000" s="12"/>
      <c r="N2000" s="12"/>
      <c r="O2000" s="12"/>
      <c r="P2000" s="12"/>
      <c r="Q2000" s="12"/>
      <c r="R2000" s="12"/>
      <c r="S2000" s="12"/>
      <c r="T2000" s="12"/>
      <c r="U2000" s="12"/>
      <c r="V2000" s="12"/>
      <c r="W2000" s="12"/>
      <c r="X2000" s="12"/>
      <c r="Y2000" s="12"/>
      <c r="Z2000" s="12"/>
      <c r="AA2000" s="12"/>
    </row>
    <row r="2001" ht="26.25" customHeight="1">
      <c r="A2001" s="26" t="s">
        <v>4012</v>
      </c>
      <c r="B2001" s="26" t="s">
        <v>4013</v>
      </c>
      <c r="C2001" s="14">
        <v>2.0</v>
      </c>
      <c r="D2001" s="23">
        <v>378.0</v>
      </c>
      <c r="E2001" s="23">
        <v>12.0</v>
      </c>
      <c r="F2001" s="27" t="str">
        <f t="array" ref="F2001">"https://www.google.com/maps/search/?api=1&amp;query=" &amp; A2001 &amp; "," &amp; B2001</f>
        <v>https://www.google.com/maps/search/?api=1&amp;query=-30.9082510799900,-55.53960881337480</v>
      </c>
      <c r="G2001" s="27" t="str">
        <f t="array" ref="G2001">"https://earth.google.com/web/search/" &amp; A2001 &amp; "," &amp; B2001</f>
        <v>https://earth.google.com/web/search/-30.9082510799900,-55.53960881337480</v>
      </c>
      <c r="H2001" s="12"/>
      <c r="I2001" s="12"/>
      <c r="J2001" s="12"/>
      <c r="K2001" s="12"/>
      <c r="L2001" s="12"/>
      <c r="M2001" s="12"/>
      <c r="N2001" s="12"/>
      <c r="O2001" s="12"/>
      <c r="P2001" s="12"/>
      <c r="Q2001" s="12"/>
      <c r="R2001" s="12"/>
      <c r="S2001" s="12"/>
      <c r="T2001" s="12"/>
      <c r="U2001" s="12"/>
      <c r="V2001" s="12"/>
      <c r="W2001" s="12"/>
      <c r="X2001" s="12"/>
      <c r="Y2001" s="12"/>
      <c r="Z2001" s="12"/>
      <c r="AA2001" s="12"/>
    </row>
    <row r="2002" ht="26.25" customHeight="1">
      <c r="A2002" s="26" t="s">
        <v>4014</v>
      </c>
      <c r="B2002" s="26" t="s">
        <v>4015</v>
      </c>
      <c r="C2002" s="14">
        <v>2.0</v>
      </c>
      <c r="D2002" s="23">
        <v>378.0</v>
      </c>
      <c r="E2002" s="23">
        <v>13.0</v>
      </c>
      <c r="F2002" s="27" t="str">
        <f t="array" ref="F2002">"https://www.google.com/maps/search/?api=1&amp;query=" &amp; A2002 &amp; "," &amp; B2002</f>
        <v>https://www.google.com/maps/search/?api=1&amp;query=-30.9080599938974,-55.53946971135900</v>
      </c>
      <c r="G2002" s="27" t="str">
        <f t="array" ref="G2002">"https://earth.google.com/web/search/" &amp; A2002 &amp; "," &amp; B2002</f>
        <v>https://earth.google.com/web/search/-30.9080599938974,-55.53946971135900</v>
      </c>
      <c r="H2002" s="12"/>
      <c r="I2002" s="12"/>
      <c r="J2002" s="12"/>
      <c r="K2002" s="12"/>
      <c r="L2002" s="12"/>
      <c r="M2002" s="12"/>
      <c r="N2002" s="12"/>
      <c r="O2002" s="12"/>
      <c r="P2002" s="12"/>
      <c r="Q2002" s="12"/>
      <c r="R2002" s="12"/>
      <c r="S2002" s="12"/>
      <c r="T2002" s="12"/>
      <c r="U2002" s="12"/>
      <c r="V2002" s="12"/>
      <c r="W2002" s="12"/>
      <c r="X2002" s="12"/>
      <c r="Y2002" s="12"/>
      <c r="Z2002" s="12"/>
      <c r="AA2002" s="12"/>
    </row>
    <row r="2003" ht="26.25" customHeight="1">
      <c r="A2003" s="26" t="s">
        <v>4016</v>
      </c>
      <c r="B2003" s="26" t="s">
        <v>4017</v>
      </c>
      <c r="C2003" s="14">
        <v>2.0</v>
      </c>
      <c r="D2003" s="23">
        <v>378.0</v>
      </c>
      <c r="E2003" s="23">
        <v>14.0</v>
      </c>
      <c r="F2003" s="27" t="str">
        <f t="array" ref="F2003">"https://www.google.com/maps/search/?api=1&amp;query=" &amp; A2003 &amp; "," &amp; B2003</f>
        <v>https://www.google.com/maps/search/?api=1&amp;query=-30.9080060218042,-5.55394475307229</v>
      </c>
      <c r="G2003" s="27" t="str">
        <f t="array" ref="G2003">"https://earth.google.com/web/search/" &amp; A2003 &amp; "," &amp; B2003</f>
        <v>https://earth.google.com/web/search/-30.9080060218042,-5.55394475307229</v>
      </c>
      <c r="H2003" s="12"/>
      <c r="I2003" s="12"/>
      <c r="J2003" s="12"/>
      <c r="K2003" s="12"/>
      <c r="L2003" s="12"/>
      <c r="M2003" s="12"/>
      <c r="N2003" s="12"/>
      <c r="O2003" s="12"/>
      <c r="P2003" s="12"/>
      <c r="Q2003" s="12"/>
      <c r="R2003" s="12"/>
      <c r="S2003" s="12"/>
      <c r="T2003" s="12"/>
      <c r="U2003" s="12"/>
      <c r="V2003" s="12"/>
      <c r="W2003" s="12"/>
      <c r="X2003" s="12"/>
      <c r="Y2003" s="12"/>
      <c r="Z2003" s="12"/>
      <c r="AA2003" s="12"/>
    </row>
    <row r="2004" ht="26.25" customHeight="1">
      <c r="A2004" s="26" t="s">
        <v>4018</v>
      </c>
      <c r="B2004" s="26" t="s">
        <v>4019</v>
      </c>
      <c r="C2004" s="14">
        <v>2.0</v>
      </c>
      <c r="D2004" s="23">
        <v>378.0</v>
      </c>
      <c r="E2004" s="23">
        <v>15.0</v>
      </c>
      <c r="F2004" s="27" t="str">
        <f t="array" ref="F2004">"https://www.google.com/maps/search/?api=1&amp;query=" &amp; A2004 &amp; "," &amp; B2004</f>
        <v>https://www.google.com/maps/search/?api=1&amp;query=-30.9079275038034,-55.53937649307830</v>
      </c>
      <c r="G2004" s="27" t="str">
        <f t="array" ref="G2004">"https://earth.google.com/web/search/" &amp; A2004 &amp; "," &amp; B2004</f>
        <v>https://earth.google.com/web/search/-30.9079275038034,-55.53937649307830</v>
      </c>
      <c r="H2004" s="12"/>
      <c r="I2004" s="12"/>
      <c r="J2004" s="12"/>
      <c r="K2004" s="12"/>
      <c r="L2004" s="12"/>
      <c r="M2004" s="12"/>
      <c r="N2004" s="12"/>
      <c r="O2004" s="12"/>
      <c r="P2004" s="12"/>
      <c r="Q2004" s="12"/>
      <c r="R2004" s="12"/>
      <c r="S2004" s="12"/>
      <c r="T2004" s="12"/>
      <c r="U2004" s="12"/>
      <c r="V2004" s="12"/>
      <c r="W2004" s="12"/>
      <c r="X2004" s="12"/>
      <c r="Y2004" s="12"/>
      <c r="Z2004" s="12"/>
      <c r="AA2004" s="12"/>
    </row>
    <row r="2005" ht="26.25" customHeight="1">
      <c r="A2005" s="26" t="s">
        <v>4020</v>
      </c>
      <c r="B2005" s="26" t="s">
        <v>4021</v>
      </c>
      <c r="C2005" s="14">
        <v>2.0</v>
      </c>
      <c r="D2005" s="23">
        <v>378.0</v>
      </c>
      <c r="E2005" s="23">
        <v>16.0</v>
      </c>
      <c r="F2005" s="27" t="str">
        <f t="array" ref="F2005">"https://www.google.com/maps/search/?api=1&amp;query=" &amp; A2005 &amp; "," &amp; B2005</f>
        <v>https://www.google.com/maps/search/?api=1&amp;query=-30.9077813962041,-5.55393578367453</v>
      </c>
      <c r="G2005" s="27" t="str">
        <f t="array" ref="G2005">"https://earth.google.com/web/search/" &amp; A2005 &amp; "," &amp; B2005</f>
        <v>https://earth.google.com/web/search/-30.9077813962041,-5.55393578367453</v>
      </c>
      <c r="H2005" s="12"/>
      <c r="I2005" s="12"/>
      <c r="J2005" s="12"/>
      <c r="K2005" s="12"/>
      <c r="L2005" s="12"/>
      <c r="M2005" s="12"/>
      <c r="N2005" s="12"/>
      <c r="O2005" s="12"/>
      <c r="P2005" s="12"/>
      <c r="Q2005" s="12"/>
      <c r="R2005" s="12"/>
      <c r="S2005" s="12"/>
      <c r="T2005" s="12"/>
      <c r="U2005" s="12"/>
      <c r="V2005" s="12"/>
      <c r="W2005" s="12"/>
      <c r="X2005" s="12"/>
      <c r="Y2005" s="12"/>
      <c r="Z2005" s="12"/>
      <c r="AA2005" s="12"/>
    </row>
    <row r="2006" ht="26.25" customHeight="1">
      <c r="A2006" s="26" t="s">
        <v>4022</v>
      </c>
      <c r="B2006" s="26" t="s">
        <v>4023</v>
      </c>
      <c r="C2006" s="14">
        <v>2.0</v>
      </c>
      <c r="D2006" s="23">
        <v>378.0</v>
      </c>
      <c r="E2006" s="23">
        <v>17.0</v>
      </c>
      <c r="F2006" s="27" t="str">
        <f t="array" ref="F2006">"https://www.google.com/maps/search/?api=1&amp;query=" &amp; A2006 &amp; "," &amp; B2006</f>
        <v>https://www.google.com/maps/search/?api=1&amp;query=-30.9076287709973,-55.53969404913620</v>
      </c>
      <c r="G2006" s="27" t="str">
        <f t="array" ref="G2006">"https://earth.google.com/web/search/" &amp; A2006 &amp; "," &amp; B2006</f>
        <v>https://earth.google.com/web/search/-30.9076287709973,-55.53969404913620</v>
      </c>
      <c r="H2006" s="12"/>
      <c r="I2006" s="12"/>
      <c r="J2006" s="12"/>
      <c r="K2006" s="12"/>
      <c r="L2006" s="12"/>
      <c r="M2006" s="12"/>
      <c r="N2006" s="12"/>
      <c r="O2006" s="12"/>
      <c r="P2006" s="12"/>
      <c r="Q2006" s="12"/>
      <c r="R2006" s="12"/>
      <c r="S2006" s="12"/>
      <c r="T2006" s="12"/>
      <c r="U2006" s="12"/>
      <c r="V2006" s="12"/>
      <c r="W2006" s="12"/>
      <c r="X2006" s="12"/>
      <c r="Y2006" s="12"/>
      <c r="Z2006" s="12"/>
      <c r="AA2006" s="12"/>
    </row>
    <row r="2007" ht="26.25" customHeight="1">
      <c r="A2007" s="26" t="s">
        <v>4024</v>
      </c>
      <c r="B2007" s="26" t="s">
        <v>4025</v>
      </c>
      <c r="C2007" s="14">
        <v>2.0</v>
      </c>
      <c r="D2007" s="23">
        <v>378.0</v>
      </c>
      <c r="E2007" s="23">
        <v>18.0</v>
      </c>
      <c r="F2007" s="27" t="str">
        <f t="array" ref="F2007">"https://www.google.com/maps/search/?api=1&amp;query=" &amp; A2007 &amp; "," &amp; B2007</f>
        <v>https://www.google.com/maps/search/?api=1&amp;query=-30.9075771005971,-55.53977184900420</v>
      </c>
      <c r="G2007" s="27" t="str">
        <f t="array" ref="G2007">"https://earth.google.com/web/search/" &amp; A2007 &amp; "," &amp; B2007</f>
        <v>https://earth.google.com/web/search/-30.9075771005971,-55.53977184900420</v>
      </c>
      <c r="H2007" s="12"/>
      <c r="I2007" s="12"/>
      <c r="J2007" s="12"/>
      <c r="K2007" s="12"/>
      <c r="L2007" s="12"/>
      <c r="M2007" s="12"/>
      <c r="N2007" s="12"/>
      <c r="O2007" s="12"/>
      <c r="P2007" s="12"/>
      <c r="Q2007" s="12"/>
      <c r="R2007" s="12"/>
      <c r="S2007" s="12"/>
      <c r="T2007" s="12"/>
      <c r="U2007" s="12"/>
      <c r="V2007" s="12"/>
      <c r="W2007" s="12"/>
      <c r="X2007" s="12"/>
      <c r="Y2007" s="12"/>
      <c r="Z2007" s="12"/>
      <c r="AA2007" s="12"/>
    </row>
    <row r="2008" ht="26.25" customHeight="1">
      <c r="A2008" s="26" t="s">
        <v>4026</v>
      </c>
      <c r="B2008" s="26" t="s">
        <v>4027</v>
      </c>
      <c r="C2008" s="14">
        <v>2.0</v>
      </c>
      <c r="D2008" s="23">
        <v>486.0</v>
      </c>
      <c r="E2008" s="23">
        <v>1.0</v>
      </c>
      <c r="F2008" s="27" t="str">
        <f t="array" ref="F2008">"https://www.google.com/maps/search/?api=1&amp;query=" &amp; A2008 &amp; "," &amp; B2008</f>
        <v>https://www.google.com/maps/search/?api=1&amp;query=-30.9080171536744,-5.55391556643304</v>
      </c>
      <c r="G2008" s="27" t="str">
        <f t="array" ref="G2008">"https://earth.google.com/web/search/" &amp; A2008 &amp; "," &amp; B2008</f>
        <v>https://earth.google.com/web/search/-30.9080171536744,-5.55391556643304</v>
      </c>
      <c r="H2008" s="12"/>
      <c r="I2008" s="12"/>
      <c r="J2008" s="12"/>
      <c r="K2008" s="12"/>
      <c r="L2008" s="12"/>
      <c r="M2008" s="12"/>
      <c r="N2008" s="12"/>
      <c r="O2008" s="12"/>
      <c r="P2008" s="12"/>
      <c r="Q2008" s="12"/>
      <c r="R2008" s="12"/>
      <c r="S2008" s="12"/>
      <c r="T2008" s="12"/>
      <c r="U2008" s="12"/>
      <c r="V2008" s="12"/>
      <c r="W2008" s="12"/>
      <c r="X2008" s="12"/>
      <c r="Y2008" s="12"/>
      <c r="Z2008" s="12"/>
      <c r="AA2008" s="12"/>
    </row>
    <row r="2009" ht="26.25" customHeight="1">
      <c r="A2009" s="26" t="s">
        <v>4028</v>
      </c>
      <c r="B2009" s="26" t="s">
        <v>4029</v>
      </c>
      <c r="C2009" s="14">
        <v>2.0</v>
      </c>
      <c r="D2009" s="23">
        <v>486.0</v>
      </c>
      <c r="E2009" s="23">
        <v>2.0</v>
      </c>
      <c r="F2009" s="27" t="str">
        <f t="array" ref="F2009">"https://www.google.com/maps/search/?api=1&amp;query=" &amp; A2009 &amp; "," &amp; B2009</f>
        <v>https://www.google.com/maps/search/?api=1&amp;query=-30.9082457272470,-55.53932451533430</v>
      </c>
      <c r="G2009" s="27" t="str">
        <f t="array" ref="G2009">"https://earth.google.com/web/search/" &amp; A2009 &amp; "," &amp; B2009</f>
        <v>https://earth.google.com/web/search/-30.9082457272470,-55.53932451533430</v>
      </c>
      <c r="H2009" s="12"/>
      <c r="I2009" s="12"/>
      <c r="J2009" s="12"/>
      <c r="K2009" s="12"/>
      <c r="L2009" s="12"/>
      <c r="M2009" s="12"/>
      <c r="N2009" s="12"/>
      <c r="O2009" s="12"/>
      <c r="P2009" s="12"/>
      <c r="Q2009" s="12"/>
      <c r="R2009" s="12"/>
      <c r="S2009" s="12"/>
      <c r="T2009" s="12"/>
      <c r="U2009" s="12"/>
      <c r="V2009" s="12"/>
      <c r="W2009" s="12"/>
      <c r="X2009" s="12"/>
      <c r="Y2009" s="12"/>
      <c r="Z2009" s="12"/>
      <c r="AA2009" s="12"/>
    </row>
    <row r="2010" ht="26.25" customHeight="1">
      <c r="A2010" s="26" t="s">
        <v>4030</v>
      </c>
      <c r="B2010" s="26" t="s">
        <v>4031</v>
      </c>
      <c r="C2010" s="14">
        <v>2.0</v>
      </c>
      <c r="D2010" s="23">
        <v>486.0</v>
      </c>
      <c r="E2010" s="23">
        <v>3.0</v>
      </c>
      <c r="F2010" s="27" t="str">
        <f t="array" ref="F2010">"https://www.google.com/maps/search/?api=1&amp;query=" &amp; A2010 &amp; "," &amp; B2010</f>
        <v>https://www.google.com/maps/search/?api=1&amp;query=-30.9087829485919,-55.53936121962640</v>
      </c>
      <c r="G2010" s="27" t="str">
        <f t="array" ref="G2010">"https://earth.google.com/web/search/" &amp; A2010 &amp; "," &amp; B2010</f>
        <v>https://earth.google.com/web/search/-30.9087829485919,-55.53936121962640</v>
      </c>
      <c r="H2010" s="12"/>
      <c r="I2010" s="12"/>
      <c r="J2010" s="12"/>
      <c r="K2010" s="12"/>
      <c r="L2010" s="12"/>
      <c r="M2010" s="12"/>
      <c r="N2010" s="12"/>
      <c r="O2010" s="12"/>
      <c r="P2010" s="12"/>
      <c r="Q2010" s="12"/>
      <c r="R2010" s="12"/>
      <c r="S2010" s="12"/>
      <c r="T2010" s="12"/>
      <c r="U2010" s="12"/>
      <c r="V2010" s="12"/>
      <c r="W2010" s="12"/>
      <c r="X2010" s="12"/>
      <c r="Y2010" s="12"/>
      <c r="Z2010" s="12"/>
      <c r="AA2010" s="12"/>
    </row>
    <row r="2011" ht="26.25" customHeight="1">
      <c r="A2011" s="26" t="s">
        <v>4032</v>
      </c>
      <c r="B2011" s="26" t="s">
        <v>4033</v>
      </c>
      <c r="C2011" s="14">
        <v>2.0</v>
      </c>
      <c r="D2011" s="23">
        <v>486.0</v>
      </c>
      <c r="E2011" s="23">
        <v>4.0</v>
      </c>
      <c r="F2011" s="27" t="str">
        <f t="array" ref="F2011">"https://www.google.com/maps/search/?api=1&amp;query=" &amp; A2011 &amp; "," &amp; B2011</f>
        <v>https://www.google.com/maps/search/?api=1&amp;query=-30.9089708654304,-55.53897720826710</v>
      </c>
      <c r="G2011" s="27" t="str">
        <f t="array" ref="G2011">"https://earth.google.com/web/search/" &amp; A2011 &amp; "," &amp; B2011</f>
        <v>https://earth.google.com/web/search/-30.9089708654304,-55.53897720826710</v>
      </c>
      <c r="H2011" s="12"/>
      <c r="I2011" s="12"/>
      <c r="J2011" s="12"/>
      <c r="K2011" s="12"/>
      <c r="L2011" s="12"/>
      <c r="M2011" s="12"/>
      <c r="N2011" s="12"/>
      <c r="O2011" s="12"/>
      <c r="P2011" s="12"/>
      <c r="Q2011" s="12"/>
      <c r="R2011" s="12"/>
      <c r="S2011" s="12"/>
      <c r="T2011" s="12"/>
      <c r="U2011" s="12"/>
      <c r="V2011" s="12"/>
      <c r="W2011" s="12"/>
      <c r="X2011" s="12"/>
      <c r="Y2011" s="12"/>
      <c r="Z2011" s="12"/>
      <c r="AA2011" s="12"/>
    </row>
    <row r="2012" ht="26.25" customHeight="1">
      <c r="A2012" s="26" t="s">
        <v>4034</v>
      </c>
      <c r="B2012" s="26" t="s">
        <v>4035</v>
      </c>
      <c r="C2012" s="14">
        <v>2.0</v>
      </c>
      <c r="D2012" s="23">
        <v>486.0</v>
      </c>
      <c r="E2012" s="23">
        <v>5.0</v>
      </c>
      <c r="F2012" s="27" t="str">
        <f t="array" ref="F2012">"https://www.google.com/maps/search/?api=1&amp;query=" &amp; A2012 &amp; "," &amp; B2012</f>
        <v>https://www.google.com/maps/search/?api=1&amp;query=-30.9089119508203,-55.53883917566650</v>
      </c>
      <c r="G2012" s="27" t="str">
        <f t="array" ref="G2012">"https://earth.google.com/web/search/" &amp; A2012 &amp; "," &amp; B2012</f>
        <v>https://earth.google.com/web/search/-30.9089119508203,-55.53883917566650</v>
      </c>
      <c r="H2012" s="12"/>
      <c r="I2012" s="12"/>
      <c r="J2012" s="12"/>
      <c r="K2012" s="12"/>
      <c r="L2012" s="12"/>
      <c r="M2012" s="12"/>
      <c r="N2012" s="12"/>
      <c r="O2012" s="12"/>
      <c r="P2012" s="12"/>
      <c r="Q2012" s="12"/>
      <c r="R2012" s="12"/>
      <c r="S2012" s="12"/>
      <c r="T2012" s="12"/>
      <c r="U2012" s="12"/>
      <c r="V2012" s="12"/>
      <c r="W2012" s="12"/>
      <c r="X2012" s="12"/>
      <c r="Y2012" s="12"/>
      <c r="Z2012" s="12"/>
      <c r="AA2012" s="12"/>
    </row>
    <row r="2013" ht="26.25" customHeight="1">
      <c r="A2013" s="26" t="s">
        <v>4036</v>
      </c>
      <c r="B2013" s="26" t="s">
        <v>4037</v>
      </c>
      <c r="C2013" s="14">
        <v>2.0</v>
      </c>
      <c r="D2013" s="23">
        <v>486.0</v>
      </c>
      <c r="E2013" s="23">
        <v>6.0</v>
      </c>
      <c r="F2013" s="27" t="str">
        <f t="array" ref="F2013">"https://www.google.com/maps/search/?api=1&amp;query=" &amp; A2013 &amp; "," &amp; B2013</f>
        <v>https://www.google.com/maps/search/?api=1&amp;query=-3.0908808186413,-55.53875863439520</v>
      </c>
      <c r="G2013" s="27" t="str">
        <f t="array" ref="G2013">"https://earth.google.com/web/search/" &amp; A2013 &amp; "," &amp; B2013</f>
        <v>https://earth.google.com/web/search/-3.0908808186413,-55.53875863439520</v>
      </c>
      <c r="H2013" s="12"/>
      <c r="I2013" s="12"/>
      <c r="J2013" s="12"/>
      <c r="K2013" s="12"/>
      <c r="L2013" s="12"/>
      <c r="M2013" s="12"/>
      <c r="N2013" s="12"/>
      <c r="O2013" s="12"/>
      <c r="P2013" s="12"/>
      <c r="Q2013" s="12"/>
      <c r="R2013" s="12"/>
      <c r="S2013" s="12"/>
      <c r="T2013" s="12"/>
      <c r="U2013" s="12"/>
      <c r="V2013" s="12"/>
      <c r="W2013" s="12"/>
      <c r="X2013" s="12"/>
      <c r="Y2013" s="12"/>
      <c r="Z2013" s="12"/>
      <c r="AA2013" s="12"/>
    </row>
    <row r="2014" ht="26.25" customHeight="1">
      <c r="A2014" s="26" t="s">
        <v>4038</v>
      </c>
      <c r="B2014" s="26" t="s">
        <v>4039</v>
      </c>
      <c r="C2014" s="14">
        <v>2.0</v>
      </c>
      <c r="D2014" s="23">
        <v>486.0</v>
      </c>
      <c r="E2014" s="23">
        <v>7.0</v>
      </c>
      <c r="F2014" s="27" t="str">
        <f t="array" ref="F2014">"https://www.google.com/maps/search/?api=1&amp;query=" &amp; A2014 &amp; "," &amp; B2014</f>
        <v>https://www.google.com/maps/search/?api=1&amp;query=-30.9084432298270,-55.53851345147370</v>
      </c>
      <c r="G2014" s="27" t="str">
        <f t="array" ref="G2014">"https://earth.google.com/web/search/" &amp; A2014 &amp; "," &amp; B2014</f>
        <v>https://earth.google.com/web/search/-30.9084432298270,-55.53851345147370</v>
      </c>
      <c r="H2014" s="12"/>
      <c r="I2014" s="12"/>
      <c r="J2014" s="12"/>
      <c r="K2014" s="12"/>
      <c r="L2014" s="12"/>
      <c r="M2014" s="12"/>
      <c r="N2014" s="12"/>
      <c r="O2014" s="12"/>
      <c r="P2014" s="12"/>
      <c r="Q2014" s="12"/>
      <c r="R2014" s="12"/>
      <c r="S2014" s="12"/>
      <c r="T2014" s="12"/>
      <c r="U2014" s="12"/>
      <c r="V2014" s="12"/>
      <c r="W2014" s="12"/>
      <c r="X2014" s="12"/>
      <c r="Y2014" s="12"/>
      <c r="Z2014" s="12"/>
      <c r="AA2014" s="12"/>
    </row>
    <row r="2015" ht="26.25" customHeight="1">
      <c r="A2015" s="26" t="s">
        <v>4040</v>
      </c>
      <c r="B2015" s="26" t="s">
        <v>4041</v>
      </c>
      <c r="C2015" s="14">
        <v>2.0</v>
      </c>
      <c r="D2015" s="23">
        <v>486.0</v>
      </c>
      <c r="E2015" s="23">
        <v>8.0</v>
      </c>
      <c r="F2015" s="27" t="str">
        <f t="array" ref="F2015">"https://www.google.com/maps/search/?api=1&amp;query=" &amp; A2015 &amp; "," &amp; B2015</f>
        <v>https://www.google.com/maps/search/?api=1&amp;query=-30.9082740386874,-55.53846200138180</v>
      </c>
      <c r="G2015" s="27" t="str">
        <f t="array" ref="G2015">"https://earth.google.com/web/search/" &amp; A2015 &amp; "," &amp; B2015</f>
        <v>https://earth.google.com/web/search/-30.9082740386874,-55.53846200138180</v>
      </c>
      <c r="H2015" s="12"/>
      <c r="I2015" s="12"/>
      <c r="J2015" s="12"/>
      <c r="K2015" s="12"/>
      <c r="L2015" s="12"/>
      <c r="M2015" s="12"/>
      <c r="N2015" s="12"/>
      <c r="O2015" s="12"/>
      <c r="P2015" s="12"/>
      <c r="Q2015" s="12"/>
      <c r="R2015" s="12"/>
      <c r="S2015" s="12"/>
      <c r="T2015" s="12"/>
      <c r="U2015" s="12"/>
      <c r="V2015" s="12"/>
      <c r="W2015" s="12"/>
      <c r="X2015" s="12"/>
      <c r="Y2015" s="12"/>
      <c r="Z2015" s="12"/>
      <c r="AA2015" s="12"/>
    </row>
    <row r="2016" ht="26.25" customHeight="1">
      <c r="A2016" s="26" t="s">
        <v>4042</v>
      </c>
      <c r="B2016" s="26" t="s">
        <v>4043</v>
      </c>
      <c r="C2016" s="14">
        <v>2.0</v>
      </c>
      <c r="D2016" s="23">
        <v>485.0</v>
      </c>
      <c r="E2016" s="23">
        <v>1.0</v>
      </c>
      <c r="F2016" s="27" t="str">
        <f t="array" ref="F2016">"https://www.google.com/maps/search/?api=1&amp;query=" &amp; A2016 &amp; "," &amp; B2016</f>
        <v>https://www.google.com/maps/search/?api=1&amp;query=-30.9087660843410,-55.53863687411820</v>
      </c>
      <c r="G2016" s="27" t="str">
        <f t="array" ref="G2016">"https://earth.google.com/web/search/" &amp; A2016 &amp; "," &amp; B2016</f>
        <v>https://earth.google.com/web/search/-30.9087660843410,-55.53863687411820</v>
      </c>
      <c r="H2016" s="12"/>
      <c r="I2016" s="12"/>
      <c r="J2016" s="12"/>
      <c r="K2016" s="12"/>
      <c r="L2016" s="12"/>
      <c r="M2016" s="12"/>
      <c r="N2016" s="12"/>
      <c r="O2016" s="12"/>
      <c r="P2016" s="12"/>
      <c r="Q2016" s="12"/>
      <c r="R2016" s="12"/>
      <c r="S2016" s="12"/>
      <c r="T2016" s="12"/>
      <c r="U2016" s="12"/>
      <c r="V2016" s="12"/>
      <c r="W2016" s="12"/>
      <c r="X2016" s="12"/>
      <c r="Y2016" s="12"/>
      <c r="Z2016" s="12"/>
      <c r="AA2016" s="12"/>
    </row>
    <row r="2017" ht="26.25" customHeight="1">
      <c r="A2017" s="26" t="s">
        <v>4044</v>
      </c>
      <c r="B2017" s="26" t="s">
        <v>4045</v>
      </c>
      <c r="C2017" s="14">
        <v>2.0</v>
      </c>
      <c r="D2017" s="23">
        <v>485.0</v>
      </c>
      <c r="E2017" s="23">
        <v>2.0</v>
      </c>
      <c r="F2017" s="27" t="str">
        <f t="array" ref="F2017">"https://www.google.com/maps/search/?api=1&amp;query=" &amp; A2017 &amp; "," &amp; B2017</f>
        <v>https://www.google.com/maps/search/?api=1&amp;query=-30.9088990885076,-55.53871856656860</v>
      </c>
      <c r="G2017" s="27" t="str">
        <f t="array" ref="G2017">"https://earth.google.com/web/search/" &amp; A2017 &amp; "," &amp; B2017</f>
        <v>https://earth.google.com/web/search/-30.9088990885076,-55.53871856656860</v>
      </c>
      <c r="H2017" s="12"/>
      <c r="I2017" s="12"/>
      <c r="J2017" s="12"/>
      <c r="K2017" s="12"/>
      <c r="L2017" s="12"/>
      <c r="M2017" s="12"/>
      <c r="N2017" s="12"/>
      <c r="O2017" s="12"/>
      <c r="P2017" s="12"/>
      <c r="Q2017" s="12"/>
      <c r="R2017" s="12"/>
      <c r="S2017" s="12"/>
      <c r="T2017" s="12"/>
      <c r="U2017" s="12"/>
      <c r="V2017" s="12"/>
      <c r="W2017" s="12"/>
      <c r="X2017" s="12"/>
      <c r="Y2017" s="12"/>
      <c r="Z2017" s="12"/>
      <c r="AA2017" s="12"/>
    </row>
    <row r="2018" ht="26.25" customHeight="1">
      <c r="A2018" s="26" t="s">
        <v>4046</v>
      </c>
      <c r="B2018" s="26" t="s">
        <v>4047</v>
      </c>
      <c r="C2018" s="14">
        <v>2.0</v>
      </c>
      <c r="D2018" s="23">
        <v>485.0</v>
      </c>
      <c r="E2018" s="23">
        <v>3.0</v>
      </c>
      <c r="F2018" s="27" t="str">
        <f t="array" ref="F2018">"https://www.google.com/maps/search/?api=1&amp;query=" &amp; A2018 &amp; "," &amp; B2018</f>
        <v>https://www.google.com/maps/search/?api=1&amp;query=-30.9089315362869,-55.53876013082350</v>
      </c>
      <c r="G2018" s="27" t="str">
        <f t="array" ref="G2018">"https://earth.google.com/web/search/" &amp; A2018 &amp; "," &amp; B2018</f>
        <v>https://earth.google.com/web/search/-30.9089315362869,-55.53876013082350</v>
      </c>
      <c r="H2018" s="12"/>
      <c r="I2018" s="12"/>
      <c r="J2018" s="12"/>
      <c r="K2018" s="12"/>
      <c r="L2018" s="12"/>
      <c r="M2018" s="12"/>
      <c r="N2018" s="12"/>
      <c r="O2018" s="12"/>
      <c r="P2018" s="12"/>
      <c r="Q2018" s="12"/>
      <c r="R2018" s="12"/>
      <c r="S2018" s="12"/>
      <c r="T2018" s="12"/>
      <c r="U2018" s="12"/>
      <c r="V2018" s="12"/>
      <c r="W2018" s="12"/>
      <c r="X2018" s="12"/>
      <c r="Y2018" s="12"/>
      <c r="Z2018" s="12"/>
      <c r="AA2018" s="12"/>
    </row>
    <row r="2019" ht="26.25" customHeight="1">
      <c r="A2019" s="26" t="s">
        <v>4048</v>
      </c>
      <c r="B2019" s="26" t="s">
        <v>4049</v>
      </c>
      <c r="C2019" s="14">
        <v>2.0</v>
      </c>
      <c r="D2019" s="23">
        <v>485.0</v>
      </c>
      <c r="E2019" s="23">
        <v>4.0</v>
      </c>
      <c r="F2019" s="27" t="str">
        <f t="array" ref="F2019">"https://www.google.com/maps/search/?api=1&amp;query=" &amp; A2019 &amp; "," &amp; B2019</f>
        <v>https://www.google.com/maps/search/?api=1&amp;query=-30.9092314711895,-55.53803910263290</v>
      </c>
      <c r="G2019" s="27" t="str">
        <f t="array" ref="G2019">"https://earth.google.com/web/search/" &amp; A2019 &amp; "," &amp; B2019</f>
        <v>https://earth.google.com/web/search/-30.9092314711895,-55.53803910263290</v>
      </c>
      <c r="H2019" s="12"/>
      <c r="I2019" s="12"/>
      <c r="J2019" s="12"/>
      <c r="K2019" s="12"/>
      <c r="L2019" s="12"/>
      <c r="M2019" s="12"/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/>
    </row>
    <row r="2020" ht="26.25" customHeight="1">
      <c r="A2020" s="26" t="s">
        <v>4050</v>
      </c>
      <c r="B2020" s="26" t="s">
        <v>4051</v>
      </c>
      <c r="C2020" s="14">
        <v>2.0</v>
      </c>
      <c r="D2020" s="23">
        <v>485.0</v>
      </c>
      <c r="E2020" s="23">
        <v>5.0</v>
      </c>
      <c r="F2020" s="27" t="str">
        <f t="array" ref="F2020">"https://www.google.com/maps/search/?api=1&amp;query=" &amp; A2020 &amp; "," &amp; B2020</f>
        <v>https://www.google.com/maps/search/?api=1&amp;query=-30.9091040523447,-55.53796007698610</v>
      </c>
      <c r="G2020" s="27" t="str">
        <f t="array" ref="G2020">"https://earth.google.com/web/search/" &amp; A2020 &amp; "," &amp; B2020</f>
        <v>https://earth.google.com/web/search/-30.9091040523447,-55.53796007698610</v>
      </c>
      <c r="H2020" s="12"/>
      <c r="I2020" s="12"/>
      <c r="J2020" s="12"/>
      <c r="K2020" s="12"/>
      <c r="L2020" s="12"/>
      <c r="M2020" s="12"/>
      <c r="N2020" s="12"/>
      <c r="O2020" s="12"/>
      <c r="P2020" s="12"/>
      <c r="Q2020" s="12"/>
      <c r="R2020" s="12"/>
      <c r="S2020" s="12"/>
      <c r="T2020" s="12"/>
      <c r="U2020" s="12"/>
      <c r="V2020" s="12"/>
      <c r="W2020" s="12"/>
      <c r="X2020" s="12"/>
      <c r="Y2020" s="12"/>
      <c r="Z2020" s="12"/>
      <c r="AA2020" s="12"/>
    </row>
    <row r="2021" ht="26.25" customHeight="1">
      <c r="A2021" s="26" t="s">
        <v>4052</v>
      </c>
      <c r="B2021" s="26" t="s">
        <v>4053</v>
      </c>
      <c r="C2021" s="14">
        <v>2.0</v>
      </c>
      <c r="D2021" s="23">
        <v>485.0</v>
      </c>
      <c r="E2021" s="23">
        <v>6.0</v>
      </c>
      <c r="F2021" s="27" t="str">
        <f t="array" ref="F2021">"https://www.google.com/maps/search/?api=1&amp;query=" &amp; A2021 &amp; "," &amp; B2021</f>
        <v>https://www.google.com/maps/search/?api=1&amp;query=-30.9089229849496,-55.53783780099540</v>
      </c>
      <c r="G2021" s="27" t="str">
        <f t="array" ref="G2021">"https://earth.google.com/web/search/" &amp; A2021 &amp; "," &amp; B2021</f>
        <v>https://earth.google.com/web/search/-30.9089229849496,-55.53783780099540</v>
      </c>
      <c r="H2021" s="12"/>
      <c r="I2021" s="12"/>
      <c r="J2021" s="12"/>
      <c r="K2021" s="12"/>
      <c r="L2021" s="12"/>
      <c r="M2021" s="12"/>
      <c r="N2021" s="12"/>
      <c r="O2021" s="12"/>
      <c r="P2021" s="12"/>
      <c r="Q2021" s="12"/>
      <c r="R2021" s="12"/>
      <c r="S2021" s="12"/>
      <c r="T2021" s="12"/>
      <c r="U2021" s="12"/>
      <c r="V2021" s="12"/>
      <c r="W2021" s="12"/>
      <c r="X2021" s="12"/>
      <c r="Y2021" s="12"/>
      <c r="Z2021" s="12"/>
      <c r="AA2021" s="12"/>
    </row>
    <row r="2022" ht="26.25" customHeight="1">
      <c r="A2022" s="26" t="s">
        <v>4054</v>
      </c>
      <c r="B2022" s="26" t="s">
        <v>4055</v>
      </c>
      <c r="C2022" s="14">
        <v>2.0</v>
      </c>
      <c r="D2022" s="23">
        <v>485.0</v>
      </c>
      <c r="E2022" s="23">
        <v>7.0</v>
      </c>
      <c r="F2022" s="27" t="str">
        <f t="array" ref="F2022">"https://www.google.com/maps/search/?api=1&amp;query=" &amp; A2022 &amp; "," &amp; B2022</f>
        <v>https://www.google.com/maps/search/?api=1&amp;query=-30.9088811144936,-55.53780197054980</v>
      </c>
      <c r="G2022" s="27" t="str">
        <f t="array" ref="G2022">"https://earth.google.com/web/search/" &amp; A2022 &amp; "," &amp; B2022</f>
        <v>https://earth.google.com/web/search/-30.9088811144936,-55.53780197054980</v>
      </c>
      <c r="H2022" s="12"/>
      <c r="I2022" s="12"/>
      <c r="J2022" s="12"/>
      <c r="K2022" s="12"/>
      <c r="L2022" s="12"/>
      <c r="M2022" s="12"/>
      <c r="N2022" s="12"/>
      <c r="O2022" s="12"/>
      <c r="P2022" s="12"/>
      <c r="Q2022" s="12"/>
      <c r="R2022" s="12"/>
      <c r="S2022" s="12"/>
      <c r="T2022" s="12"/>
      <c r="U2022" s="12"/>
      <c r="V2022" s="12"/>
      <c r="W2022" s="12"/>
      <c r="X2022" s="12"/>
      <c r="Y2022" s="12"/>
      <c r="Z2022" s="12"/>
      <c r="AA2022" s="12"/>
    </row>
    <row r="2023" ht="26.25" customHeight="1">
      <c r="A2023" s="26" t="s">
        <v>4056</v>
      </c>
      <c r="B2023" s="26" t="s">
        <v>4057</v>
      </c>
      <c r="C2023" s="14">
        <v>2.0</v>
      </c>
      <c r="D2023" s="23">
        <v>485.0</v>
      </c>
      <c r="E2023" s="23">
        <v>8.0</v>
      </c>
      <c r="F2023" s="27" t="str">
        <f t="array" ref="F2023">"https://www.google.com/maps/search/?api=1&amp;query=" &amp; A2023 &amp; "," &amp; B2023</f>
        <v>https://www.google.com/maps/search/?api=1&amp;query=-3.0908417718939,-55.53819495161050</v>
      </c>
      <c r="G2023" s="27" t="str">
        <f t="array" ref="G2023">"https://earth.google.com/web/search/" &amp; A2023 &amp; "," &amp; B2023</f>
        <v>https://earth.google.com/web/search/-3.0908417718939,-55.53819495161050</v>
      </c>
      <c r="H2023" s="12"/>
      <c r="I2023" s="12"/>
      <c r="J2023" s="12"/>
      <c r="K2023" s="12"/>
      <c r="L2023" s="12"/>
      <c r="M2023" s="12"/>
      <c r="N2023" s="12"/>
      <c r="O2023" s="12"/>
      <c r="P2023" s="12"/>
      <c r="Q2023" s="12"/>
      <c r="R2023" s="12"/>
      <c r="S2023" s="12"/>
      <c r="T2023" s="12"/>
      <c r="U2023" s="12"/>
      <c r="V2023" s="12"/>
      <c r="W2023" s="12"/>
      <c r="X2023" s="12"/>
      <c r="Y2023" s="12"/>
      <c r="Z2023" s="12"/>
      <c r="AA2023" s="12"/>
    </row>
    <row r="2024" ht="26.25" customHeight="1">
      <c r="A2024" s="26" t="s">
        <v>4058</v>
      </c>
      <c r="B2024" s="26" t="s">
        <v>4059</v>
      </c>
      <c r="C2024" s="14">
        <v>2.0</v>
      </c>
      <c r="D2024" s="23">
        <v>482.0</v>
      </c>
      <c r="E2024" s="23">
        <v>1.0</v>
      </c>
      <c r="F2024" s="27" t="str">
        <f t="array" ref="F2024">"https://www.google.com/maps/search/?api=1&amp;query=" &amp; A2024 &amp; "," &amp; B2024</f>
        <v>https://www.google.com/maps/search/?api=1&amp;query=-30.9088289419586,-55.53760493403120</v>
      </c>
      <c r="G2024" s="27" t="str">
        <f t="array" ref="G2024">"https://earth.google.com/web/search/" &amp; A2024 &amp; "," &amp; B2024</f>
        <v>https://earth.google.com/web/search/-30.9088289419586,-55.53760493403120</v>
      </c>
      <c r="H2024" s="12"/>
      <c r="I2024" s="12"/>
      <c r="J2024" s="12"/>
      <c r="K2024" s="12"/>
      <c r="L2024" s="12"/>
      <c r="M2024" s="12"/>
      <c r="N2024" s="12"/>
      <c r="O2024" s="12"/>
      <c r="P2024" s="12"/>
      <c r="Q2024" s="12"/>
      <c r="R2024" s="12"/>
      <c r="S2024" s="12"/>
      <c r="T2024" s="12"/>
      <c r="U2024" s="12"/>
      <c r="V2024" s="12"/>
      <c r="W2024" s="12"/>
      <c r="X2024" s="12"/>
      <c r="Y2024" s="12"/>
      <c r="Z2024" s="12"/>
      <c r="AA2024" s="12"/>
    </row>
    <row r="2025" ht="26.25" customHeight="1">
      <c r="A2025" s="26" t="s">
        <v>4060</v>
      </c>
      <c r="B2025" s="26" t="s">
        <v>4061</v>
      </c>
      <c r="C2025" s="14">
        <v>2.0</v>
      </c>
      <c r="D2025" s="23">
        <v>482.0</v>
      </c>
      <c r="E2025" s="23">
        <v>2.0</v>
      </c>
      <c r="F2025" s="27" t="str">
        <f t="array" ref="F2025">"https://www.google.com/maps/search/?api=1&amp;query=" &amp; A2025 &amp; "," &amp; B2025</f>
        <v>https://www.google.com/maps/search/?api=1&amp;query=-30.9088925276703,-5.55376459071976</v>
      </c>
      <c r="G2025" s="27" t="str">
        <f t="array" ref="G2025">"https://earth.google.com/web/search/" &amp; A2025 &amp; "," &amp; B2025</f>
        <v>https://earth.google.com/web/search/-30.9088925276703,-5.55376459071976</v>
      </c>
      <c r="H2025" s="12"/>
      <c r="I2025" s="12"/>
      <c r="J2025" s="12"/>
      <c r="K2025" s="12"/>
      <c r="L2025" s="12"/>
      <c r="M2025" s="12"/>
      <c r="N2025" s="12"/>
      <c r="O2025" s="12"/>
      <c r="P2025" s="12"/>
      <c r="Q2025" s="12"/>
      <c r="R2025" s="12"/>
      <c r="S2025" s="12"/>
      <c r="T2025" s="12"/>
      <c r="U2025" s="12"/>
      <c r="V2025" s="12"/>
      <c r="W2025" s="12"/>
      <c r="X2025" s="12"/>
      <c r="Y2025" s="12"/>
      <c r="Z2025" s="12"/>
      <c r="AA2025" s="12"/>
    </row>
    <row r="2026" ht="26.25" customHeight="1">
      <c r="A2026" s="26" t="s">
        <v>4062</v>
      </c>
      <c r="B2026" s="26" t="s">
        <v>4063</v>
      </c>
      <c r="C2026" s="14">
        <v>2.0</v>
      </c>
      <c r="D2026" s="23">
        <v>482.0</v>
      </c>
      <c r="E2026" s="23">
        <v>3.0</v>
      </c>
      <c r="F2026" s="27" t="str">
        <f t="array" ref="F2026">"https://www.google.com/maps/search/?api=1&amp;query=" &amp; A2026 &amp; "," &amp; B2026</f>
        <v>https://www.google.com/maps/search/?api=1&amp;query=-30.9089844248975,-55.53769261336870</v>
      </c>
      <c r="G2026" s="27" t="str">
        <f t="array" ref="G2026">"https://earth.google.com/web/search/" &amp; A2026 &amp; "," &amp; B2026</f>
        <v>https://earth.google.com/web/search/-30.9089844248975,-55.53769261336870</v>
      </c>
      <c r="H2026" s="12"/>
      <c r="I2026" s="12"/>
      <c r="J2026" s="12"/>
      <c r="K2026" s="12"/>
      <c r="L2026" s="12"/>
      <c r="M2026" s="12"/>
      <c r="N2026" s="12"/>
      <c r="O2026" s="12"/>
      <c r="P2026" s="12"/>
      <c r="Q2026" s="12"/>
      <c r="R2026" s="12"/>
      <c r="S2026" s="12"/>
      <c r="T2026" s="12"/>
      <c r="U2026" s="12"/>
      <c r="V2026" s="12"/>
      <c r="W2026" s="12"/>
      <c r="X2026" s="12"/>
      <c r="Y2026" s="12"/>
      <c r="Z2026" s="12"/>
      <c r="AA2026" s="12"/>
    </row>
    <row r="2027" ht="26.25" customHeight="1">
      <c r="A2027" s="26" t="s">
        <v>4064</v>
      </c>
      <c r="B2027" s="26" t="s">
        <v>4065</v>
      </c>
      <c r="C2027" s="14">
        <v>2.0</v>
      </c>
      <c r="D2027" s="23">
        <v>482.0</v>
      </c>
      <c r="E2027" s="23">
        <v>4.0</v>
      </c>
      <c r="F2027" s="27" t="str">
        <f t="array" ref="F2027">"https://www.google.com/maps/search/?api=1&amp;query=" &amp; A2027 &amp; "," &amp; B2027</f>
        <v>https://www.google.com/maps/search/?api=1&amp;query=-30.9091289156803,-55.53787402038240</v>
      </c>
      <c r="G2027" s="27" t="str">
        <f t="array" ref="G2027">"https://earth.google.com/web/search/" &amp; A2027 &amp; "," &amp; B2027</f>
        <v>https://earth.google.com/web/search/-30.9091289156803,-55.53787402038240</v>
      </c>
      <c r="H2027" s="12"/>
      <c r="I2027" s="12"/>
      <c r="J2027" s="12"/>
      <c r="K2027" s="12"/>
      <c r="L2027" s="12"/>
      <c r="M2027" s="12"/>
      <c r="N2027" s="12"/>
      <c r="O2027" s="12"/>
      <c r="P2027" s="12"/>
      <c r="Q2027" s="12"/>
      <c r="R2027" s="12"/>
      <c r="S2027" s="12"/>
      <c r="T2027" s="12"/>
      <c r="U2027" s="12"/>
      <c r="V2027" s="12"/>
      <c r="W2027" s="12"/>
      <c r="X2027" s="12"/>
      <c r="Y2027" s="12"/>
      <c r="Z2027" s="12"/>
      <c r="AA2027" s="12"/>
    </row>
    <row r="2028" ht="26.25" customHeight="1">
      <c r="A2028" s="26" t="s">
        <v>4066</v>
      </c>
      <c r="B2028" s="26" t="s">
        <v>4067</v>
      </c>
      <c r="C2028" s="14">
        <v>2.0</v>
      </c>
      <c r="D2028" s="23">
        <v>482.0</v>
      </c>
      <c r="E2028" s="23">
        <v>5.0</v>
      </c>
      <c r="F2028" s="27" t="str">
        <f t="array" ref="F2028">"https://www.google.com/maps/search/?api=1&amp;query=" &amp; A2028 &amp; "," &amp; B2028</f>
        <v>https://www.google.com/maps/search/?api=1&amp;query=-30.9092123868378,-5.55379405131609</v>
      </c>
      <c r="G2028" s="27" t="str">
        <f t="array" ref="G2028">"https://earth.google.com/web/search/" &amp; A2028 &amp; "," &amp; B2028</f>
        <v>https://earth.google.com/web/search/-30.9092123868378,-5.55379405131609</v>
      </c>
      <c r="H2028" s="12"/>
      <c r="I2028" s="12"/>
      <c r="J2028" s="12"/>
      <c r="K2028" s="12"/>
      <c r="L2028" s="12"/>
      <c r="M2028" s="12"/>
      <c r="N2028" s="12"/>
      <c r="O2028" s="12"/>
      <c r="P2028" s="12"/>
      <c r="Q2028" s="12"/>
      <c r="R2028" s="12"/>
      <c r="S2028" s="12"/>
      <c r="T2028" s="12"/>
      <c r="U2028" s="12"/>
      <c r="V2028" s="12"/>
      <c r="W2028" s="12"/>
      <c r="X2028" s="12"/>
      <c r="Y2028" s="12"/>
      <c r="Z2028" s="12"/>
      <c r="AA2028" s="12"/>
    </row>
    <row r="2029" ht="26.25" customHeight="1">
      <c r="A2029" s="26" t="s">
        <v>4068</v>
      </c>
      <c r="B2029" s="26" t="s">
        <v>4069</v>
      </c>
      <c r="C2029" s="14">
        <v>2.0</v>
      </c>
      <c r="D2029" s="23">
        <v>482.0</v>
      </c>
      <c r="E2029" s="23">
        <v>6.0</v>
      </c>
      <c r="F2029" s="27" t="str">
        <f t="array" ref="F2029">"https://www.google.com/maps/search/?api=1&amp;query=" &amp; A2029 &amp; "," &amp; B2029</f>
        <v>https://www.google.com/maps/search/?api=1&amp;query=-30.9095503378683,-5.55381739602032</v>
      </c>
      <c r="G2029" s="27" t="str">
        <f t="array" ref="G2029">"https://earth.google.com/web/search/" &amp; A2029 &amp; "," &amp; B2029</f>
        <v>https://earth.google.com/web/search/-30.9095503378683,-5.55381739602032</v>
      </c>
      <c r="H2029" s="12"/>
      <c r="I2029" s="12"/>
      <c r="J2029" s="12"/>
      <c r="K2029" s="12"/>
      <c r="L2029" s="12"/>
      <c r="M2029" s="12"/>
      <c r="N2029" s="12"/>
      <c r="O2029" s="12"/>
      <c r="P2029" s="12"/>
      <c r="Q2029" s="12"/>
      <c r="R2029" s="12"/>
      <c r="S2029" s="12"/>
      <c r="T2029" s="12"/>
      <c r="U2029" s="12"/>
      <c r="V2029" s="12"/>
      <c r="W2029" s="12"/>
      <c r="X2029" s="12"/>
      <c r="Y2029" s="12"/>
      <c r="Z2029" s="12"/>
      <c r="AA2029" s="12"/>
    </row>
    <row r="2030" ht="26.25" customHeight="1">
      <c r="A2030" s="26" t="s">
        <v>4070</v>
      </c>
      <c r="B2030" s="26" t="s">
        <v>4071</v>
      </c>
      <c r="C2030" s="14">
        <v>2.0</v>
      </c>
      <c r="D2030" s="23">
        <v>482.0</v>
      </c>
      <c r="E2030" s="23">
        <v>7.0</v>
      </c>
      <c r="F2030" s="27" t="str">
        <f t="array" ref="F2030">"https://www.google.com/maps/search/?api=1&amp;query=" &amp; A2030 &amp; "," &amp; B2030</f>
        <v>https://www.google.com/maps/search/?api=1&amp;query=-3.0909581234256,-5.55381966117931</v>
      </c>
      <c r="G2030" s="27" t="str">
        <f t="array" ref="G2030">"https://earth.google.com/web/search/" &amp; A2030 &amp; "," &amp; B2030</f>
        <v>https://earth.google.com/web/search/-3.0909581234256,-5.55381966117931</v>
      </c>
      <c r="H2030" s="12"/>
      <c r="I2030" s="12"/>
      <c r="J2030" s="12"/>
      <c r="K2030" s="12"/>
      <c r="L2030" s="12"/>
      <c r="M2030" s="12"/>
      <c r="N2030" s="12"/>
      <c r="O2030" s="12"/>
      <c r="P2030" s="12"/>
      <c r="Q2030" s="12"/>
      <c r="R2030" s="12"/>
      <c r="S2030" s="12"/>
      <c r="T2030" s="12"/>
      <c r="U2030" s="12"/>
      <c r="V2030" s="12"/>
      <c r="W2030" s="12"/>
      <c r="X2030" s="12"/>
      <c r="Y2030" s="12"/>
      <c r="Z2030" s="12"/>
      <c r="AA2030" s="12"/>
    </row>
    <row r="2031" ht="26.25" customHeight="1">
      <c r="A2031" s="26" t="s">
        <v>4072</v>
      </c>
      <c r="B2031" s="26" t="s">
        <v>4073</v>
      </c>
      <c r="C2031" s="14">
        <v>2.0</v>
      </c>
      <c r="D2031" s="23">
        <v>482.0</v>
      </c>
      <c r="E2031" s="23">
        <v>8.0</v>
      </c>
      <c r="F2031" s="27" t="str">
        <f t="array" ref="F2031">"https://www.google.com/maps/search/?api=1&amp;query=" &amp; A2031 &amp; "," &amp; B2031</f>
        <v>https://www.google.com/maps/search/?api=1&amp;query=-30.9096570252633,-55.53825438829820</v>
      </c>
      <c r="G2031" s="27" t="str">
        <f t="array" ref="G2031">"https://earth.google.com/web/search/" &amp; A2031 &amp; "," &amp; B2031</f>
        <v>https://earth.google.com/web/search/-30.9096570252633,-55.53825438829820</v>
      </c>
      <c r="H2031" s="12"/>
      <c r="I2031" s="12"/>
      <c r="J2031" s="12"/>
      <c r="K2031" s="12"/>
      <c r="L2031" s="12"/>
      <c r="M2031" s="12"/>
      <c r="N2031" s="12"/>
      <c r="O2031" s="12"/>
      <c r="P2031" s="12"/>
      <c r="Q2031" s="12"/>
      <c r="R2031" s="12"/>
      <c r="S2031" s="12"/>
      <c r="T2031" s="12"/>
      <c r="U2031" s="12"/>
      <c r="V2031" s="12"/>
      <c r="W2031" s="12"/>
      <c r="X2031" s="12"/>
      <c r="Y2031" s="12"/>
      <c r="Z2031" s="12"/>
      <c r="AA2031" s="12"/>
    </row>
    <row r="2032" ht="26.25" customHeight="1">
      <c r="A2032" s="26" t="s">
        <v>4074</v>
      </c>
      <c r="B2032" s="26" t="s">
        <v>4075</v>
      </c>
      <c r="C2032" s="14">
        <v>2.0</v>
      </c>
      <c r="D2032" s="23">
        <v>482.0</v>
      </c>
      <c r="E2032" s="23">
        <v>9.0</v>
      </c>
      <c r="F2032" s="27" t="str">
        <f t="array" ref="F2032">"https://www.google.com/maps/search/?api=1&amp;query=" &amp; A2032 &amp; "," &amp; B2032</f>
        <v>https://www.google.com/maps/search/?api=1&amp;query=-30.9096923322455,-55.53827488720900</v>
      </c>
      <c r="G2032" s="27" t="str">
        <f t="array" ref="G2032">"https://earth.google.com/web/search/" &amp; A2032 &amp; "," &amp; B2032</f>
        <v>https://earth.google.com/web/search/-30.9096923322455,-55.53827488720900</v>
      </c>
      <c r="H2032" s="12"/>
      <c r="I2032" s="12"/>
      <c r="J2032" s="12"/>
      <c r="K2032" s="12"/>
      <c r="L2032" s="12"/>
      <c r="M2032" s="12"/>
      <c r="N2032" s="12"/>
      <c r="O2032" s="12"/>
      <c r="P2032" s="12"/>
      <c r="Q2032" s="12"/>
      <c r="R2032" s="12"/>
      <c r="S2032" s="12"/>
      <c r="T2032" s="12"/>
      <c r="U2032" s="12"/>
      <c r="V2032" s="12"/>
      <c r="W2032" s="12"/>
      <c r="X2032" s="12"/>
      <c r="Y2032" s="12"/>
      <c r="Z2032" s="12"/>
      <c r="AA2032" s="12"/>
    </row>
    <row r="2033" ht="26.25" customHeight="1">
      <c r="A2033" s="26" t="s">
        <v>4076</v>
      </c>
      <c r="B2033" s="26" t="s">
        <v>4077</v>
      </c>
      <c r="C2033" s="14">
        <v>2.0</v>
      </c>
      <c r="D2033" s="23">
        <v>482.0</v>
      </c>
      <c r="E2033" s="23">
        <v>10.0</v>
      </c>
      <c r="F2033" s="27" t="str">
        <f t="array" ref="F2033">"https://www.google.com/maps/search/?api=1&amp;query=" &amp; A2033 &amp; "," &amp; B2033</f>
        <v>https://www.google.com/maps/search/?api=1&amp;query=-30.9097227403594,-55.53830090145730</v>
      </c>
      <c r="G2033" s="27" t="str">
        <f t="array" ref="G2033">"https://earth.google.com/web/search/" &amp; A2033 &amp; "," &amp; B2033</f>
        <v>https://earth.google.com/web/search/-30.9097227403594,-55.53830090145730</v>
      </c>
      <c r="H2033" s="12"/>
      <c r="I2033" s="12"/>
      <c r="J2033" s="12"/>
      <c r="K2033" s="12"/>
      <c r="L2033" s="12"/>
      <c r="M2033" s="12"/>
      <c r="N2033" s="12"/>
      <c r="O2033" s="12"/>
      <c r="P2033" s="12"/>
      <c r="Q2033" s="12"/>
      <c r="R2033" s="12"/>
      <c r="S2033" s="12"/>
      <c r="T2033" s="12"/>
      <c r="U2033" s="12"/>
      <c r="V2033" s="12"/>
      <c r="W2033" s="12"/>
      <c r="X2033" s="12"/>
      <c r="Y2033" s="12"/>
      <c r="Z2033" s="12"/>
      <c r="AA2033" s="12"/>
    </row>
    <row r="2034" ht="26.25" customHeight="1">
      <c r="A2034" s="26" t="s">
        <v>4078</v>
      </c>
      <c r="B2034" s="26" t="s">
        <v>4079</v>
      </c>
      <c r="C2034" s="14">
        <v>2.0</v>
      </c>
      <c r="D2034" s="23">
        <v>482.0</v>
      </c>
      <c r="E2034" s="23">
        <v>11.0</v>
      </c>
      <c r="F2034" s="27" t="str">
        <f t="array" ref="F2034">"https://www.google.com/maps/search/?api=1&amp;query=" &amp; A2034 &amp; "," &amp; B2034</f>
        <v>https://www.google.com/maps/search/?api=1&amp;query=-30.9097653518727,-55.53831856393120</v>
      </c>
      <c r="G2034" s="27" t="str">
        <f t="array" ref="G2034">"https://earth.google.com/web/search/" &amp; A2034 &amp; "," &amp; B2034</f>
        <v>https://earth.google.com/web/search/-30.9097653518727,-55.53831856393120</v>
      </c>
      <c r="H2034" s="12"/>
      <c r="I2034" s="12"/>
      <c r="J2034" s="12"/>
      <c r="K2034" s="12"/>
      <c r="L2034" s="12"/>
      <c r="M2034" s="12"/>
      <c r="N2034" s="12"/>
      <c r="O2034" s="12"/>
      <c r="P2034" s="12"/>
      <c r="Q2034" s="12"/>
      <c r="R2034" s="12"/>
      <c r="S2034" s="12"/>
      <c r="T2034" s="12"/>
      <c r="U2034" s="12"/>
      <c r="V2034" s="12"/>
      <c r="W2034" s="12"/>
      <c r="X2034" s="12"/>
      <c r="Y2034" s="12"/>
      <c r="Z2034" s="12"/>
      <c r="AA2034" s="12"/>
    </row>
    <row r="2035" ht="26.25" customHeight="1">
      <c r="A2035" s="26" t="s">
        <v>4080</v>
      </c>
      <c r="B2035" s="26" t="s">
        <v>4081</v>
      </c>
      <c r="C2035" s="14">
        <v>2.0</v>
      </c>
      <c r="D2035" s="23">
        <v>482.0</v>
      </c>
      <c r="E2035" s="23">
        <v>12.0</v>
      </c>
      <c r="F2035" s="27" t="str">
        <f t="array" ref="F2035">"https://www.google.com/maps/search/?api=1&amp;query=" &amp; A2035 &amp; "," &amp; B2035</f>
        <v>https://www.google.com/maps/search/?api=1&amp;query=-30.9098115431312,-55.53835001220970</v>
      </c>
      <c r="G2035" s="27" t="str">
        <f t="array" ref="G2035">"https://earth.google.com/web/search/" &amp; A2035 &amp; "," &amp; B2035</f>
        <v>https://earth.google.com/web/search/-30.9098115431312,-55.53835001220970</v>
      </c>
      <c r="H2035" s="12"/>
      <c r="I2035" s="12"/>
      <c r="J2035" s="12"/>
      <c r="K2035" s="12"/>
      <c r="L2035" s="12"/>
      <c r="M2035" s="12"/>
      <c r="N2035" s="12"/>
      <c r="O2035" s="12"/>
      <c r="P2035" s="12"/>
      <c r="Q2035" s="12"/>
      <c r="R2035" s="12"/>
      <c r="S2035" s="12"/>
      <c r="T2035" s="12"/>
      <c r="U2035" s="12"/>
      <c r="V2035" s="12"/>
      <c r="W2035" s="12"/>
      <c r="X2035" s="12"/>
      <c r="Y2035" s="12"/>
      <c r="Z2035" s="12"/>
      <c r="AA2035" s="12"/>
    </row>
    <row r="2036" ht="26.25" customHeight="1">
      <c r="A2036" s="26" t="s">
        <v>4082</v>
      </c>
      <c r="B2036" s="26" t="s">
        <v>4083</v>
      </c>
      <c r="C2036" s="14">
        <v>2.0</v>
      </c>
      <c r="D2036" s="23">
        <v>482.0</v>
      </c>
      <c r="E2036" s="23">
        <v>13.0</v>
      </c>
      <c r="F2036" s="27" t="str">
        <f t="array" ref="F2036">"https://www.google.com/maps/search/?api=1&amp;query=" &amp; A2036 &amp; "," &amp; B2036</f>
        <v>https://www.google.com/maps/search/?api=1&amp;query=-30.9098479491630,-55.53836110506810</v>
      </c>
      <c r="G2036" s="27" t="str">
        <f t="array" ref="G2036">"https://earth.google.com/web/search/" &amp; A2036 &amp; "," &amp; B2036</f>
        <v>https://earth.google.com/web/search/-30.9098479491630,-55.53836110506810</v>
      </c>
      <c r="H2036" s="12"/>
      <c r="I2036" s="12"/>
      <c r="J2036" s="12"/>
      <c r="K2036" s="12"/>
      <c r="L2036" s="12"/>
      <c r="M2036" s="12"/>
      <c r="N2036" s="12"/>
      <c r="O2036" s="12"/>
      <c r="P2036" s="12"/>
      <c r="Q2036" s="12"/>
      <c r="R2036" s="12"/>
      <c r="S2036" s="12"/>
      <c r="T2036" s="12"/>
      <c r="U2036" s="12"/>
      <c r="V2036" s="12"/>
      <c r="W2036" s="12"/>
      <c r="X2036" s="12"/>
      <c r="Y2036" s="12"/>
      <c r="Z2036" s="12"/>
      <c r="AA2036" s="12"/>
    </row>
    <row r="2037" ht="26.25" customHeight="1">
      <c r="A2037" s="26" t="s">
        <v>4084</v>
      </c>
      <c r="B2037" s="26" t="s">
        <v>4085</v>
      </c>
      <c r="C2037" s="14">
        <v>2.0</v>
      </c>
      <c r="D2037" s="23">
        <v>482.0</v>
      </c>
      <c r="E2037" s="23">
        <v>14.0</v>
      </c>
      <c r="F2037" s="27" t="str">
        <f t="array" ref="F2037">"https://www.google.com/maps/search/?api=1&amp;query=" &amp; A2037 &amp; "," &amp; B2037</f>
        <v>https://www.google.com/maps/search/?api=1&amp;query=-30.9098895748171,-55.53839167895120</v>
      </c>
      <c r="G2037" s="27" t="str">
        <f t="array" ref="G2037">"https://earth.google.com/web/search/" &amp; A2037 &amp; "," &amp; B2037</f>
        <v>https://earth.google.com/web/search/-30.9098895748171,-55.53839167895120</v>
      </c>
      <c r="H2037" s="12"/>
      <c r="I2037" s="12"/>
      <c r="J2037" s="12"/>
      <c r="K2037" s="12"/>
      <c r="L2037" s="12"/>
      <c r="M2037" s="12"/>
      <c r="N2037" s="12"/>
      <c r="O2037" s="12"/>
      <c r="P2037" s="12"/>
      <c r="Q2037" s="12"/>
      <c r="R2037" s="12"/>
      <c r="S2037" s="12"/>
      <c r="T2037" s="12"/>
      <c r="U2037" s="12"/>
      <c r="V2037" s="12"/>
      <c r="W2037" s="12"/>
      <c r="X2037" s="12"/>
      <c r="Y2037" s="12"/>
      <c r="Z2037" s="12"/>
      <c r="AA2037" s="12"/>
    </row>
    <row r="2038" ht="26.25" customHeight="1">
      <c r="A2038" s="26" t="s">
        <v>4086</v>
      </c>
      <c r="B2038" s="26" t="s">
        <v>4087</v>
      </c>
      <c r="C2038" s="14">
        <v>2.0</v>
      </c>
      <c r="D2038" s="23">
        <v>482.0</v>
      </c>
      <c r="E2038" s="23">
        <v>15.0</v>
      </c>
      <c r="F2038" s="27" t="str">
        <f t="array" ref="F2038">"https://www.google.com/maps/search/?api=1&amp;query=" &amp; A2038 &amp; "," &amp; B2038</f>
        <v>https://www.google.com/maps/search/?api=1&amp;query=-30.9107227332995,-55.53776484756940</v>
      </c>
      <c r="G2038" s="27" t="str">
        <f t="array" ref="G2038">"https://earth.google.com/web/search/" &amp; A2038 &amp; "," &amp; B2038</f>
        <v>https://earth.google.com/web/search/-30.9107227332995,-55.53776484756940</v>
      </c>
      <c r="H2038" s="12"/>
      <c r="I2038" s="12"/>
      <c r="J2038" s="12"/>
      <c r="K2038" s="12"/>
      <c r="L2038" s="12"/>
      <c r="M2038" s="12"/>
      <c r="N2038" s="12"/>
      <c r="O2038" s="12"/>
      <c r="P2038" s="12"/>
      <c r="Q2038" s="12"/>
      <c r="R2038" s="12"/>
      <c r="S2038" s="12"/>
      <c r="T2038" s="12"/>
      <c r="U2038" s="12"/>
      <c r="V2038" s="12"/>
      <c r="W2038" s="12"/>
      <c r="X2038" s="12"/>
      <c r="Y2038" s="12"/>
      <c r="Z2038" s="12"/>
      <c r="AA2038" s="12"/>
    </row>
    <row r="2039" ht="26.25" customHeight="1">
      <c r="A2039" s="26" t="s">
        <v>4088</v>
      </c>
      <c r="B2039" s="26" t="s">
        <v>4089</v>
      </c>
      <c r="C2039" s="14">
        <v>2.0</v>
      </c>
      <c r="D2039" s="23">
        <v>482.0</v>
      </c>
      <c r="E2039" s="23">
        <v>16.0</v>
      </c>
      <c r="F2039" s="27" t="str">
        <f t="array" ref="F2039">"https://www.google.com/maps/search/?api=1&amp;query=" &amp; A2039 &amp; "," &amp; B2039</f>
        <v>https://www.google.com/maps/search/?api=1&amp;query=-30.9106693164678,-55.53760440480530</v>
      </c>
      <c r="G2039" s="27" t="str">
        <f t="array" ref="G2039">"https://earth.google.com/web/search/" &amp; A2039 &amp; "," &amp; B2039</f>
        <v>https://earth.google.com/web/search/-30.9106693164678,-55.53760440480530</v>
      </c>
      <c r="H2039" s="12"/>
      <c r="I2039" s="12"/>
      <c r="J2039" s="12"/>
      <c r="K2039" s="12"/>
      <c r="L2039" s="12"/>
      <c r="M2039" s="12"/>
      <c r="N2039" s="12"/>
      <c r="O2039" s="12"/>
      <c r="P2039" s="12"/>
      <c r="Q2039" s="12"/>
      <c r="R2039" s="12"/>
      <c r="S2039" s="12"/>
      <c r="T2039" s="12"/>
      <c r="U2039" s="12"/>
      <c r="V2039" s="12"/>
      <c r="W2039" s="12"/>
      <c r="X2039" s="12"/>
      <c r="Y2039" s="12"/>
      <c r="Z2039" s="12"/>
      <c r="AA2039" s="12"/>
    </row>
    <row r="2040" ht="26.25" customHeight="1">
      <c r="A2040" s="26" t="s">
        <v>4090</v>
      </c>
      <c r="B2040" s="26" t="s">
        <v>4091</v>
      </c>
      <c r="C2040" s="14">
        <v>2.0</v>
      </c>
      <c r="D2040" s="23">
        <v>482.0</v>
      </c>
      <c r="E2040" s="23">
        <v>17.0</v>
      </c>
      <c r="F2040" s="27" t="str">
        <f t="array" ref="F2040">"https://www.google.com/maps/search/?api=1&amp;query=" &amp; A2040 &amp; "," &amp; B2040</f>
        <v>https://www.google.com/maps/search/?api=1&amp;query=-30.9099541577635,-55.53709071271450</v>
      </c>
      <c r="G2040" s="27" t="str">
        <f t="array" ref="G2040">"https://earth.google.com/web/search/" &amp; A2040 &amp; "," &amp; B2040</f>
        <v>https://earth.google.com/web/search/-30.9099541577635,-55.53709071271450</v>
      </c>
      <c r="H2040" s="12"/>
      <c r="I2040" s="12"/>
      <c r="J2040" s="12"/>
      <c r="K2040" s="12"/>
      <c r="L2040" s="12"/>
      <c r="M2040" s="12"/>
      <c r="N2040" s="12"/>
      <c r="O2040" s="12"/>
      <c r="P2040" s="12"/>
      <c r="Q2040" s="12"/>
      <c r="R2040" s="12"/>
      <c r="S2040" s="12"/>
      <c r="T2040" s="12"/>
      <c r="U2040" s="12"/>
      <c r="V2040" s="12"/>
      <c r="W2040" s="12"/>
      <c r="X2040" s="12"/>
      <c r="Y2040" s="12"/>
      <c r="Z2040" s="12"/>
      <c r="AA2040" s="12"/>
    </row>
    <row r="2041" ht="26.25" customHeight="1">
      <c r="A2041" s="26" t="s">
        <v>4092</v>
      </c>
      <c r="B2041" s="26" t="s">
        <v>4093</v>
      </c>
      <c r="C2041" s="14">
        <v>2.0</v>
      </c>
      <c r="D2041" s="23">
        <v>482.0</v>
      </c>
      <c r="E2041" s="23">
        <v>18.0</v>
      </c>
      <c r="F2041" s="27" t="str">
        <f t="array" ref="F2041">"https://www.google.com/maps/search/?api=1&amp;query=" &amp; A2041 &amp; "," &amp; B2041</f>
        <v>https://www.google.com/maps/search/?api=1&amp;query=-30.9091194974223,-55.53686328885720</v>
      </c>
      <c r="G2041" s="27" t="str">
        <f t="array" ref="G2041">"https://earth.google.com/web/search/" &amp; A2041 &amp; "," &amp; B2041</f>
        <v>https://earth.google.com/web/search/-30.9091194974223,-55.53686328885720</v>
      </c>
      <c r="H2041" s="12"/>
      <c r="I2041" s="12"/>
      <c r="J2041" s="12"/>
      <c r="K2041" s="12"/>
      <c r="L2041" s="12"/>
      <c r="M2041" s="12"/>
      <c r="N2041" s="12"/>
      <c r="O2041" s="12"/>
      <c r="P2041" s="12"/>
      <c r="Q2041" s="12"/>
      <c r="R2041" s="12"/>
      <c r="S2041" s="12"/>
      <c r="T2041" s="12"/>
      <c r="U2041" s="12"/>
      <c r="V2041" s="12"/>
      <c r="W2041" s="12"/>
      <c r="X2041" s="12"/>
      <c r="Y2041" s="12"/>
      <c r="Z2041" s="12"/>
      <c r="AA2041" s="12"/>
    </row>
    <row r="2042" ht="26.25" customHeight="1">
      <c r="A2042" s="26" t="s">
        <v>4094</v>
      </c>
      <c r="B2042" s="26" t="s">
        <v>4095</v>
      </c>
      <c r="C2042" s="14">
        <v>2.0</v>
      </c>
      <c r="D2042" s="23">
        <v>482.0</v>
      </c>
      <c r="E2042" s="23">
        <v>19.0</v>
      </c>
      <c r="F2042" s="27" t="str">
        <f t="array" ref="F2042">"https://www.google.com/maps/search/?api=1&amp;query=" &amp; A2042 &amp; "," &amp; B2042</f>
        <v>https://www.google.com/maps/search/?api=1&amp;query=-30.9087783496348,-55.53753112232850</v>
      </c>
      <c r="G2042" s="27" t="str">
        <f t="array" ref="G2042">"https://earth.google.com/web/search/" &amp; A2042 &amp; "," &amp; B2042</f>
        <v>https://earth.google.com/web/search/-30.9087783496348,-55.53753112232850</v>
      </c>
      <c r="H2042" s="12"/>
      <c r="I2042" s="12"/>
      <c r="J2042" s="12"/>
      <c r="K2042" s="12"/>
      <c r="L2042" s="12"/>
      <c r="M2042" s="12"/>
      <c r="N2042" s="12"/>
      <c r="O2042" s="12"/>
      <c r="P2042" s="12"/>
      <c r="Q2042" s="12"/>
      <c r="R2042" s="12"/>
      <c r="S2042" s="12"/>
      <c r="T2042" s="12"/>
      <c r="U2042" s="12"/>
      <c r="V2042" s="12"/>
      <c r="W2042" s="12"/>
      <c r="X2042" s="12"/>
      <c r="Y2042" s="12"/>
      <c r="Z2042" s="12"/>
      <c r="AA2042" s="12"/>
    </row>
    <row r="2043" ht="26.25" customHeight="1">
      <c r="A2043" s="26" t="s">
        <v>4096</v>
      </c>
      <c r="B2043" s="26" t="s">
        <v>4097</v>
      </c>
      <c r="C2043" s="14">
        <v>2.0</v>
      </c>
      <c r="D2043" s="23">
        <v>477.0</v>
      </c>
      <c r="E2043" s="23">
        <v>1.0</v>
      </c>
      <c r="F2043" s="27" t="str">
        <f t="array" ref="F2043">"https://www.google.com/maps/search/?api=1&amp;query=" &amp; A2043 &amp; "," &amp; B2043</f>
        <v>https://www.google.com/maps/search/?api=1&amp;query=-30.9099451286011,-55.53698369557650</v>
      </c>
      <c r="G2043" s="27" t="str">
        <f t="array" ref="G2043">"https://earth.google.com/web/search/" &amp; A2043 &amp; "," &amp; B2043</f>
        <v>https://earth.google.com/web/search/-30.9099451286011,-55.53698369557650</v>
      </c>
      <c r="H2043" s="12"/>
      <c r="I2043" s="12"/>
      <c r="J2043" s="12"/>
      <c r="K2043" s="12"/>
      <c r="L2043" s="12"/>
      <c r="M2043" s="12"/>
      <c r="N2043" s="12"/>
      <c r="O2043" s="12"/>
      <c r="P2043" s="12"/>
      <c r="Q2043" s="12"/>
      <c r="R2043" s="12"/>
      <c r="S2043" s="12"/>
      <c r="T2043" s="12"/>
      <c r="U2043" s="12"/>
      <c r="V2043" s="12"/>
      <c r="W2043" s="12"/>
      <c r="X2043" s="12"/>
      <c r="Y2043" s="12"/>
      <c r="Z2043" s="12"/>
      <c r="AA2043" s="12"/>
    </row>
    <row r="2044" ht="26.25" customHeight="1">
      <c r="A2044" s="26" t="s">
        <v>4098</v>
      </c>
      <c r="B2044" s="26" t="s">
        <v>4099</v>
      </c>
      <c r="C2044" s="14">
        <v>2.0</v>
      </c>
      <c r="D2044" s="23">
        <v>477.0</v>
      </c>
      <c r="E2044" s="23">
        <v>2.0</v>
      </c>
      <c r="F2044" s="27" t="str">
        <f t="array" ref="F2044">"https://www.google.com/maps/search/?api=1&amp;query=" &amp; A2044 &amp; "," &amp; B2044</f>
        <v>https://www.google.com/maps/search/?api=1&amp;query=-30.9102481549773,-55.53722149876560</v>
      </c>
      <c r="G2044" s="27" t="str">
        <f t="array" ref="G2044">"https://earth.google.com/web/search/" &amp; A2044 &amp; "," &amp; B2044</f>
        <v>https://earth.google.com/web/search/-30.9102481549773,-55.53722149876560</v>
      </c>
      <c r="H2044" s="12"/>
      <c r="I2044" s="12"/>
      <c r="J2044" s="12"/>
      <c r="K2044" s="12"/>
      <c r="L2044" s="12"/>
      <c r="M2044" s="12"/>
      <c r="N2044" s="12"/>
      <c r="O2044" s="12"/>
      <c r="P2044" s="12"/>
      <c r="Q2044" s="12"/>
      <c r="R2044" s="12"/>
      <c r="S2044" s="12"/>
      <c r="T2044" s="12"/>
      <c r="U2044" s="12"/>
      <c r="V2044" s="12"/>
      <c r="W2044" s="12"/>
      <c r="X2044" s="12"/>
      <c r="Y2044" s="12"/>
      <c r="Z2044" s="12"/>
      <c r="AA2044" s="12"/>
    </row>
    <row r="2045" ht="26.25" customHeight="1">
      <c r="A2045" s="26" t="s">
        <v>4100</v>
      </c>
      <c r="B2045" s="26" t="s">
        <v>4101</v>
      </c>
      <c r="C2045" s="14">
        <v>2.0</v>
      </c>
      <c r="D2045" s="23">
        <v>477.0</v>
      </c>
      <c r="E2045" s="23">
        <v>3.0</v>
      </c>
      <c r="F2045" s="27" t="str">
        <f t="array" ref="F2045">"https://www.google.com/maps/search/?api=1&amp;query=" &amp; A2045 &amp; "," &amp; B2045</f>
        <v>https://www.google.com/maps/search/?api=1&amp;query=-30.9109380934670,-55.53739435605740</v>
      </c>
      <c r="G2045" s="27" t="str">
        <f t="array" ref="G2045">"https://earth.google.com/web/search/" &amp; A2045 &amp; "," &amp; B2045</f>
        <v>https://earth.google.com/web/search/-30.9109380934670,-55.53739435605740</v>
      </c>
      <c r="H2045" s="12"/>
      <c r="I2045" s="12"/>
      <c r="J2045" s="12"/>
      <c r="K2045" s="12"/>
      <c r="L2045" s="12"/>
      <c r="M2045" s="12"/>
      <c r="N2045" s="12"/>
      <c r="O2045" s="12"/>
      <c r="P2045" s="12"/>
      <c r="Q2045" s="12"/>
      <c r="R2045" s="12"/>
      <c r="S2045" s="12"/>
      <c r="T2045" s="12"/>
      <c r="U2045" s="12"/>
      <c r="V2045" s="12"/>
      <c r="W2045" s="12"/>
      <c r="X2045" s="12"/>
      <c r="Y2045" s="12"/>
      <c r="Z2045" s="12"/>
      <c r="AA2045" s="12"/>
    </row>
    <row r="2046" ht="26.25" customHeight="1">
      <c r="A2046" s="26" t="s">
        <v>4102</v>
      </c>
      <c r="B2046" s="26" t="s">
        <v>4103</v>
      </c>
      <c r="C2046" s="14">
        <v>2.0</v>
      </c>
      <c r="D2046" s="23">
        <v>477.0</v>
      </c>
      <c r="E2046" s="23">
        <v>4.0</v>
      </c>
      <c r="F2046" s="27" t="str">
        <f t="array" ref="F2046">"https://www.google.com/maps/search/?api=1&amp;query=" &amp; A2046 &amp; "," &amp; B2046</f>
        <v>https://www.google.com/maps/search/?api=1&amp;query=-30.9104379094869,-55.53685016894630</v>
      </c>
      <c r="G2046" s="27" t="str">
        <f t="array" ref="G2046">"https://earth.google.com/web/search/" &amp; A2046 &amp; "," &amp; B2046</f>
        <v>https://earth.google.com/web/search/-30.9104379094869,-55.53685016894630</v>
      </c>
      <c r="H2046" s="12"/>
      <c r="I2046" s="12"/>
      <c r="J2046" s="12"/>
      <c r="K2046" s="12"/>
      <c r="L2046" s="12"/>
      <c r="M2046" s="12"/>
      <c r="N2046" s="12"/>
      <c r="O2046" s="12"/>
      <c r="P2046" s="12"/>
      <c r="Q2046" s="12"/>
      <c r="R2046" s="12"/>
      <c r="S2046" s="12"/>
      <c r="T2046" s="12"/>
      <c r="U2046" s="12"/>
      <c r="V2046" s="12"/>
      <c r="W2046" s="12"/>
      <c r="X2046" s="12"/>
      <c r="Y2046" s="12"/>
      <c r="Z2046" s="12"/>
      <c r="AA2046" s="12"/>
    </row>
    <row r="2047" ht="26.25" customHeight="1">
      <c r="A2047" s="26" t="s">
        <v>4104</v>
      </c>
      <c r="B2047" s="26" t="s">
        <v>4105</v>
      </c>
      <c r="C2047" s="14">
        <v>2.0</v>
      </c>
      <c r="D2047" s="23">
        <v>477.0</v>
      </c>
      <c r="E2047" s="23">
        <v>5.0</v>
      </c>
      <c r="F2047" s="27" t="str">
        <f t="array" ref="F2047">"https://www.google.com/maps/search/?api=1&amp;query=" &amp; A2047 &amp; "," &amp; B2047</f>
        <v>https://www.google.com/maps/search/?api=1&amp;query=-30.9097312559928,-55.53636109782140</v>
      </c>
      <c r="G2047" s="27" t="str">
        <f t="array" ref="G2047">"https://earth.google.com/web/search/" &amp; A2047 &amp; "," &amp; B2047</f>
        <v>https://earth.google.com/web/search/-30.9097312559928,-55.53636109782140</v>
      </c>
      <c r="H2047" s="12"/>
      <c r="I2047" s="12"/>
      <c r="J2047" s="12"/>
      <c r="K2047" s="12"/>
      <c r="L2047" s="12"/>
      <c r="M2047" s="12"/>
      <c r="N2047" s="12"/>
      <c r="O2047" s="12"/>
      <c r="P2047" s="12"/>
      <c r="Q2047" s="12"/>
      <c r="R2047" s="12"/>
      <c r="S2047" s="12"/>
      <c r="T2047" s="12"/>
      <c r="U2047" s="12"/>
      <c r="V2047" s="12"/>
      <c r="W2047" s="12"/>
      <c r="X2047" s="12"/>
      <c r="Y2047" s="12"/>
      <c r="Z2047" s="12"/>
      <c r="AA2047" s="12"/>
    </row>
    <row r="2048" ht="26.25" customHeight="1">
      <c r="A2048" s="26" t="s">
        <v>4106</v>
      </c>
      <c r="B2048" s="26" t="s">
        <v>4107</v>
      </c>
      <c r="C2048" s="14">
        <v>2.0</v>
      </c>
      <c r="D2048" s="23">
        <v>477.0</v>
      </c>
      <c r="E2048" s="23">
        <v>6.0</v>
      </c>
      <c r="F2048" s="27" t="str">
        <f t="array" ref="F2048">"https://www.google.com/maps/search/?api=1&amp;query=" &amp; A2048 &amp; "," &amp; B2048</f>
        <v>https://www.google.com/maps/search/?api=1&amp;query=-30.9094266641828,-55.53627469158110</v>
      </c>
      <c r="G2048" s="27" t="str">
        <f t="array" ref="G2048">"https://earth.google.com/web/search/" &amp; A2048 &amp; "," &amp; B2048</f>
        <v>https://earth.google.com/web/search/-30.9094266641828,-55.53627469158110</v>
      </c>
      <c r="H2048" s="12"/>
      <c r="I2048" s="12"/>
      <c r="J2048" s="12"/>
      <c r="K2048" s="12"/>
      <c r="L2048" s="12"/>
      <c r="M2048" s="12"/>
      <c r="N2048" s="12"/>
      <c r="O2048" s="12"/>
      <c r="P2048" s="12"/>
      <c r="Q2048" s="12"/>
      <c r="R2048" s="12"/>
      <c r="S2048" s="12"/>
      <c r="T2048" s="12"/>
      <c r="U2048" s="12"/>
      <c r="V2048" s="12"/>
      <c r="W2048" s="12"/>
      <c r="X2048" s="12"/>
      <c r="Y2048" s="12"/>
      <c r="Z2048" s="12"/>
      <c r="AA2048" s="12"/>
    </row>
    <row r="2049" ht="26.25" customHeight="1">
      <c r="A2049" s="26" t="s">
        <v>4108</v>
      </c>
      <c r="B2049" s="26" t="s">
        <v>4109</v>
      </c>
      <c r="C2049" s="14">
        <v>2.0</v>
      </c>
      <c r="D2049" s="23">
        <v>477.0</v>
      </c>
      <c r="E2049" s="23">
        <v>7.0</v>
      </c>
      <c r="F2049" s="27" t="str">
        <f t="array" ref="F2049">"https://www.google.com/maps/search/?api=1&amp;query=" &amp; A2049 &amp; "," &amp; B2049</f>
        <v>https://www.google.com/maps/search/?api=1&amp;query=-30.9093803341965,-55.53636862843000</v>
      </c>
      <c r="G2049" s="27" t="str">
        <f t="array" ref="G2049">"https://earth.google.com/web/search/" &amp; A2049 &amp; "," &amp; B2049</f>
        <v>https://earth.google.com/web/search/-30.9093803341965,-55.53636862843000</v>
      </c>
      <c r="H2049" s="12"/>
      <c r="I2049" s="12"/>
      <c r="J2049" s="12"/>
      <c r="K2049" s="12"/>
      <c r="L2049" s="12"/>
      <c r="M2049" s="12"/>
      <c r="N2049" s="12"/>
      <c r="O2049" s="12"/>
      <c r="P2049" s="12"/>
      <c r="Q2049" s="12"/>
      <c r="R2049" s="12"/>
      <c r="S2049" s="12"/>
      <c r="T2049" s="12"/>
      <c r="U2049" s="12"/>
      <c r="V2049" s="12"/>
      <c r="W2049" s="12"/>
      <c r="X2049" s="12"/>
      <c r="Y2049" s="12"/>
      <c r="Z2049" s="12"/>
      <c r="AA2049" s="12"/>
    </row>
    <row r="2050" ht="26.25" customHeight="1">
      <c r="A2050" s="26" t="s">
        <v>4110</v>
      </c>
      <c r="B2050" s="26" t="s">
        <v>4111</v>
      </c>
      <c r="C2050" s="14">
        <v>2.0</v>
      </c>
      <c r="D2050" s="23">
        <v>478.0</v>
      </c>
      <c r="E2050" s="23">
        <v>1.0</v>
      </c>
      <c r="F2050" s="27" t="str">
        <f t="array" ref="F2050">"https://www.google.com/maps/search/?api=1&amp;query=" &amp; A2050 &amp; "," &amp; B2050</f>
        <v>https://www.google.com/maps/search/?api=1&amp;query=-30.9102883190010,-55.53653179187580</v>
      </c>
      <c r="G2050" s="27" t="str">
        <f t="array" ref="G2050">"https://earth.google.com/web/search/" &amp; A2050 &amp; "," &amp; B2050</f>
        <v>https://earth.google.com/web/search/-30.9102883190010,-55.53653179187580</v>
      </c>
      <c r="H2050" s="12"/>
      <c r="I2050" s="12"/>
      <c r="J2050" s="12"/>
      <c r="K2050" s="12"/>
      <c r="L2050" s="12"/>
      <c r="M2050" s="12"/>
      <c r="N2050" s="12"/>
      <c r="O2050" s="12"/>
      <c r="P2050" s="12"/>
      <c r="Q2050" s="12"/>
      <c r="R2050" s="12"/>
      <c r="S2050" s="12"/>
      <c r="T2050" s="12"/>
      <c r="U2050" s="12"/>
      <c r="V2050" s="12"/>
      <c r="W2050" s="12"/>
      <c r="X2050" s="12"/>
      <c r="Y2050" s="12"/>
      <c r="Z2050" s="12"/>
      <c r="AA2050" s="12"/>
    </row>
    <row r="2051" ht="26.25" customHeight="1">
      <c r="A2051" s="26" t="s">
        <v>4112</v>
      </c>
      <c r="B2051" s="26" t="s">
        <v>4113</v>
      </c>
      <c r="C2051" s="14">
        <v>2.0</v>
      </c>
      <c r="D2051" s="23">
        <v>478.0</v>
      </c>
      <c r="E2051" s="23">
        <v>2.0</v>
      </c>
      <c r="F2051" s="27" t="str">
        <f t="array" ref="F2051">"https://www.google.com/maps/search/?api=1&amp;query=" &amp; A2051 &amp; "," &amp; B2051</f>
        <v>https://www.google.com/maps/search/?api=1&amp;query=-30.9104205168135,-55.53627349781570</v>
      </c>
      <c r="G2051" s="27" t="str">
        <f t="array" ref="G2051">"https://earth.google.com/web/search/" &amp; A2051 &amp; "," &amp; B2051</f>
        <v>https://earth.google.com/web/search/-30.9104205168135,-55.53627349781570</v>
      </c>
      <c r="H2051" s="12"/>
      <c r="I2051" s="12"/>
      <c r="J2051" s="12"/>
      <c r="K2051" s="12"/>
      <c r="L2051" s="12"/>
      <c r="M2051" s="12"/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/>
    </row>
    <row r="2052" ht="26.25" customHeight="1">
      <c r="A2052" s="26" t="s">
        <v>4114</v>
      </c>
      <c r="B2052" s="26" t="s">
        <v>4115</v>
      </c>
      <c r="C2052" s="14">
        <v>2.0</v>
      </c>
      <c r="D2052" s="23">
        <v>478.0</v>
      </c>
      <c r="E2052" s="23">
        <v>3.0</v>
      </c>
      <c r="F2052" s="27" t="str">
        <f t="array" ref="F2052">"https://www.google.com/maps/search/?api=1&amp;query=" &amp; A2052 &amp; "," &amp; B2052</f>
        <v>https://www.google.com/maps/search/?api=1&amp;query=-30.9105098366364,-55.53610981874950</v>
      </c>
      <c r="G2052" s="27" t="str">
        <f t="array" ref="G2052">"https://earth.google.com/web/search/" &amp; A2052 &amp; "," &amp; B2052</f>
        <v>https://earth.google.com/web/search/-30.9105098366364,-55.53610981874950</v>
      </c>
      <c r="H2052" s="12"/>
      <c r="I2052" s="12"/>
      <c r="J2052" s="12"/>
      <c r="K2052" s="12"/>
      <c r="L2052" s="12"/>
      <c r="M2052" s="12"/>
      <c r="N2052" s="12"/>
      <c r="O2052" s="12"/>
      <c r="P2052" s="12"/>
      <c r="Q2052" s="12"/>
      <c r="R2052" s="12"/>
      <c r="S2052" s="12"/>
      <c r="T2052" s="12"/>
      <c r="U2052" s="12"/>
      <c r="V2052" s="12"/>
      <c r="W2052" s="12"/>
      <c r="X2052" s="12"/>
      <c r="Y2052" s="12"/>
      <c r="Z2052" s="12"/>
      <c r="AA2052" s="12"/>
    </row>
    <row r="2053" ht="26.25" customHeight="1">
      <c r="A2053" s="26" t="s">
        <v>4116</v>
      </c>
      <c r="B2053" s="26" t="s">
        <v>4117</v>
      </c>
      <c r="C2053" s="14">
        <v>2.0</v>
      </c>
      <c r="D2053" s="23">
        <v>478.0</v>
      </c>
      <c r="E2053" s="23">
        <v>4.0</v>
      </c>
      <c r="F2053" s="27" t="str">
        <f t="array" ref="F2053">"https://www.google.com/maps/search/?api=1&amp;query=" &amp; A2053 &amp; "," &amp; B2053</f>
        <v>https://www.google.com/maps/search/?api=1&amp;query=-30.9107428421777,-55.53563182607330</v>
      </c>
      <c r="G2053" s="27" t="str">
        <f t="array" ref="G2053">"https://earth.google.com/web/search/" &amp; A2053 &amp; "," &amp; B2053</f>
        <v>https://earth.google.com/web/search/-30.9107428421777,-55.53563182607330</v>
      </c>
      <c r="H2053" s="12"/>
      <c r="I2053" s="12"/>
      <c r="J2053" s="12"/>
      <c r="K2053" s="12"/>
      <c r="L2053" s="12"/>
      <c r="M2053" s="12"/>
      <c r="N2053" s="12"/>
      <c r="O2053" s="12"/>
      <c r="P2053" s="12"/>
      <c r="Q2053" s="12"/>
      <c r="R2053" s="12"/>
      <c r="S2053" s="12"/>
      <c r="T2053" s="12"/>
      <c r="U2053" s="12"/>
      <c r="V2053" s="12"/>
      <c r="W2053" s="12"/>
      <c r="X2053" s="12"/>
      <c r="Y2053" s="12"/>
      <c r="Z2053" s="12"/>
      <c r="AA2053" s="12"/>
    </row>
    <row r="2054" ht="26.25" customHeight="1">
      <c r="A2054" s="26" t="s">
        <v>4118</v>
      </c>
      <c r="B2054" s="26" t="s">
        <v>4119</v>
      </c>
      <c r="C2054" s="14">
        <v>2.0</v>
      </c>
      <c r="D2054" s="23">
        <v>478.0</v>
      </c>
      <c r="E2054" s="23">
        <v>5.0</v>
      </c>
      <c r="F2054" s="27" t="str">
        <f t="array" ref="F2054">"https://www.google.com/maps/search/?api=1&amp;query=" &amp; A2054 &amp; "," &amp; B2054</f>
        <v>https://www.google.com/maps/search/?api=1&amp;query=-30.9107665173817,-55.53557476491760</v>
      </c>
      <c r="G2054" s="27" t="str">
        <f t="array" ref="G2054">"https://earth.google.com/web/search/" &amp; A2054 &amp; "," &amp; B2054</f>
        <v>https://earth.google.com/web/search/-30.9107665173817,-55.53557476491760</v>
      </c>
      <c r="H2054" s="12"/>
      <c r="I2054" s="12"/>
      <c r="J2054" s="12"/>
      <c r="K2054" s="12"/>
      <c r="L2054" s="12"/>
      <c r="M2054" s="12"/>
      <c r="N2054" s="12"/>
      <c r="O2054" s="12"/>
      <c r="P2054" s="12"/>
      <c r="Q2054" s="12"/>
      <c r="R2054" s="12"/>
      <c r="S2054" s="12"/>
      <c r="T2054" s="12"/>
      <c r="U2054" s="12"/>
      <c r="V2054" s="12"/>
      <c r="W2054" s="12"/>
      <c r="X2054" s="12"/>
      <c r="Y2054" s="12"/>
      <c r="Z2054" s="12"/>
      <c r="AA2054" s="12"/>
    </row>
    <row r="2055" ht="26.25" customHeight="1">
      <c r="A2055" s="26" t="s">
        <v>4120</v>
      </c>
      <c r="B2055" s="26" t="s">
        <v>4121</v>
      </c>
      <c r="C2055" s="14">
        <v>2.0</v>
      </c>
      <c r="D2055" s="23">
        <v>478.0</v>
      </c>
      <c r="E2055" s="23">
        <v>6.0</v>
      </c>
      <c r="F2055" s="27" t="str">
        <f t="array" ref="F2055">"https://www.google.com/maps/search/?api=1&amp;query=" &amp; A2055 &amp; "," &amp; B2055</f>
        <v>https://www.google.com/maps/search/?api=1&amp;query=-30.9107916266342,-55.53553979607210</v>
      </c>
      <c r="G2055" s="27" t="str">
        <f t="array" ref="G2055">"https://earth.google.com/web/search/" &amp; A2055 &amp; "," &amp; B2055</f>
        <v>https://earth.google.com/web/search/-30.9107916266342,-55.53553979607210</v>
      </c>
      <c r="H2055" s="12"/>
      <c r="I2055" s="12"/>
      <c r="J2055" s="12"/>
      <c r="K2055" s="12"/>
      <c r="L2055" s="12"/>
      <c r="M2055" s="12"/>
      <c r="N2055" s="12"/>
      <c r="O2055" s="12"/>
      <c r="P2055" s="12"/>
      <c r="Q2055" s="12"/>
      <c r="R2055" s="12"/>
      <c r="S2055" s="12"/>
      <c r="T2055" s="12"/>
      <c r="U2055" s="12"/>
      <c r="V2055" s="12"/>
      <c r="W2055" s="12"/>
      <c r="X2055" s="12"/>
      <c r="Y2055" s="12"/>
      <c r="Z2055" s="12"/>
      <c r="AA2055" s="12"/>
    </row>
    <row r="2056" ht="26.25" customHeight="1">
      <c r="A2056" s="26" t="s">
        <v>4122</v>
      </c>
      <c r="B2056" s="26" t="s">
        <v>4123</v>
      </c>
      <c r="C2056" s="14">
        <v>2.0</v>
      </c>
      <c r="D2056" s="23">
        <v>478.0</v>
      </c>
      <c r="E2056" s="23">
        <v>7.0</v>
      </c>
      <c r="F2056" s="27" t="str">
        <f t="array" ref="F2056">"https://www.google.com/maps/search/?api=1&amp;query=" &amp; A2056 &amp; "," &amp; B2056</f>
        <v>https://www.google.com/maps/search/?api=1&amp;query=-30.9109370129399,-55.53525921048710</v>
      </c>
      <c r="G2056" s="27" t="str">
        <f t="array" ref="G2056">"https://earth.google.com/web/search/" &amp; A2056 &amp; "," &amp; B2056</f>
        <v>https://earth.google.com/web/search/-30.9109370129399,-55.53525921048710</v>
      </c>
      <c r="H2056" s="12"/>
      <c r="I2056" s="12"/>
      <c r="J2056" s="12"/>
      <c r="K2056" s="12"/>
      <c r="L2056" s="12"/>
      <c r="M2056" s="12"/>
      <c r="N2056" s="12"/>
      <c r="O2056" s="12"/>
      <c r="P2056" s="12"/>
      <c r="Q2056" s="12"/>
      <c r="R2056" s="12"/>
      <c r="S2056" s="12"/>
      <c r="T2056" s="12"/>
      <c r="U2056" s="12"/>
      <c r="V2056" s="12"/>
      <c r="W2056" s="12"/>
      <c r="X2056" s="12"/>
      <c r="Y2056" s="12"/>
      <c r="Z2056" s="12"/>
      <c r="AA2056" s="12"/>
    </row>
    <row r="2057" ht="26.25" customHeight="1">
      <c r="A2057" s="26" t="s">
        <v>4124</v>
      </c>
      <c r="B2057" s="26" t="s">
        <v>4125</v>
      </c>
      <c r="C2057" s="14">
        <v>2.0</v>
      </c>
      <c r="D2057" s="23">
        <v>478.0</v>
      </c>
      <c r="E2057" s="23">
        <v>8.0</v>
      </c>
      <c r="F2057" s="27" t="str">
        <f t="array" ref="F2057">"https://www.google.com/maps/search/?api=1&amp;query=" &amp; A2057 &amp; "," &amp; B2057</f>
        <v>https://www.google.com/maps/search/?api=1&amp;query=-3.0910731022454,-55.53498845885480</v>
      </c>
      <c r="G2057" s="27" t="str">
        <f t="array" ref="G2057">"https://earth.google.com/web/search/" &amp; A2057 &amp; "," &amp; B2057</f>
        <v>https://earth.google.com/web/search/-3.0910731022454,-55.53498845885480</v>
      </c>
      <c r="H2057" s="12"/>
      <c r="I2057" s="12"/>
      <c r="J2057" s="12"/>
      <c r="K2057" s="12"/>
      <c r="L2057" s="12"/>
      <c r="M2057" s="12"/>
      <c r="N2057" s="12"/>
      <c r="O2057" s="12"/>
      <c r="P2057" s="12"/>
      <c r="Q2057" s="12"/>
      <c r="R2057" s="12"/>
      <c r="S2057" s="12"/>
      <c r="T2057" s="12"/>
      <c r="U2057" s="12"/>
      <c r="V2057" s="12"/>
      <c r="W2057" s="12"/>
      <c r="X2057" s="12"/>
      <c r="Y2057" s="12"/>
      <c r="Z2057" s="12"/>
      <c r="AA2057" s="12"/>
    </row>
    <row r="2058" ht="26.25" customHeight="1">
      <c r="A2058" s="26" t="s">
        <v>4126</v>
      </c>
      <c r="B2058" s="26" t="s">
        <v>4127</v>
      </c>
      <c r="C2058" s="14">
        <v>2.0</v>
      </c>
      <c r="D2058" s="23">
        <v>478.0</v>
      </c>
      <c r="E2058" s="23">
        <v>9.0</v>
      </c>
      <c r="F2058" s="27" t="str">
        <f t="array" ref="F2058">"https://www.google.com/maps/search/?api=1&amp;query=" &amp; A2058 &amp; "," &amp; B2058</f>
        <v>https://www.google.com/maps/search/?api=1&amp;query=-30.9098612736663,-55.53547101975270</v>
      </c>
      <c r="G2058" s="27" t="str">
        <f t="array" ref="G2058">"https://earth.google.com/web/search/" &amp; A2058 &amp; "," &amp; B2058</f>
        <v>https://earth.google.com/web/search/-30.9098612736663,-55.53547101975270</v>
      </c>
      <c r="H2058" s="12"/>
      <c r="I2058" s="12"/>
      <c r="J2058" s="12"/>
      <c r="K2058" s="12"/>
      <c r="L2058" s="12"/>
      <c r="M2058" s="12"/>
      <c r="N2058" s="12"/>
      <c r="O2058" s="12"/>
      <c r="P2058" s="12"/>
      <c r="Q2058" s="12"/>
      <c r="R2058" s="12"/>
      <c r="S2058" s="12"/>
      <c r="T2058" s="12"/>
      <c r="U2058" s="12"/>
      <c r="V2058" s="12"/>
      <c r="W2058" s="12"/>
      <c r="X2058" s="12"/>
      <c r="Y2058" s="12"/>
      <c r="Z2058" s="12"/>
      <c r="AA2058" s="12"/>
    </row>
    <row r="2059" ht="26.25" customHeight="1">
      <c r="A2059" s="26" t="s">
        <v>4128</v>
      </c>
      <c r="B2059" s="26" t="s">
        <v>4129</v>
      </c>
      <c r="C2059" s="14">
        <v>2.0</v>
      </c>
      <c r="D2059" s="23">
        <v>379.0</v>
      </c>
      <c r="E2059" s="23">
        <v>1.0</v>
      </c>
      <c r="F2059" s="27" t="str">
        <f t="array" ref="F2059">"https://www.google.com/maps/search/?api=1&amp;query=" &amp; A2059 &amp; "," &amp; B2059</f>
        <v>https://www.google.com/maps/search/?api=1&amp;query=-30.9082616780569,-55.54076386625500</v>
      </c>
      <c r="G2059" s="27" t="str">
        <f t="array" ref="G2059">"https://earth.google.com/web/search/" &amp; A2059 &amp; "," &amp; B2059</f>
        <v>https://earth.google.com/web/search/-30.9082616780569,-55.54076386625500</v>
      </c>
      <c r="H2059" s="12"/>
      <c r="I2059" s="12"/>
      <c r="J2059" s="12"/>
      <c r="K2059" s="12"/>
      <c r="L2059" s="12"/>
      <c r="M2059" s="12"/>
      <c r="N2059" s="12"/>
      <c r="O2059" s="12"/>
      <c r="P2059" s="12"/>
      <c r="Q2059" s="12"/>
      <c r="R2059" s="12"/>
      <c r="S2059" s="12"/>
      <c r="T2059" s="12"/>
      <c r="U2059" s="12"/>
      <c r="V2059" s="12"/>
      <c r="W2059" s="12"/>
      <c r="X2059" s="12"/>
      <c r="Y2059" s="12"/>
      <c r="Z2059" s="12"/>
      <c r="AA2059" s="12"/>
    </row>
    <row r="2060" ht="26.25" customHeight="1">
      <c r="A2060" s="26" t="s">
        <v>4130</v>
      </c>
      <c r="B2060" s="26" t="s">
        <v>4131</v>
      </c>
      <c r="C2060" s="14">
        <v>2.0</v>
      </c>
      <c r="D2060" s="23">
        <v>379.0</v>
      </c>
      <c r="E2060" s="23">
        <v>2.0</v>
      </c>
      <c r="F2060" s="27" t="str">
        <f t="array" ref="F2060">"https://www.google.com/maps/search/?api=1&amp;query=" &amp; A2060 &amp; "," &amp; B2060</f>
        <v>https://www.google.com/maps/search/?api=1&amp;query=-30.9083880308908,-55.54086220192040</v>
      </c>
      <c r="G2060" s="27" t="str">
        <f t="array" ref="G2060">"https://earth.google.com/web/search/" &amp; A2060 &amp; "," &amp; B2060</f>
        <v>https://earth.google.com/web/search/-30.9083880308908,-55.54086220192040</v>
      </c>
      <c r="H2060" s="12"/>
      <c r="I2060" s="12"/>
      <c r="J2060" s="12"/>
      <c r="K2060" s="12"/>
      <c r="L2060" s="12"/>
      <c r="M2060" s="12"/>
      <c r="N2060" s="12"/>
      <c r="O2060" s="12"/>
      <c r="P2060" s="12"/>
      <c r="Q2060" s="12"/>
      <c r="R2060" s="12"/>
      <c r="S2060" s="12"/>
      <c r="T2060" s="12"/>
      <c r="U2060" s="12"/>
      <c r="V2060" s="12"/>
      <c r="W2060" s="12"/>
      <c r="X2060" s="12"/>
      <c r="Y2060" s="12"/>
      <c r="Z2060" s="12"/>
      <c r="AA2060" s="12"/>
    </row>
    <row r="2061" ht="26.25" customHeight="1">
      <c r="A2061" s="26" t="s">
        <v>4132</v>
      </c>
      <c r="B2061" s="26" t="s">
        <v>4133</v>
      </c>
      <c r="C2061" s="14">
        <v>2.0</v>
      </c>
      <c r="D2061" s="23">
        <v>379.0</v>
      </c>
      <c r="E2061" s="23">
        <v>3.0</v>
      </c>
      <c r="F2061" s="27" t="str">
        <f t="array" ref="F2061">"https://www.google.com/maps/search/?api=1&amp;query=" &amp; A2061 &amp; "," &amp; B2061</f>
        <v>https://www.google.com/maps/search/?api=1&amp;query=-30.9086039721060,-55.54100393896230</v>
      </c>
      <c r="G2061" s="27" t="str">
        <f t="array" ref="G2061">"https://earth.google.com/web/search/" &amp; A2061 &amp; "," &amp; B2061</f>
        <v>https://earth.google.com/web/search/-30.9086039721060,-55.54100393896230</v>
      </c>
      <c r="H2061" s="12"/>
      <c r="I2061" s="12"/>
      <c r="J2061" s="12"/>
      <c r="K2061" s="12"/>
      <c r="L2061" s="12"/>
      <c r="M2061" s="12"/>
      <c r="N2061" s="12"/>
      <c r="O2061" s="12"/>
      <c r="P2061" s="12"/>
      <c r="Q2061" s="12"/>
      <c r="R2061" s="12"/>
      <c r="S2061" s="12"/>
      <c r="T2061" s="12"/>
      <c r="U2061" s="12"/>
      <c r="V2061" s="12"/>
      <c r="W2061" s="12"/>
      <c r="X2061" s="12"/>
      <c r="Y2061" s="12"/>
      <c r="Z2061" s="12"/>
      <c r="AA2061" s="12"/>
    </row>
    <row r="2062" ht="26.25" customHeight="1">
      <c r="A2062" s="26" t="s">
        <v>4134</v>
      </c>
      <c r="B2062" s="26" t="s">
        <v>4135</v>
      </c>
      <c r="C2062" s="14">
        <v>2.0</v>
      </c>
      <c r="D2062" s="23">
        <v>379.0</v>
      </c>
      <c r="E2062" s="23">
        <v>4.0</v>
      </c>
      <c r="F2062" s="27" t="str">
        <f t="array" ref="F2062">"https://www.google.com/maps/search/?api=1&amp;query=" &amp; A2062 &amp; "," &amp; B2062</f>
        <v>https://www.google.com/maps/search/?api=1&amp;query=-30.9086706449609,-55.54105728456190</v>
      </c>
      <c r="G2062" s="27" t="str">
        <f t="array" ref="G2062">"https://earth.google.com/web/search/" &amp; A2062 &amp; "," &amp; B2062</f>
        <v>https://earth.google.com/web/search/-30.9086706449609,-55.54105728456190</v>
      </c>
      <c r="H2062" s="12"/>
      <c r="I2062" s="12"/>
      <c r="J2062" s="12"/>
      <c r="K2062" s="12"/>
      <c r="L2062" s="12"/>
      <c r="M2062" s="12"/>
      <c r="N2062" s="12"/>
      <c r="O2062" s="12"/>
      <c r="P2062" s="12"/>
      <c r="Q2062" s="12"/>
      <c r="R2062" s="12"/>
      <c r="S2062" s="12"/>
      <c r="T2062" s="12"/>
      <c r="U2062" s="12"/>
      <c r="V2062" s="12"/>
      <c r="W2062" s="12"/>
      <c r="X2062" s="12"/>
      <c r="Y2062" s="12"/>
      <c r="Z2062" s="12"/>
      <c r="AA2062" s="12"/>
    </row>
    <row r="2063" ht="26.25" customHeight="1">
      <c r="A2063" s="26" t="s">
        <v>4136</v>
      </c>
      <c r="B2063" s="26" t="s">
        <v>4137</v>
      </c>
      <c r="C2063" s="14">
        <v>2.0</v>
      </c>
      <c r="D2063" s="23">
        <v>379.0</v>
      </c>
      <c r="E2063" s="23">
        <v>5.0</v>
      </c>
      <c r="F2063" s="27" t="str">
        <f t="array" ref="F2063">"https://www.google.com/maps/search/?api=1&amp;query=" &amp; A2063 &amp; "," &amp; B2063</f>
        <v>https://www.google.com/maps/search/?api=1&amp;query=-30.9087154981341,-55.54108198879810</v>
      </c>
      <c r="G2063" s="27" t="str">
        <f t="array" ref="G2063">"https://earth.google.com/web/search/" &amp; A2063 &amp; "," &amp; B2063</f>
        <v>https://earth.google.com/web/search/-30.9087154981341,-55.54108198879810</v>
      </c>
      <c r="H2063" s="12"/>
      <c r="I2063" s="12"/>
      <c r="J2063" s="12"/>
      <c r="K2063" s="12"/>
      <c r="L2063" s="12"/>
      <c r="M2063" s="12"/>
      <c r="N2063" s="12"/>
      <c r="O2063" s="12"/>
      <c r="P2063" s="12"/>
      <c r="Q2063" s="12"/>
      <c r="R2063" s="12"/>
      <c r="S2063" s="12"/>
      <c r="T2063" s="12"/>
      <c r="U2063" s="12"/>
      <c r="V2063" s="12"/>
      <c r="W2063" s="12"/>
      <c r="X2063" s="12"/>
      <c r="Y2063" s="12"/>
      <c r="Z2063" s="12"/>
      <c r="AA2063" s="12"/>
    </row>
    <row r="2064" ht="26.25" customHeight="1">
      <c r="A2064" s="26" t="s">
        <v>4138</v>
      </c>
      <c r="B2064" s="26" t="s">
        <v>4139</v>
      </c>
      <c r="C2064" s="14">
        <v>2.0</v>
      </c>
      <c r="D2064" s="23">
        <v>379.0</v>
      </c>
      <c r="E2064" s="23">
        <v>6.0</v>
      </c>
      <c r="F2064" s="27" t="str">
        <f t="array" ref="F2064">"https://www.google.com/maps/search/?api=1&amp;query=" &amp; A2064 &amp; "," &amp; B2064</f>
        <v>https://www.google.com/maps/search/?api=1&amp;query=-30.9088343903114,-5.55411417702973</v>
      </c>
      <c r="G2064" s="27" t="str">
        <f t="array" ref="G2064">"https://earth.google.com/web/search/" &amp; A2064 &amp; "," &amp; B2064</f>
        <v>https://earth.google.com/web/search/-30.9088343903114,-5.55411417702973</v>
      </c>
      <c r="H2064" s="12"/>
      <c r="I2064" s="12"/>
      <c r="J2064" s="12"/>
      <c r="K2064" s="12"/>
      <c r="L2064" s="12"/>
      <c r="M2064" s="12"/>
      <c r="N2064" s="12"/>
      <c r="O2064" s="12"/>
      <c r="P2064" s="12"/>
      <c r="Q2064" s="12"/>
      <c r="R2064" s="12"/>
      <c r="S2064" s="12"/>
      <c r="T2064" s="12"/>
      <c r="U2064" s="12"/>
      <c r="V2064" s="12"/>
      <c r="W2064" s="12"/>
      <c r="X2064" s="12"/>
      <c r="Y2064" s="12"/>
      <c r="Z2064" s="12"/>
      <c r="AA2064" s="12"/>
    </row>
    <row r="2065" ht="26.25" customHeight="1">
      <c r="A2065" s="26" t="s">
        <v>4140</v>
      </c>
      <c r="B2065" s="26" t="s">
        <v>4141</v>
      </c>
      <c r="C2065" s="14">
        <v>2.0</v>
      </c>
      <c r="D2065" s="23">
        <v>379.0</v>
      </c>
      <c r="E2065" s="23">
        <v>7.0</v>
      </c>
      <c r="F2065" s="27" t="str">
        <f t="array" ref="F2065">"https://www.google.com/maps/search/?api=1&amp;query=" &amp; A2065 &amp; "," &amp; B2065</f>
        <v>https://www.google.com/maps/search/?api=1&amp;query=-30.9089623345517,-55.54104511944670</v>
      </c>
      <c r="G2065" s="27" t="str">
        <f t="array" ref="G2065">"https://earth.google.com/web/search/" &amp; A2065 &amp; "," &amp; B2065</f>
        <v>https://earth.google.com/web/search/-30.9089623345517,-55.54104511944670</v>
      </c>
      <c r="H2065" s="12"/>
      <c r="I2065" s="12"/>
      <c r="J2065" s="12"/>
      <c r="K2065" s="12"/>
      <c r="L2065" s="12"/>
      <c r="M2065" s="12"/>
      <c r="N2065" s="12"/>
      <c r="O2065" s="12"/>
      <c r="P2065" s="12"/>
      <c r="Q2065" s="12"/>
      <c r="R2065" s="12"/>
      <c r="S2065" s="12"/>
      <c r="T2065" s="12"/>
      <c r="U2065" s="12"/>
      <c r="V2065" s="12"/>
      <c r="W2065" s="12"/>
      <c r="X2065" s="12"/>
      <c r="Y2065" s="12"/>
      <c r="Z2065" s="12"/>
      <c r="AA2065" s="12"/>
    </row>
    <row r="2066" ht="26.25" customHeight="1">
      <c r="A2066" s="26" t="s">
        <v>4142</v>
      </c>
      <c r="B2066" s="26" t="s">
        <v>4143</v>
      </c>
      <c r="C2066" s="14">
        <v>2.0</v>
      </c>
      <c r="D2066" s="23">
        <v>379.0</v>
      </c>
      <c r="E2066" s="23">
        <v>8.0</v>
      </c>
      <c r="F2066" s="27" t="str">
        <f t="array" ref="F2066">"https://www.google.com/maps/search/?api=1&amp;query=" &amp; A2066 &amp; "," &amp; B2066</f>
        <v>https://www.google.com/maps/search/?api=1&amp;query=-30.9090594678165,-5.55408736683444</v>
      </c>
      <c r="G2066" s="27" t="str">
        <f t="array" ref="G2066">"https://earth.google.com/web/search/" &amp; A2066 &amp; "," &amp; B2066</f>
        <v>https://earth.google.com/web/search/-30.9090594678165,-5.55408736683444</v>
      </c>
      <c r="H2066" s="12"/>
      <c r="I2066" s="12"/>
      <c r="J2066" s="12"/>
      <c r="K2066" s="12"/>
      <c r="L2066" s="12"/>
      <c r="M2066" s="12"/>
      <c r="N2066" s="12"/>
      <c r="O2066" s="12"/>
      <c r="P2066" s="12"/>
      <c r="Q2066" s="12"/>
      <c r="R2066" s="12"/>
      <c r="S2066" s="12"/>
      <c r="T2066" s="12"/>
      <c r="U2066" s="12"/>
      <c r="V2066" s="12"/>
      <c r="W2066" s="12"/>
      <c r="X2066" s="12"/>
      <c r="Y2066" s="12"/>
      <c r="Z2066" s="12"/>
      <c r="AA2066" s="12"/>
    </row>
    <row r="2067" ht="26.25" customHeight="1">
      <c r="A2067" s="26" t="s">
        <v>4144</v>
      </c>
      <c r="B2067" s="26" t="s">
        <v>4145</v>
      </c>
      <c r="C2067" s="14">
        <v>2.0</v>
      </c>
      <c r="D2067" s="23">
        <v>379.0</v>
      </c>
      <c r="E2067" s="23">
        <v>9.0</v>
      </c>
      <c r="F2067" s="27" t="str">
        <f t="array" ref="F2067">"https://www.google.com/maps/search/?api=1&amp;query=" &amp; A2067 &amp; "," &amp; B2067</f>
        <v>https://www.google.com/maps/search/?api=1&amp;query=-30.9092780995039,-55.54051385496110</v>
      </c>
      <c r="G2067" s="27" t="str">
        <f t="array" ref="G2067">"https://earth.google.com/web/search/" &amp; A2067 &amp; "," &amp; B2067</f>
        <v>https://earth.google.com/web/search/-30.9092780995039,-55.54051385496110</v>
      </c>
      <c r="H2067" s="12"/>
      <c r="I2067" s="12"/>
      <c r="J2067" s="12"/>
      <c r="K2067" s="12"/>
      <c r="L2067" s="12"/>
      <c r="M2067" s="12"/>
      <c r="N2067" s="12"/>
      <c r="O2067" s="12"/>
      <c r="P2067" s="12"/>
      <c r="Q2067" s="12"/>
      <c r="R2067" s="12"/>
      <c r="S2067" s="12"/>
      <c r="T2067" s="12"/>
      <c r="U2067" s="12"/>
      <c r="V2067" s="12"/>
      <c r="W2067" s="12"/>
      <c r="X2067" s="12"/>
      <c r="Y2067" s="12"/>
      <c r="Z2067" s="12"/>
      <c r="AA2067" s="12"/>
    </row>
    <row r="2068" ht="26.25" customHeight="1">
      <c r="A2068" s="26" t="s">
        <v>4146</v>
      </c>
      <c r="B2068" s="26" t="s">
        <v>4147</v>
      </c>
      <c r="C2068" s="14">
        <v>2.0</v>
      </c>
      <c r="D2068" s="23">
        <v>379.0</v>
      </c>
      <c r="E2068" s="23">
        <v>10.0</v>
      </c>
      <c r="F2068" s="27" t="str">
        <f t="array" ref="F2068">"https://www.google.com/maps/search/?api=1&amp;query=" &amp; A2068 &amp; "," &amp; B2068</f>
        <v>https://www.google.com/maps/search/?api=1&amp;query=-30.9090809722375,-55.54023044861790</v>
      </c>
      <c r="G2068" s="27" t="str">
        <f t="array" ref="G2068">"https://earth.google.com/web/search/" &amp; A2068 &amp; "," &amp; B2068</f>
        <v>https://earth.google.com/web/search/-30.9090809722375,-55.54023044861790</v>
      </c>
      <c r="H2068" s="12"/>
      <c r="I2068" s="12"/>
      <c r="J2068" s="12"/>
      <c r="K2068" s="12"/>
      <c r="L2068" s="12"/>
      <c r="M2068" s="12"/>
      <c r="N2068" s="12"/>
      <c r="O2068" s="12"/>
      <c r="P2068" s="12"/>
      <c r="Q2068" s="12"/>
      <c r="R2068" s="12"/>
      <c r="S2068" s="12"/>
      <c r="T2068" s="12"/>
      <c r="U2068" s="12"/>
      <c r="V2068" s="12"/>
      <c r="W2068" s="12"/>
      <c r="X2068" s="12"/>
      <c r="Y2068" s="12"/>
      <c r="Z2068" s="12"/>
      <c r="AA2068" s="12"/>
    </row>
    <row r="2069" ht="26.25" customHeight="1">
      <c r="A2069" s="26" t="s">
        <v>4148</v>
      </c>
      <c r="B2069" s="26" t="s">
        <v>4149</v>
      </c>
      <c r="C2069" s="14">
        <v>2.0</v>
      </c>
      <c r="D2069" s="23">
        <v>379.0</v>
      </c>
      <c r="E2069" s="23">
        <v>11.0</v>
      </c>
      <c r="F2069" s="27" t="str">
        <f t="array" ref="F2069">"https://www.google.com/maps/search/?api=1&amp;query=" &amp; A2069 &amp; "," &amp; B2069</f>
        <v>https://www.google.com/maps/search/?api=1&amp;query=-30.9090460643817,-55.54018405476800</v>
      </c>
      <c r="G2069" s="27" t="str">
        <f t="array" ref="G2069">"https://earth.google.com/web/search/" &amp; A2069 &amp; "," &amp; B2069</f>
        <v>https://earth.google.com/web/search/-30.9090460643817,-55.54018405476800</v>
      </c>
      <c r="H2069" s="12"/>
      <c r="I2069" s="12"/>
      <c r="J2069" s="12"/>
      <c r="K2069" s="12"/>
      <c r="L2069" s="12"/>
      <c r="M2069" s="12"/>
      <c r="N2069" s="12"/>
      <c r="O2069" s="12"/>
      <c r="P2069" s="12"/>
      <c r="Q2069" s="12"/>
      <c r="R2069" s="12"/>
      <c r="S2069" s="12"/>
      <c r="T2069" s="12"/>
      <c r="U2069" s="12"/>
      <c r="V2069" s="12"/>
      <c r="W2069" s="12"/>
      <c r="X2069" s="12"/>
      <c r="Y2069" s="12"/>
      <c r="Z2069" s="12"/>
      <c r="AA2069" s="12"/>
    </row>
    <row r="2070" ht="26.25" customHeight="1">
      <c r="A2070" s="26" t="s">
        <v>4150</v>
      </c>
      <c r="B2070" s="26" t="s">
        <v>4151</v>
      </c>
      <c r="C2070" s="14">
        <v>2.0</v>
      </c>
      <c r="D2070" s="23">
        <v>379.0</v>
      </c>
      <c r="E2070" s="23">
        <v>12.0</v>
      </c>
      <c r="F2070" s="27" t="str">
        <f t="array" ref="F2070">"https://www.google.com/maps/search/?api=1&amp;query=" &amp; A2070 &amp; "," &amp; B2070</f>
        <v>https://www.google.com/maps/search/?api=1&amp;query=-30.9089747077095,-55.54013196538860</v>
      </c>
      <c r="G2070" s="27" t="str">
        <f t="array" ref="G2070">"https://earth.google.com/web/search/" &amp; A2070 &amp; "," &amp; B2070</f>
        <v>https://earth.google.com/web/search/-30.9089747077095,-55.54013196538860</v>
      </c>
      <c r="H2070" s="12"/>
      <c r="I2070" s="12"/>
      <c r="J2070" s="12"/>
      <c r="K2070" s="12"/>
      <c r="L2070" s="12"/>
      <c r="M2070" s="12"/>
      <c r="N2070" s="12"/>
      <c r="O2070" s="12"/>
      <c r="P2070" s="12"/>
      <c r="Q2070" s="12"/>
      <c r="R2070" s="12"/>
      <c r="S2070" s="12"/>
      <c r="T2070" s="12"/>
      <c r="U2070" s="12"/>
      <c r="V2070" s="12"/>
      <c r="W2070" s="12"/>
      <c r="X2070" s="12"/>
      <c r="Y2070" s="12"/>
      <c r="Z2070" s="12"/>
      <c r="AA2070" s="12"/>
    </row>
    <row r="2071" ht="26.25" customHeight="1">
      <c r="A2071" s="26" t="s">
        <v>4152</v>
      </c>
      <c r="B2071" s="26" t="s">
        <v>4153</v>
      </c>
      <c r="C2071" s="14">
        <v>2.0</v>
      </c>
      <c r="D2071" s="23">
        <v>379.0</v>
      </c>
      <c r="E2071" s="23">
        <v>13.0</v>
      </c>
      <c r="F2071" s="27" t="str">
        <f t="array" ref="F2071">"https://www.google.com/maps/search/?api=1&amp;query=" &amp; A2071 &amp; "," &amp; B2071</f>
        <v>https://www.google.com/maps/search/?api=1&amp;query=-30.9086411250259,-55.53989523643320</v>
      </c>
      <c r="G2071" s="27" t="str">
        <f t="array" ref="G2071">"https://earth.google.com/web/search/" &amp; A2071 &amp; "," &amp; B2071</f>
        <v>https://earth.google.com/web/search/-30.9086411250259,-55.53989523643320</v>
      </c>
      <c r="H2071" s="12"/>
      <c r="I2071" s="12"/>
      <c r="J2071" s="12"/>
      <c r="K2071" s="12"/>
      <c r="L2071" s="12"/>
      <c r="M2071" s="12"/>
      <c r="N2071" s="12"/>
      <c r="O2071" s="12"/>
      <c r="P2071" s="12"/>
      <c r="Q2071" s="12"/>
      <c r="R2071" s="12"/>
      <c r="S2071" s="12"/>
      <c r="T2071" s="12"/>
      <c r="U2071" s="12"/>
      <c r="V2071" s="12"/>
      <c r="W2071" s="12"/>
      <c r="X2071" s="12"/>
      <c r="Y2071" s="12"/>
      <c r="Z2071" s="12"/>
      <c r="AA2071" s="12"/>
    </row>
    <row r="2072" ht="26.25" customHeight="1">
      <c r="A2072" s="26" t="s">
        <v>4154</v>
      </c>
      <c r="B2072" s="26" t="s">
        <v>4155</v>
      </c>
      <c r="C2072" s="14">
        <v>2.0</v>
      </c>
      <c r="D2072" s="23">
        <v>379.0</v>
      </c>
      <c r="E2072" s="23">
        <v>14.0</v>
      </c>
      <c r="F2072" s="27" t="str">
        <f t="array" ref="F2072">"https://www.google.com/maps/search/?api=1&amp;query=" &amp; A2072 &amp; "," &amp; B2072</f>
        <v>https://www.google.com/maps/search/?api=1&amp;query=-30.9083844754117,-55.54029557405240</v>
      </c>
      <c r="G2072" s="27" t="str">
        <f t="array" ref="G2072">"https://earth.google.com/web/search/" &amp; A2072 &amp; "," &amp; B2072</f>
        <v>https://earth.google.com/web/search/-30.9083844754117,-55.54029557405240</v>
      </c>
      <c r="H2072" s="12"/>
      <c r="I2072" s="12"/>
      <c r="J2072" s="12"/>
      <c r="K2072" s="12"/>
      <c r="L2072" s="12"/>
      <c r="M2072" s="12"/>
      <c r="N2072" s="12"/>
      <c r="O2072" s="12"/>
      <c r="P2072" s="12"/>
      <c r="Q2072" s="12"/>
      <c r="R2072" s="12"/>
      <c r="S2072" s="12"/>
      <c r="T2072" s="12"/>
      <c r="U2072" s="12"/>
      <c r="V2072" s="12"/>
      <c r="W2072" s="12"/>
      <c r="X2072" s="12"/>
      <c r="Y2072" s="12"/>
      <c r="Z2072" s="12"/>
      <c r="AA2072" s="12"/>
    </row>
    <row r="2073" ht="26.25" customHeight="1">
      <c r="A2073" s="26" t="s">
        <v>4156</v>
      </c>
      <c r="B2073" s="26" t="s">
        <v>4157</v>
      </c>
      <c r="C2073" s="14">
        <v>2.0</v>
      </c>
      <c r="D2073" s="23">
        <v>379.0</v>
      </c>
      <c r="E2073" s="23">
        <v>15.0</v>
      </c>
      <c r="F2073" s="27" t="str">
        <f t="array" ref="F2073">"https://www.google.com/maps/search/?api=1&amp;query=" &amp; A2073 &amp; "," &amp; B2073</f>
        <v>https://www.google.com/maps/search/?api=1&amp;query=-30.9083582839817,-55.54032762150550</v>
      </c>
      <c r="G2073" s="27" t="str">
        <f t="array" ref="G2073">"https://earth.google.com/web/search/" &amp; A2073 &amp; "," &amp; B2073</f>
        <v>https://earth.google.com/web/search/-30.9083582839817,-55.54032762150550</v>
      </c>
      <c r="H2073" s="12"/>
      <c r="I2073" s="12"/>
      <c r="J2073" s="12"/>
      <c r="K2073" s="12"/>
      <c r="L2073" s="12"/>
      <c r="M2073" s="12"/>
      <c r="N2073" s="12"/>
      <c r="O2073" s="12"/>
      <c r="P2073" s="12"/>
      <c r="Q2073" s="12"/>
      <c r="R2073" s="12"/>
      <c r="S2073" s="12"/>
      <c r="T2073" s="12"/>
      <c r="U2073" s="12"/>
      <c r="V2073" s="12"/>
      <c r="W2073" s="12"/>
      <c r="X2073" s="12"/>
      <c r="Y2073" s="12"/>
      <c r="Z2073" s="12"/>
      <c r="AA2073" s="12"/>
    </row>
    <row r="2074" ht="26.25" customHeight="1">
      <c r="A2074" s="26" t="s">
        <v>4158</v>
      </c>
      <c r="B2074" s="26" t="s">
        <v>4159</v>
      </c>
      <c r="C2074" s="14">
        <v>2.0</v>
      </c>
      <c r="D2074" s="23">
        <v>379.0</v>
      </c>
      <c r="E2074" s="23">
        <v>16.0</v>
      </c>
      <c r="F2074" s="27" t="str">
        <f t="array" ref="F2074">"https://www.google.com/maps/search/?api=1&amp;query=" &amp; A2074 &amp; "," &amp; B2074</f>
        <v>https://www.google.com/maps/search/?api=1&amp;query=-30.9083077794695,-55.54044356686840</v>
      </c>
      <c r="G2074" s="27" t="str">
        <f t="array" ref="G2074">"https://earth.google.com/web/search/" &amp; A2074 &amp; "," &amp; B2074</f>
        <v>https://earth.google.com/web/search/-30.9083077794695,-55.54044356686840</v>
      </c>
      <c r="H2074" s="12"/>
      <c r="I2074" s="12"/>
      <c r="J2074" s="12"/>
      <c r="K2074" s="12"/>
      <c r="L2074" s="12"/>
      <c r="M2074" s="12"/>
      <c r="N2074" s="12"/>
      <c r="O2074" s="12"/>
      <c r="P2074" s="12"/>
      <c r="Q2074" s="12"/>
      <c r="R2074" s="12"/>
      <c r="S2074" s="12"/>
      <c r="T2074" s="12"/>
      <c r="U2074" s="12"/>
      <c r="V2074" s="12"/>
      <c r="W2074" s="12"/>
      <c r="X2074" s="12"/>
      <c r="Y2074" s="12"/>
      <c r="Z2074" s="12"/>
      <c r="AA2074" s="12"/>
    </row>
    <row r="2075" ht="26.25" customHeight="1">
      <c r="A2075" s="26" t="s">
        <v>4160</v>
      </c>
      <c r="B2075" s="26" t="s">
        <v>4161</v>
      </c>
      <c r="C2075" s="14">
        <v>2.0</v>
      </c>
      <c r="D2075" s="23">
        <v>379.0</v>
      </c>
      <c r="E2075" s="23">
        <v>17.0</v>
      </c>
      <c r="F2075" s="27" t="str">
        <f t="array" ref="F2075">"https://www.google.com/maps/search/?api=1&amp;query=" &amp; A2075 &amp; "," &amp; B2075</f>
        <v>https://www.google.com/maps/search/?api=1&amp;query=-30.9082605735345,-55.54055157079940</v>
      </c>
      <c r="G2075" s="27" t="str">
        <f t="array" ref="G2075">"https://earth.google.com/web/search/" &amp; A2075 &amp; "," &amp; B2075</f>
        <v>https://earth.google.com/web/search/-30.9082605735345,-55.54055157079940</v>
      </c>
      <c r="H2075" s="12"/>
      <c r="I2075" s="12"/>
      <c r="J2075" s="12"/>
      <c r="K2075" s="12"/>
      <c r="L2075" s="12"/>
      <c r="M2075" s="12"/>
      <c r="N2075" s="12"/>
      <c r="O2075" s="12"/>
      <c r="P2075" s="12"/>
      <c r="Q2075" s="12"/>
      <c r="R2075" s="12"/>
      <c r="S2075" s="12"/>
      <c r="T2075" s="12"/>
      <c r="U2075" s="12"/>
      <c r="V2075" s="12"/>
      <c r="W2075" s="12"/>
      <c r="X2075" s="12"/>
      <c r="Y2075" s="12"/>
      <c r="Z2075" s="12"/>
      <c r="AA2075" s="12"/>
    </row>
    <row r="2076" ht="26.25" customHeight="1">
      <c r="A2076" s="26" t="s">
        <v>4162</v>
      </c>
      <c r="B2076" s="26" t="s">
        <v>4163</v>
      </c>
      <c r="C2076" s="14">
        <v>2.0</v>
      </c>
      <c r="D2076" s="23">
        <v>379.0</v>
      </c>
      <c r="E2076" s="23">
        <v>18.0</v>
      </c>
      <c r="F2076" s="27" t="str">
        <f t="array" ref="F2076">"https://www.google.com/maps/search/?api=1&amp;query=" &amp; A2076 &amp; "," &amp; B2076</f>
        <v>https://www.google.com/maps/search/?api=1&amp;query=-30.9082285329752,-55.54059806203280</v>
      </c>
      <c r="G2076" s="27" t="str">
        <f t="array" ref="G2076">"https://earth.google.com/web/search/" &amp; A2076 &amp; "," &amp; B2076</f>
        <v>https://earth.google.com/web/search/-30.9082285329752,-55.54059806203280</v>
      </c>
      <c r="H2076" s="12"/>
      <c r="I2076" s="12"/>
      <c r="J2076" s="12"/>
      <c r="K2076" s="12"/>
      <c r="L2076" s="12"/>
      <c r="M2076" s="12"/>
      <c r="N2076" s="12"/>
      <c r="O2076" s="12"/>
      <c r="P2076" s="12"/>
      <c r="Q2076" s="12"/>
      <c r="R2076" s="12"/>
      <c r="S2076" s="12"/>
      <c r="T2076" s="12"/>
      <c r="U2076" s="12"/>
      <c r="V2076" s="12"/>
      <c r="W2076" s="12"/>
      <c r="X2076" s="12"/>
      <c r="Y2076" s="12"/>
      <c r="Z2076" s="12"/>
      <c r="AA2076" s="12"/>
    </row>
    <row r="2077" ht="26.25" customHeight="1">
      <c r="A2077" s="26" t="s">
        <v>4164</v>
      </c>
      <c r="B2077" s="26" t="s">
        <v>4165</v>
      </c>
      <c r="C2077" s="14">
        <v>2.0</v>
      </c>
      <c r="D2077" s="23">
        <v>483.0</v>
      </c>
      <c r="E2077" s="23">
        <v>1.0</v>
      </c>
      <c r="F2077" s="27" t="str">
        <f t="array" ref="F2077">"https://www.google.com/maps/search/?api=1&amp;query=" &amp; A2077 &amp; "," &amp; B2077</f>
        <v>https://www.google.com/maps/search/?api=1&amp;query=-0.3090888638908,-55.53979180772970</v>
      </c>
      <c r="G2077" s="27" t="str">
        <f t="array" ref="G2077">"https://earth.google.com/web/search/" &amp; A2077 &amp; "," &amp; B2077</f>
        <v>https://earth.google.com/web/search/-0.3090888638908,-55.53979180772970</v>
      </c>
      <c r="H2077" s="12"/>
      <c r="I2077" s="12"/>
      <c r="J2077" s="12"/>
      <c r="K2077" s="12"/>
      <c r="L2077" s="12"/>
      <c r="M2077" s="12"/>
      <c r="N2077" s="12"/>
      <c r="O2077" s="12"/>
      <c r="P2077" s="12"/>
      <c r="Q2077" s="12"/>
      <c r="R2077" s="12"/>
      <c r="S2077" s="12"/>
      <c r="T2077" s="12"/>
      <c r="U2077" s="12"/>
      <c r="V2077" s="12"/>
      <c r="W2077" s="12"/>
      <c r="X2077" s="12"/>
      <c r="Y2077" s="12"/>
      <c r="Z2077" s="12"/>
      <c r="AA2077" s="12"/>
    </row>
    <row r="2078" ht="26.25" customHeight="1">
      <c r="A2078" s="26" t="s">
        <v>4166</v>
      </c>
      <c r="B2078" s="26" t="s">
        <v>4167</v>
      </c>
      <c r="C2078" s="14">
        <v>2.0</v>
      </c>
      <c r="D2078" s="23">
        <v>483.0</v>
      </c>
      <c r="E2078" s="23">
        <v>2.0</v>
      </c>
      <c r="F2078" s="27" t="str">
        <f t="array" ref="F2078">"https://www.google.com/maps/search/?api=1&amp;query=" &amp; A2078 &amp; "," &amp; B2078</f>
        <v>https://www.google.com/maps/search/?api=1&amp;query=-3.0908988041840,-55.53984551163420</v>
      </c>
      <c r="G2078" s="27" t="str">
        <f t="array" ref="G2078">"https://earth.google.com/web/search/" &amp; A2078 &amp; "," &amp; B2078</f>
        <v>https://earth.google.com/web/search/-3.0908988041840,-55.53984551163420</v>
      </c>
      <c r="H2078" s="12"/>
      <c r="I2078" s="12"/>
      <c r="J2078" s="12"/>
      <c r="K2078" s="12"/>
      <c r="L2078" s="12"/>
      <c r="M2078" s="12"/>
      <c r="N2078" s="12"/>
      <c r="O2078" s="12"/>
      <c r="P2078" s="12"/>
      <c r="Q2078" s="12"/>
      <c r="R2078" s="12"/>
      <c r="S2078" s="12"/>
      <c r="T2078" s="12"/>
      <c r="U2078" s="12"/>
      <c r="V2078" s="12"/>
      <c r="W2078" s="12"/>
      <c r="X2078" s="12"/>
      <c r="Y2078" s="12"/>
      <c r="Z2078" s="12"/>
      <c r="AA2078" s="12"/>
    </row>
    <row r="2079" ht="26.25" customHeight="1">
      <c r="A2079" s="26" t="s">
        <v>4168</v>
      </c>
      <c r="B2079" s="26" t="s">
        <v>4169</v>
      </c>
      <c r="C2079" s="14">
        <v>2.0</v>
      </c>
      <c r="D2079" s="23">
        <v>483.0</v>
      </c>
      <c r="E2079" s="23">
        <v>3.0</v>
      </c>
      <c r="F2079" s="27" t="str">
        <f t="array" ref="F2079">"https://www.google.com/maps/search/?api=1&amp;query=" &amp; A2079 &amp; "," &amp; B2079</f>
        <v>https://www.google.com/maps/search/?api=1&amp;query=-30.9092355042708,-5.55400190604567</v>
      </c>
      <c r="G2079" s="27" t="str">
        <f t="array" ref="G2079">"https://earth.google.com/web/search/" &amp; A2079 &amp; "," &amp; B2079</f>
        <v>https://earth.google.com/web/search/-30.9092355042708,-5.55400190604567</v>
      </c>
      <c r="H2079" s="12"/>
      <c r="I2079" s="12"/>
      <c r="J2079" s="12"/>
      <c r="K2079" s="12"/>
      <c r="L2079" s="12"/>
      <c r="M2079" s="12"/>
      <c r="N2079" s="12"/>
      <c r="O2079" s="12"/>
      <c r="P2079" s="12"/>
      <c r="Q2079" s="12"/>
      <c r="R2079" s="12"/>
      <c r="S2079" s="12"/>
      <c r="T2079" s="12"/>
      <c r="U2079" s="12"/>
      <c r="V2079" s="12"/>
      <c r="W2079" s="12"/>
      <c r="X2079" s="12"/>
      <c r="Y2079" s="12"/>
      <c r="Z2079" s="12"/>
      <c r="AA2079" s="12"/>
    </row>
    <row r="2080" ht="26.25" customHeight="1">
      <c r="A2080" s="26" t="s">
        <v>4170</v>
      </c>
      <c r="B2080" s="26" t="s">
        <v>4171</v>
      </c>
      <c r="C2080" s="14">
        <v>2.0</v>
      </c>
      <c r="D2080" s="23">
        <v>483.0</v>
      </c>
      <c r="E2080" s="23">
        <v>4.0</v>
      </c>
      <c r="F2080" s="27" t="str">
        <f t="array" ref="F2080">"https://www.google.com/maps/search/?api=1&amp;query=" &amp; A2080 &amp; "," &amp; B2080</f>
        <v>https://www.google.com/maps/search/?api=1&amp;query=-3.0909289011879,-55.54006630233880</v>
      </c>
      <c r="G2080" s="27" t="str">
        <f t="array" ref="G2080">"https://earth.google.com/web/search/" &amp; A2080 &amp; "," &amp; B2080</f>
        <v>https://earth.google.com/web/search/-3.0909289011879,-55.54006630233880</v>
      </c>
      <c r="H2080" s="12"/>
      <c r="I2080" s="12"/>
      <c r="J2080" s="12"/>
      <c r="K2080" s="12"/>
      <c r="L2080" s="12"/>
      <c r="M2080" s="12"/>
      <c r="N2080" s="12"/>
      <c r="O2080" s="12"/>
      <c r="P2080" s="12"/>
      <c r="Q2080" s="12"/>
      <c r="R2080" s="12"/>
      <c r="S2080" s="12"/>
      <c r="T2080" s="12"/>
      <c r="U2080" s="12"/>
      <c r="V2080" s="12"/>
      <c r="W2080" s="12"/>
      <c r="X2080" s="12"/>
      <c r="Y2080" s="12"/>
      <c r="Z2080" s="12"/>
      <c r="AA2080" s="12"/>
    </row>
    <row r="2081" ht="26.25" customHeight="1">
      <c r="A2081" s="26" t="s">
        <v>4172</v>
      </c>
      <c r="B2081" s="26" t="s">
        <v>4173</v>
      </c>
      <c r="C2081" s="14">
        <v>2.0</v>
      </c>
      <c r="D2081" s="23">
        <v>483.0</v>
      </c>
      <c r="E2081" s="23">
        <v>5.0</v>
      </c>
      <c r="F2081" s="27" t="str">
        <f t="array" ref="F2081">"https://www.google.com/maps/search/?api=1&amp;query=" &amp; A2081 &amp; "," &amp; B2081</f>
        <v>https://www.google.com/maps/search/?api=1&amp;query=-30.9094682690748,-55.54009677066920</v>
      </c>
      <c r="G2081" s="27" t="str">
        <f t="array" ref="G2081">"https://earth.google.com/web/search/" &amp; A2081 &amp; "," &amp; B2081</f>
        <v>https://earth.google.com/web/search/-30.9094682690748,-55.54009677066920</v>
      </c>
      <c r="H2081" s="12"/>
      <c r="I2081" s="12"/>
      <c r="J2081" s="12"/>
      <c r="K2081" s="12"/>
      <c r="L2081" s="12"/>
      <c r="M2081" s="12"/>
      <c r="N2081" s="12"/>
      <c r="O2081" s="12"/>
      <c r="P2081" s="12"/>
      <c r="Q2081" s="12"/>
      <c r="R2081" s="12"/>
      <c r="S2081" s="12"/>
      <c r="T2081" s="12"/>
      <c r="U2081" s="12"/>
      <c r="V2081" s="12"/>
      <c r="W2081" s="12"/>
      <c r="X2081" s="12"/>
      <c r="Y2081" s="12"/>
      <c r="Z2081" s="12"/>
      <c r="AA2081" s="12"/>
    </row>
    <row r="2082" ht="26.25" customHeight="1">
      <c r="A2082" s="26" t="s">
        <v>4174</v>
      </c>
      <c r="B2082" s="26" t="s">
        <v>4175</v>
      </c>
      <c r="C2082" s="14">
        <v>2.0</v>
      </c>
      <c r="D2082" s="23">
        <v>483.0</v>
      </c>
      <c r="E2082" s="23">
        <v>6.0</v>
      </c>
      <c r="F2082" s="27" t="str">
        <f t="array" ref="F2082">"https://www.google.com/maps/search/?api=1&amp;query=" &amp; A2082 &amp; "," &amp; B2082</f>
        <v>https://www.google.com/maps/search/?api=1&amp;query=-30.9095648634876,-55.53993827102740</v>
      </c>
      <c r="G2082" s="27" t="str">
        <f t="array" ref="G2082">"https://earth.google.com/web/search/" &amp; A2082 &amp; "," &amp; B2082</f>
        <v>https://earth.google.com/web/search/-30.9095648634876,-55.53993827102740</v>
      </c>
      <c r="H2082" s="12"/>
      <c r="I2082" s="12"/>
      <c r="J2082" s="12"/>
      <c r="K2082" s="12"/>
      <c r="L2082" s="12"/>
      <c r="M2082" s="12"/>
      <c r="N2082" s="12"/>
      <c r="O2082" s="12"/>
      <c r="P2082" s="12"/>
      <c r="Q2082" s="12"/>
      <c r="R2082" s="12"/>
      <c r="S2082" s="12"/>
      <c r="T2082" s="12"/>
      <c r="U2082" s="12"/>
      <c r="V2082" s="12"/>
      <c r="W2082" s="12"/>
      <c r="X2082" s="12"/>
      <c r="Y2082" s="12"/>
      <c r="Z2082" s="12"/>
      <c r="AA2082" s="12"/>
    </row>
    <row r="2083" ht="26.25" customHeight="1">
      <c r="A2083" s="26" t="s">
        <v>4176</v>
      </c>
      <c r="B2083" s="26" t="s">
        <v>4177</v>
      </c>
      <c r="C2083" s="14">
        <v>2.0</v>
      </c>
      <c r="D2083" s="23">
        <v>483.0</v>
      </c>
      <c r="E2083" s="23">
        <v>7.0</v>
      </c>
      <c r="F2083" s="27" t="str">
        <f t="array" ref="F2083">"https://www.google.com/maps/search/?api=1&amp;query=" &amp; A2083 &amp; "," &amp; B2083</f>
        <v>https://www.google.com/maps/search/?api=1&amp;query=-30.9095967261062,-5.55398633046298</v>
      </c>
      <c r="G2083" s="27" t="str">
        <f t="array" ref="G2083">"https://earth.google.com/web/search/" &amp; A2083 &amp; "," &amp; B2083</f>
        <v>https://earth.google.com/web/search/-30.9095967261062,-5.55398633046298</v>
      </c>
      <c r="H2083" s="12"/>
      <c r="I2083" s="12"/>
      <c r="J2083" s="12"/>
      <c r="K2083" s="12"/>
      <c r="L2083" s="12"/>
      <c r="M2083" s="12"/>
      <c r="N2083" s="12"/>
      <c r="O2083" s="12"/>
      <c r="P2083" s="12"/>
      <c r="Q2083" s="12"/>
      <c r="R2083" s="12"/>
      <c r="S2083" s="12"/>
      <c r="T2083" s="12"/>
      <c r="U2083" s="12"/>
      <c r="V2083" s="12"/>
      <c r="W2083" s="12"/>
      <c r="X2083" s="12"/>
      <c r="Y2083" s="12"/>
      <c r="Z2083" s="12"/>
      <c r="AA2083" s="12"/>
    </row>
    <row r="2084" ht="26.25" customHeight="1">
      <c r="A2084" s="26" t="s">
        <v>4178</v>
      </c>
      <c r="B2084" s="26" t="s">
        <v>4179</v>
      </c>
      <c r="C2084" s="14">
        <v>2.0</v>
      </c>
      <c r="D2084" s="23">
        <v>483.0</v>
      </c>
      <c r="E2084" s="23">
        <v>8.0</v>
      </c>
      <c r="F2084" s="27" t="str">
        <f t="array" ref="F2084">"https://www.google.com/maps/search/?api=1&amp;query=" &amp; A2084 &amp; "," &amp; B2084</f>
        <v>https://www.google.com/maps/search/?api=1&amp;query=-30.9096762484043,-55.53973419886770</v>
      </c>
      <c r="G2084" s="27" t="str">
        <f t="array" ref="G2084">"https://earth.google.com/web/search/" &amp; A2084 &amp; "," &amp; B2084</f>
        <v>https://earth.google.com/web/search/-30.9096762484043,-55.53973419886770</v>
      </c>
      <c r="H2084" s="12"/>
      <c r="I2084" s="12"/>
      <c r="J2084" s="12"/>
      <c r="K2084" s="12"/>
      <c r="L2084" s="12"/>
      <c r="M2084" s="12"/>
      <c r="N2084" s="12"/>
      <c r="O2084" s="12"/>
      <c r="P2084" s="12"/>
      <c r="Q2084" s="12"/>
      <c r="R2084" s="12"/>
      <c r="S2084" s="12"/>
      <c r="T2084" s="12"/>
      <c r="U2084" s="12"/>
      <c r="V2084" s="12"/>
      <c r="W2084" s="12"/>
      <c r="X2084" s="12"/>
      <c r="Y2084" s="12"/>
      <c r="Z2084" s="12"/>
      <c r="AA2084" s="12"/>
    </row>
    <row r="2085" ht="26.25" customHeight="1">
      <c r="A2085" s="26" t="s">
        <v>4180</v>
      </c>
      <c r="B2085" s="26" t="s">
        <v>4181</v>
      </c>
      <c r="C2085" s="14">
        <v>2.0</v>
      </c>
      <c r="D2085" s="23">
        <v>483.0</v>
      </c>
      <c r="E2085" s="23">
        <v>9.0</v>
      </c>
      <c r="F2085" s="27" t="str">
        <f t="array" ref="F2085">"https://www.google.com/maps/search/?api=1&amp;query=" &amp; A2085 &amp; "," &amp; B2085</f>
        <v>https://www.google.com/maps/search/?api=1&amp;query=-30.9097336079061,-5.55396176460263</v>
      </c>
      <c r="G2085" s="27" t="str">
        <f t="array" ref="G2085">"https://earth.google.com/web/search/" &amp; A2085 &amp; "," &amp; B2085</f>
        <v>https://earth.google.com/web/search/-30.9097336079061,-5.55396176460263</v>
      </c>
      <c r="H2085" s="12"/>
      <c r="I2085" s="12"/>
      <c r="J2085" s="12"/>
      <c r="K2085" s="12"/>
      <c r="L2085" s="12"/>
      <c r="M2085" s="12"/>
      <c r="N2085" s="12"/>
      <c r="O2085" s="12"/>
      <c r="P2085" s="12"/>
      <c r="Q2085" s="12"/>
      <c r="R2085" s="12"/>
      <c r="S2085" s="12"/>
      <c r="T2085" s="12"/>
      <c r="U2085" s="12"/>
      <c r="V2085" s="12"/>
      <c r="W2085" s="12"/>
      <c r="X2085" s="12"/>
      <c r="Y2085" s="12"/>
      <c r="Z2085" s="12"/>
      <c r="AA2085" s="12"/>
    </row>
    <row r="2086" ht="26.25" customHeight="1">
      <c r="A2086" s="26" t="s">
        <v>4182</v>
      </c>
      <c r="B2086" s="26" t="s">
        <v>4183</v>
      </c>
      <c r="C2086" s="14">
        <v>2.0</v>
      </c>
      <c r="D2086" s="23">
        <v>483.0</v>
      </c>
      <c r="E2086" s="23">
        <v>10.0</v>
      </c>
      <c r="F2086" s="27" t="str">
        <f t="array" ref="F2086">"https://www.google.com/maps/search/?api=1&amp;query=" &amp; A2086 &amp; "," &amp; B2086</f>
        <v>https://www.google.com/maps/search/?api=1&amp;query=-30.9097874667794,-55.53954435848040</v>
      </c>
      <c r="G2086" s="27" t="str">
        <f t="array" ref="G2086">"https://earth.google.com/web/search/" &amp; A2086 &amp; "," &amp; B2086</f>
        <v>https://earth.google.com/web/search/-30.9097874667794,-55.53954435848040</v>
      </c>
      <c r="H2086" s="12"/>
      <c r="I2086" s="12"/>
      <c r="J2086" s="12"/>
      <c r="K2086" s="12"/>
      <c r="L2086" s="12"/>
      <c r="M2086" s="12"/>
      <c r="N2086" s="12"/>
      <c r="O2086" s="12"/>
      <c r="P2086" s="12"/>
      <c r="Q2086" s="12"/>
      <c r="R2086" s="12"/>
      <c r="S2086" s="12"/>
      <c r="T2086" s="12"/>
      <c r="U2086" s="12"/>
      <c r="V2086" s="12"/>
      <c r="W2086" s="12"/>
      <c r="X2086" s="12"/>
      <c r="Y2086" s="12"/>
      <c r="Z2086" s="12"/>
      <c r="AA2086" s="12"/>
    </row>
    <row r="2087" ht="26.25" customHeight="1">
      <c r="A2087" s="26" t="s">
        <v>4184</v>
      </c>
      <c r="B2087" s="26" t="s">
        <v>4185</v>
      </c>
      <c r="C2087" s="14">
        <v>2.0</v>
      </c>
      <c r="D2087" s="23">
        <v>483.0</v>
      </c>
      <c r="E2087" s="23">
        <v>11.0</v>
      </c>
      <c r="F2087" s="27" t="str">
        <f t="array" ref="F2087">"https://www.google.com/maps/search/?api=1&amp;query=" &amp; A2087 &amp; "," &amp; B2087</f>
        <v>https://www.google.com/maps/search/?api=1&amp;query=-30.9097374980105,-55.53944039702390</v>
      </c>
      <c r="G2087" s="27" t="str">
        <f t="array" ref="G2087">"https://earth.google.com/web/search/" &amp; A2087 &amp; "," &amp; B2087</f>
        <v>https://earth.google.com/web/search/-30.9097374980105,-55.53944039702390</v>
      </c>
      <c r="H2087" s="12"/>
      <c r="I2087" s="12"/>
      <c r="J2087" s="12"/>
      <c r="K2087" s="12"/>
      <c r="L2087" s="12"/>
      <c r="M2087" s="12"/>
      <c r="N2087" s="12"/>
      <c r="O2087" s="12"/>
      <c r="P2087" s="12"/>
      <c r="Q2087" s="12"/>
      <c r="R2087" s="12"/>
      <c r="S2087" s="12"/>
      <c r="T2087" s="12"/>
      <c r="U2087" s="12"/>
      <c r="V2087" s="12"/>
      <c r="W2087" s="12"/>
      <c r="X2087" s="12"/>
      <c r="Y2087" s="12"/>
      <c r="Z2087" s="12"/>
      <c r="AA2087" s="12"/>
    </row>
    <row r="2088" ht="26.25" customHeight="1">
      <c r="A2088" s="26" t="s">
        <v>4186</v>
      </c>
      <c r="B2088" s="26" t="s">
        <v>4187</v>
      </c>
      <c r="C2088" s="14">
        <v>2.0</v>
      </c>
      <c r="D2088" s="23">
        <v>483.0</v>
      </c>
      <c r="E2088" s="23">
        <v>12.0</v>
      </c>
      <c r="F2088" s="27" t="str">
        <f t="array" ref="F2088">"https://www.google.com/maps/search/?api=1&amp;query=" &amp; A2088 &amp; "," &amp; B2088</f>
        <v>https://www.google.com/maps/search/?api=1&amp;query=-30.9090271744738,-55.53913350839960</v>
      </c>
      <c r="G2088" s="27" t="str">
        <f t="array" ref="G2088">"https://earth.google.com/web/search/" &amp; A2088 &amp; "," &amp; B2088</f>
        <v>https://earth.google.com/web/search/-30.9090271744738,-55.53913350839960</v>
      </c>
      <c r="H2088" s="12"/>
      <c r="I2088" s="12"/>
      <c r="J2088" s="12"/>
      <c r="K2088" s="12"/>
      <c r="L2088" s="12"/>
      <c r="M2088" s="12"/>
      <c r="N2088" s="12"/>
      <c r="O2088" s="12"/>
      <c r="P2088" s="12"/>
      <c r="Q2088" s="12"/>
      <c r="R2088" s="12"/>
      <c r="S2088" s="12"/>
      <c r="T2088" s="12"/>
      <c r="U2088" s="12"/>
      <c r="V2088" s="12"/>
      <c r="W2088" s="12"/>
      <c r="X2088" s="12"/>
      <c r="Y2088" s="12"/>
      <c r="Z2088" s="12"/>
      <c r="AA2088" s="12"/>
    </row>
    <row r="2089" ht="26.25" customHeight="1">
      <c r="A2089" s="26" t="s">
        <v>4188</v>
      </c>
      <c r="B2089" s="26" t="s">
        <v>4189</v>
      </c>
      <c r="C2089" s="14">
        <v>2.0</v>
      </c>
      <c r="D2089" s="23">
        <v>483.0</v>
      </c>
      <c r="E2089" s="23">
        <v>13.0</v>
      </c>
      <c r="F2089" s="27" t="str">
        <f t="array" ref="F2089">"https://www.google.com/maps/search/?api=1&amp;query=" &amp; A2089 &amp; "," &amp; B2089</f>
        <v>https://www.google.com/maps/search/?api=1&amp;query=-30.9089757788440,-55.53921872161230</v>
      </c>
      <c r="G2089" s="27" t="str">
        <f t="array" ref="G2089">"https://earth.google.com/web/search/" &amp; A2089 &amp; "," &amp; B2089</f>
        <v>https://earth.google.com/web/search/-30.9089757788440,-55.53921872161230</v>
      </c>
      <c r="H2089" s="12"/>
      <c r="I2089" s="12"/>
      <c r="J2089" s="12"/>
      <c r="K2089" s="12"/>
      <c r="L2089" s="12"/>
      <c r="M2089" s="12"/>
      <c r="N2089" s="12"/>
      <c r="O2089" s="12"/>
      <c r="P2089" s="12"/>
      <c r="Q2089" s="12"/>
      <c r="R2089" s="12"/>
      <c r="S2089" s="12"/>
      <c r="T2089" s="12"/>
      <c r="U2089" s="12"/>
      <c r="V2089" s="12"/>
      <c r="W2089" s="12"/>
      <c r="X2089" s="12"/>
      <c r="Y2089" s="12"/>
      <c r="Z2089" s="12"/>
      <c r="AA2089" s="12"/>
    </row>
    <row r="2090" ht="26.25" customHeight="1">
      <c r="A2090" s="26" t="s">
        <v>4190</v>
      </c>
      <c r="B2090" s="26" t="s">
        <v>4191</v>
      </c>
      <c r="C2090" s="14">
        <v>2.0</v>
      </c>
      <c r="D2090" s="23">
        <v>483.0</v>
      </c>
      <c r="E2090" s="23">
        <v>14.0</v>
      </c>
      <c r="F2090" s="27" t="str">
        <f t="array" ref="F2090">"https://www.google.com/maps/search/?api=1&amp;query=" &amp; A2090 &amp; "," &amp; B2090</f>
        <v>https://www.google.com/maps/search/?api=1&amp;query=-30.9087970057611,-55.53950609963800</v>
      </c>
      <c r="G2090" s="27" t="str">
        <f t="array" ref="G2090">"https://earth.google.com/web/search/" &amp; A2090 &amp; "," &amp; B2090</f>
        <v>https://earth.google.com/web/search/-30.9087970057611,-55.53950609963800</v>
      </c>
      <c r="H2090" s="12"/>
      <c r="I2090" s="12"/>
      <c r="J2090" s="12"/>
      <c r="K2090" s="12"/>
      <c r="L2090" s="12"/>
      <c r="M2090" s="12"/>
      <c r="N2090" s="12"/>
      <c r="O2090" s="12"/>
      <c r="P2090" s="12"/>
      <c r="Q2090" s="12"/>
      <c r="R2090" s="12"/>
      <c r="S2090" s="12"/>
      <c r="T2090" s="12"/>
      <c r="U2090" s="12"/>
      <c r="V2090" s="12"/>
      <c r="W2090" s="12"/>
      <c r="X2090" s="12"/>
      <c r="Y2090" s="12"/>
      <c r="Z2090" s="12"/>
      <c r="AA2090" s="12"/>
    </row>
    <row r="2091" ht="26.25" customHeight="1">
      <c r="A2091" s="26" t="s">
        <v>4192</v>
      </c>
      <c r="B2091" s="26" t="s">
        <v>4193</v>
      </c>
      <c r="C2091" s="14">
        <v>2.0</v>
      </c>
      <c r="D2091" s="23">
        <v>484.0</v>
      </c>
      <c r="E2091" s="23">
        <v>1.0</v>
      </c>
      <c r="F2091" s="27" t="str">
        <f t="array" ref="F2091">"https://www.google.com/maps/search/?api=1&amp;query=" &amp; A2091 &amp; "," &amp; B2091</f>
        <v>https://www.google.com/maps/search/?api=1&amp;query=-30.9093232199008,-55.53903158226020</v>
      </c>
      <c r="G2091" s="27" t="str">
        <f t="array" ref="G2091">"https://earth.google.com/web/search/" &amp; A2091 &amp; "," &amp; B2091</f>
        <v>https://earth.google.com/web/search/-30.9093232199008,-55.53903158226020</v>
      </c>
      <c r="H2091" s="12"/>
      <c r="I2091" s="12"/>
      <c r="J2091" s="12"/>
      <c r="K2091" s="12"/>
      <c r="L2091" s="12"/>
      <c r="M2091" s="12"/>
      <c r="N2091" s="12"/>
      <c r="O2091" s="12"/>
      <c r="P2091" s="12"/>
      <c r="Q2091" s="12"/>
      <c r="R2091" s="12"/>
      <c r="S2091" s="12"/>
      <c r="T2091" s="12"/>
      <c r="U2091" s="12"/>
      <c r="V2091" s="12"/>
      <c r="W2091" s="12"/>
      <c r="X2091" s="12"/>
      <c r="Y2091" s="12"/>
      <c r="Z2091" s="12"/>
      <c r="AA2091" s="12"/>
    </row>
    <row r="2092" ht="26.25" customHeight="1">
      <c r="A2092" s="26" t="s">
        <v>4194</v>
      </c>
      <c r="B2092" s="26" t="s">
        <v>4195</v>
      </c>
      <c r="C2092" s="14">
        <v>2.0</v>
      </c>
      <c r="D2092" s="23">
        <v>484.0</v>
      </c>
      <c r="E2092" s="23">
        <v>2.0</v>
      </c>
      <c r="F2092" s="27" t="str">
        <f t="array" ref="F2092">"https://www.google.com/maps/search/?api=1&amp;query=" &amp; A2092 &amp; "," &amp; B2092</f>
        <v>https://www.google.com/maps/search/?api=1&amp;query=-30.9094532154381,-55.53912719050320</v>
      </c>
      <c r="G2092" s="27" t="str">
        <f t="array" ref="G2092">"https://earth.google.com/web/search/" &amp; A2092 &amp; "," &amp; B2092</f>
        <v>https://earth.google.com/web/search/-30.9094532154381,-55.53912719050320</v>
      </c>
      <c r="H2092" s="12"/>
      <c r="I2092" s="12"/>
      <c r="J2092" s="12"/>
      <c r="K2092" s="12"/>
      <c r="L2092" s="12"/>
      <c r="M2092" s="12"/>
      <c r="N2092" s="12"/>
      <c r="O2092" s="12"/>
      <c r="P2092" s="12"/>
      <c r="Q2092" s="12"/>
      <c r="R2092" s="12"/>
      <c r="S2092" s="12"/>
      <c r="T2092" s="12"/>
      <c r="U2092" s="12"/>
      <c r="V2092" s="12"/>
      <c r="W2092" s="12"/>
      <c r="X2092" s="12"/>
      <c r="Y2092" s="12"/>
      <c r="Z2092" s="12"/>
      <c r="AA2092" s="12"/>
    </row>
    <row r="2093" ht="26.25" customHeight="1">
      <c r="A2093" s="26" t="s">
        <v>4196</v>
      </c>
      <c r="B2093" s="26" t="s">
        <v>4197</v>
      </c>
      <c r="C2093" s="14">
        <v>2.0</v>
      </c>
      <c r="D2093" s="23">
        <v>484.0</v>
      </c>
      <c r="E2093" s="23">
        <v>3.0</v>
      </c>
      <c r="F2093" s="27" t="str">
        <f t="array" ref="F2093">"https://www.google.com/maps/search/?api=1&amp;query=" &amp; A2093 &amp; "," &amp; B2093</f>
        <v>https://www.google.com/maps/search/?api=1&amp;query=-3.0909937370191,-55.53928063131780</v>
      </c>
      <c r="G2093" s="27" t="str">
        <f t="array" ref="G2093">"https://earth.google.com/web/search/" &amp; A2093 &amp; "," &amp; B2093</f>
        <v>https://earth.google.com/web/search/-3.0909937370191,-55.53928063131780</v>
      </c>
      <c r="H2093" s="12"/>
      <c r="I2093" s="12"/>
      <c r="J2093" s="12"/>
      <c r="K2093" s="12"/>
      <c r="L2093" s="12"/>
      <c r="M2093" s="12"/>
      <c r="N2093" s="12"/>
      <c r="O2093" s="12"/>
      <c r="P2093" s="12"/>
      <c r="Q2093" s="12"/>
      <c r="R2093" s="12"/>
      <c r="S2093" s="12"/>
      <c r="T2093" s="12"/>
      <c r="U2093" s="12"/>
      <c r="V2093" s="12"/>
      <c r="W2093" s="12"/>
      <c r="X2093" s="12"/>
      <c r="Y2093" s="12"/>
      <c r="Z2093" s="12"/>
      <c r="AA2093" s="12"/>
    </row>
    <row r="2094" ht="26.25" customHeight="1">
      <c r="A2094" s="26" t="s">
        <v>4198</v>
      </c>
      <c r="B2094" s="26" t="s">
        <v>4199</v>
      </c>
      <c r="C2094" s="14">
        <v>2.0</v>
      </c>
      <c r="D2094" s="23">
        <v>484.0</v>
      </c>
      <c r="E2094" s="23">
        <v>4.0</v>
      </c>
      <c r="F2094" s="27" t="str">
        <f t="array" ref="F2094">"https://www.google.com/maps/search/?api=1&amp;query=" &amp; A2094 &amp; "," &amp; B2094</f>
        <v>https://www.google.com/maps/search/?api=1&amp;query=-30.9099604031628,-55.53922728476030</v>
      </c>
      <c r="G2094" s="27" t="str">
        <f t="array" ref="G2094">"https://earth.google.com/web/search/" &amp; A2094 &amp; "," &amp; B2094</f>
        <v>https://earth.google.com/web/search/-30.9099604031628,-55.53922728476030</v>
      </c>
      <c r="H2094" s="12"/>
      <c r="I2094" s="12"/>
      <c r="J2094" s="12"/>
      <c r="K2094" s="12"/>
      <c r="L2094" s="12"/>
      <c r="M2094" s="12"/>
      <c r="N2094" s="12"/>
      <c r="O2094" s="12"/>
      <c r="P2094" s="12"/>
      <c r="Q2094" s="12"/>
      <c r="R2094" s="12"/>
      <c r="S2094" s="12"/>
      <c r="T2094" s="12"/>
      <c r="U2094" s="12"/>
      <c r="V2094" s="12"/>
      <c r="W2094" s="12"/>
      <c r="X2094" s="12"/>
      <c r="Y2094" s="12"/>
      <c r="Z2094" s="12"/>
      <c r="AA2094" s="12"/>
    </row>
    <row r="2095" ht="26.25" customHeight="1">
      <c r="A2095" s="26" t="s">
        <v>4200</v>
      </c>
      <c r="B2095" s="26" t="s">
        <v>4201</v>
      </c>
      <c r="C2095" s="14">
        <v>2.0</v>
      </c>
      <c r="D2095" s="23">
        <v>484.0</v>
      </c>
      <c r="E2095" s="23">
        <v>5.0</v>
      </c>
      <c r="F2095" s="27" t="str">
        <f t="array" ref="F2095">"https://www.google.com/maps/search/?api=1&amp;query=" &amp; A2095 &amp; "," &amp; B2095</f>
        <v>https://www.google.com/maps/search/?api=1&amp;query=-30.9100339385082,-55.53905735973380</v>
      </c>
      <c r="G2095" s="27" t="str">
        <f t="array" ref="G2095">"https://earth.google.com/web/search/" &amp; A2095 &amp; "," &amp; B2095</f>
        <v>https://earth.google.com/web/search/-30.9100339385082,-55.53905735973380</v>
      </c>
      <c r="H2095" s="12"/>
      <c r="I2095" s="12"/>
      <c r="J2095" s="12"/>
      <c r="K2095" s="12"/>
      <c r="L2095" s="12"/>
      <c r="M2095" s="12"/>
      <c r="N2095" s="12"/>
      <c r="O2095" s="12"/>
      <c r="P2095" s="12"/>
      <c r="Q2095" s="12"/>
      <c r="R2095" s="12"/>
      <c r="S2095" s="12"/>
      <c r="T2095" s="12"/>
      <c r="U2095" s="12"/>
      <c r="V2095" s="12"/>
      <c r="W2095" s="12"/>
      <c r="X2095" s="12"/>
      <c r="Y2095" s="12"/>
      <c r="Z2095" s="12"/>
      <c r="AA2095" s="12"/>
    </row>
    <row r="2096" ht="26.25" customHeight="1">
      <c r="A2096" s="26" t="s">
        <v>4202</v>
      </c>
      <c r="B2096" s="26" t="s">
        <v>4203</v>
      </c>
      <c r="C2096" s="14">
        <v>2.0</v>
      </c>
      <c r="D2096" s="23">
        <v>484.0</v>
      </c>
      <c r="E2096" s="23">
        <v>6.0</v>
      </c>
      <c r="F2096" s="27" t="str">
        <f t="array" ref="F2096">"https://www.google.com/maps/search/?api=1&amp;query=" &amp; A2096 &amp; "," &amp; B2096</f>
        <v>https://www.google.com/maps/search/?api=1&amp;query=-30.9099990531582,-55.53860521178850</v>
      </c>
      <c r="G2096" s="27" t="str">
        <f t="array" ref="G2096">"https://earth.google.com/web/search/" &amp; A2096 &amp; "," &amp; B2096</f>
        <v>https://earth.google.com/web/search/-30.9099990531582,-55.53860521178850</v>
      </c>
      <c r="H2096" s="12"/>
      <c r="I2096" s="12"/>
      <c r="J2096" s="12"/>
      <c r="K2096" s="12"/>
      <c r="L2096" s="12"/>
      <c r="M2096" s="12"/>
      <c r="N2096" s="12"/>
      <c r="O2096" s="12"/>
      <c r="P2096" s="12"/>
      <c r="Q2096" s="12"/>
      <c r="R2096" s="12"/>
      <c r="S2096" s="12"/>
      <c r="T2096" s="12"/>
      <c r="U2096" s="12"/>
      <c r="V2096" s="12"/>
      <c r="W2096" s="12"/>
      <c r="X2096" s="12"/>
      <c r="Y2096" s="12"/>
      <c r="Z2096" s="12"/>
      <c r="AA2096" s="12"/>
    </row>
    <row r="2097" ht="26.25" customHeight="1">
      <c r="A2097" s="26" t="s">
        <v>4204</v>
      </c>
      <c r="B2097" s="26" t="s">
        <v>4205</v>
      </c>
      <c r="C2097" s="14">
        <v>2.0</v>
      </c>
      <c r="D2097" s="23">
        <v>484.0</v>
      </c>
      <c r="E2097" s="23">
        <v>7.0</v>
      </c>
      <c r="F2097" s="27" t="str">
        <f t="array" ref="F2097">"https://www.google.com/maps/search/?api=1&amp;query=" &amp; A2097 &amp; "," &amp; B2097</f>
        <v>https://www.google.com/maps/search/?api=1&amp;query=-30.9098551816754,-55.53851377489250</v>
      </c>
      <c r="G2097" s="27" t="str">
        <f t="array" ref="G2097">"https://earth.google.com/web/search/" &amp; A2097 &amp; "," &amp; B2097</f>
        <v>https://earth.google.com/web/search/-30.9098551816754,-55.53851377489250</v>
      </c>
      <c r="H2097" s="12"/>
      <c r="I2097" s="12"/>
      <c r="J2097" s="12"/>
      <c r="K2097" s="12"/>
      <c r="L2097" s="12"/>
      <c r="M2097" s="12"/>
      <c r="N2097" s="12"/>
      <c r="O2097" s="12"/>
      <c r="P2097" s="12"/>
      <c r="Q2097" s="12"/>
      <c r="R2097" s="12"/>
      <c r="S2097" s="12"/>
      <c r="T2097" s="12"/>
      <c r="U2097" s="12"/>
      <c r="V2097" s="12"/>
      <c r="W2097" s="12"/>
      <c r="X2097" s="12"/>
      <c r="Y2097" s="12"/>
      <c r="Z2097" s="12"/>
      <c r="AA2097" s="12"/>
    </row>
    <row r="2098" ht="26.25" customHeight="1">
      <c r="A2098" s="26" t="s">
        <v>4206</v>
      </c>
      <c r="B2098" s="26" t="s">
        <v>4207</v>
      </c>
      <c r="C2098" s="14">
        <v>2.0</v>
      </c>
      <c r="D2098" s="23">
        <v>484.0</v>
      </c>
      <c r="E2098" s="23">
        <v>8.0</v>
      </c>
      <c r="F2098" s="27" t="str">
        <f t="array" ref="F2098">"https://www.google.com/maps/search/?api=1&amp;query=" &amp; A2098 &amp; "," &amp; B2098</f>
        <v>https://www.google.com/maps/search/?api=1&amp;query=-30.9097997823089,-55.53846817027760</v>
      </c>
      <c r="G2098" s="27" t="str">
        <f t="array" ref="G2098">"https://earth.google.com/web/search/" &amp; A2098 &amp; "," &amp; B2098</f>
        <v>https://earth.google.com/web/search/-30.9097997823089,-55.53846817027760</v>
      </c>
      <c r="H2098" s="12"/>
      <c r="I2098" s="12"/>
      <c r="J2098" s="12"/>
      <c r="K2098" s="12"/>
      <c r="L2098" s="12"/>
      <c r="M2098" s="12"/>
      <c r="N2098" s="12"/>
      <c r="O2098" s="12"/>
      <c r="P2098" s="12"/>
      <c r="Q2098" s="12"/>
      <c r="R2098" s="12"/>
      <c r="S2098" s="12"/>
      <c r="T2098" s="12"/>
      <c r="U2098" s="12"/>
      <c r="V2098" s="12"/>
      <c r="W2098" s="12"/>
      <c r="X2098" s="12"/>
      <c r="Y2098" s="12"/>
      <c r="Z2098" s="12"/>
      <c r="AA2098" s="12"/>
    </row>
    <row r="2099" ht="26.25" customHeight="1">
      <c r="A2099" s="26" t="s">
        <v>4208</v>
      </c>
      <c r="B2099" s="26" t="s">
        <v>4209</v>
      </c>
      <c r="C2099" s="14">
        <v>2.0</v>
      </c>
      <c r="D2099" s="23">
        <v>484.0</v>
      </c>
      <c r="E2099" s="23">
        <v>9.0</v>
      </c>
      <c r="F2099" s="27" t="str">
        <f t="array" ref="F2099">"https://www.google.com/maps/search/?api=1&amp;query=" &amp; A2099 &amp; "," &amp; B2099</f>
        <v>https://www.google.com/maps/search/?api=1&amp;query=-30.9097432909301,-55.53841890035500</v>
      </c>
      <c r="G2099" s="27" t="str">
        <f t="array" ref="G2099">"https://earth.google.com/web/search/" &amp; A2099 &amp; "," &amp; B2099</f>
        <v>https://earth.google.com/web/search/-30.9097432909301,-55.53841890035500</v>
      </c>
      <c r="H2099" s="12"/>
      <c r="I2099" s="12"/>
      <c r="J2099" s="12"/>
      <c r="K2099" s="12"/>
      <c r="L2099" s="12"/>
      <c r="M2099" s="12"/>
      <c r="N2099" s="12"/>
      <c r="O2099" s="12"/>
      <c r="P2099" s="12"/>
      <c r="Q2099" s="12"/>
      <c r="R2099" s="12"/>
      <c r="S2099" s="12"/>
      <c r="T2099" s="12"/>
      <c r="U2099" s="12"/>
      <c r="V2099" s="12"/>
      <c r="W2099" s="12"/>
      <c r="X2099" s="12"/>
      <c r="Y2099" s="12"/>
      <c r="Z2099" s="12"/>
      <c r="AA2099" s="12"/>
    </row>
    <row r="2100" ht="26.25" customHeight="1">
      <c r="A2100" s="26" t="s">
        <v>4210</v>
      </c>
      <c r="B2100" s="26" t="s">
        <v>4211</v>
      </c>
      <c r="C2100" s="14">
        <v>2.0</v>
      </c>
      <c r="D2100" s="23">
        <v>484.0</v>
      </c>
      <c r="E2100" s="23">
        <v>10.0</v>
      </c>
      <c r="F2100" s="27" t="str">
        <f t="array" ref="F2100">"https://www.google.com/maps/search/?api=1&amp;query=" &amp; A2100 &amp; "," &amp; B2100</f>
        <v>https://www.google.com/maps/search/?api=1&amp;query=-30.9096405882432,-5.55383508281683</v>
      </c>
      <c r="G2100" s="27" t="str">
        <f t="array" ref="G2100">"https://earth.google.com/web/search/" &amp; A2100 &amp; "," &amp; B2100</f>
        <v>https://earth.google.com/web/search/-30.9096405882432,-5.55383508281683</v>
      </c>
      <c r="H2100" s="12"/>
      <c r="I2100" s="12"/>
      <c r="J2100" s="12"/>
      <c r="K2100" s="12"/>
      <c r="L2100" s="12"/>
      <c r="M2100" s="12"/>
      <c r="N2100" s="12"/>
      <c r="O2100" s="12"/>
      <c r="P2100" s="12"/>
      <c r="Q2100" s="12"/>
      <c r="R2100" s="12"/>
      <c r="S2100" s="12"/>
      <c r="T2100" s="12"/>
      <c r="U2100" s="12"/>
      <c r="V2100" s="12"/>
      <c r="W2100" s="12"/>
      <c r="X2100" s="12"/>
      <c r="Y2100" s="12"/>
      <c r="Z2100" s="12"/>
      <c r="AA2100" s="12"/>
    </row>
    <row r="2101" ht="26.25" customHeight="1">
      <c r="A2101" s="26" t="s">
        <v>4212</v>
      </c>
      <c r="B2101" s="26" t="s">
        <v>4213</v>
      </c>
      <c r="C2101" s="14">
        <v>2.0</v>
      </c>
      <c r="D2101" s="23">
        <v>477.0</v>
      </c>
      <c r="E2101" s="23">
        <v>1.0</v>
      </c>
      <c r="F2101" s="27" t="str">
        <f t="array" ref="F2101">"https://www.google.com/maps/search/?api=1&amp;query=" &amp; A2101 &amp; "," &amp; B2101</f>
        <v>https://www.google.com/maps/search/?api=1&amp;query=-30.9102667847657,-55.53722187596650</v>
      </c>
      <c r="G2101" s="27" t="str">
        <f t="array" ref="G2101">"https://earth.google.com/web/search/" &amp; A2101 &amp; "," &amp; B2101</f>
        <v>https://earth.google.com/web/search/-30.9102667847657,-55.53722187596650</v>
      </c>
      <c r="H2101" s="12"/>
      <c r="I2101" s="12"/>
      <c r="J2101" s="12"/>
      <c r="K2101" s="12"/>
      <c r="L2101" s="12"/>
      <c r="M2101" s="12"/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/>
    </row>
    <row r="2102" ht="26.25" customHeight="1">
      <c r="A2102" s="26" t="s">
        <v>4214</v>
      </c>
      <c r="B2102" s="26" t="s">
        <v>4215</v>
      </c>
      <c r="C2102" s="14">
        <v>2.0</v>
      </c>
      <c r="D2102" s="23">
        <v>477.0</v>
      </c>
      <c r="E2102" s="23">
        <v>2.0</v>
      </c>
      <c r="F2102" s="27" t="str">
        <f t="array" ref="F2102">"https://www.google.com/maps/search/?api=1&amp;query=" &amp; A2102 &amp; "," &amp; B2102</f>
        <v>https://www.google.com/maps/search/?api=1&amp;query=-30.9109209827071,-55.53740645309880</v>
      </c>
      <c r="G2102" s="27" t="str">
        <f t="array" ref="G2102">"https://earth.google.com/web/search/" &amp; A2102 &amp; "," &amp; B2102</f>
        <v>https://earth.google.com/web/search/-30.9109209827071,-55.53740645309880</v>
      </c>
      <c r="H2102" s="12"/>
      <c r="I2102" s="12"/>
      <c r="J2102" s="12"/>
      <c r="K2102" s="12"/>
      <c r="L2102" s="12"/>
      <c r="M2102" s="12"/>
      <c r="N2102" s="12"/>
      <c r="O2102" s="12"/>
      <c r="P2102" s="12"/>
      <c r="Q2102" s="12"/>
      <c r="R2102" s="12"/>
      <c r="S2102" s="12"/>
      <c r="T2102" s="12"/>
      <c r="U2102" s="12"/>
      <c r="V2102" s="12"/>
      <c r="W2102" s="12"/>
      <c r="X2102" s="12"/>
      <c r="Y2102" s="12"/>
      <c r="Z2102" s="12"/>
      <c r="AA2102" s="12"/>
    </row>
    <row r="2103" ht="26.25" customHeight="1">
      <c r="A2103" s="26" t="s">
        <v>4216</v>
      </c>
      <c r="B2103" s="26" t="s">
        <v>4217</v>
      </c>
      <c r="C2103" s="14">
        <v>2.0</v>
      </c>
      <c r="D2103" s="23">
        <v>477.0</v>
      </c>
      <c r="E2103" s="23">
        <v>3.0</v>
      </c>
      <c r="F2103" s="27" t="str">
        <f t="array" ref="F2103">"https://www.google.com/maps/search/?api=1&amp;query=" &amp; A2103 &amp; "," &amp; B2103</f>
        <v>https://www.google.com/maps/search/?api=1&amp;query=-30.9104331846793,-55.53685825912650</v>
      </c>
      <c r="G2103" s="27" t="str">
        <f t="array" ref="G2103">"https://earth.google.com/web/search/" &amp; A2103 &amp; "," &amp; B2103</f>
        <v>https://earth.google.com/web/search/-30.9104331846793,-55.53685825912650</v>
      </c>
      <c r="H2103" s="12"/>
      <c r="I2103" s="12"/>
      <c r="J2103" s="12"/>
      <c r="K2103" s="12"/>
      <c r="L2103" s="12"/>
      <c r="M2103" s="12"/>
      <c r="N2103" s="12"/>
      <c r="O2103" s="12"/>
      <c r="P2103" s="12"/>
      <c r="Q2103" s="12"/>
      <c r="R2103" s="12"/>
      <c r="S2103" s="12"/>
      <c r="T2103" s="12"/>
      <c r="U2103" s="12"/>
      <c r="V2103" s="12"/>
      <c r="W2103" s="12"/>
      <c r="X2103" s="12"/>
      <c r="Y2103" s="12"/>
      <c r="Z2103" s="12"/>
      <c r="AA2103" s="12"/>
    </row>
    <row r="2104" ht="26.25" customHeight="1">
      <c r="A2104" s="26" t="s">
        <v>4218</v>
      </c>
      <c r="B2104" s="26" t="s">
        <v>4219</v>
      </c>
      <c r="C2104" s="14">
        <v>2.0</v>
      </c>
      <c r="D2104" s="23">
        <v>874.0</v>
      </c>
      <c r="E2104" s="23">
        <v>1.0</v>
      </c>
      <c r="F2104" s="27" t="str">
        <f t="array" ref="F2104">"https://www.google.com/maps/search/?api=1&amp;query=" &amp; A2104 &amp; "," &amp; B2104</f>
        <v>https://www.google.com/maps/search/?api=1&amp;query=-3.0910571875546,-55.53683337500310</v>
      </c>
      <c r="G2104" s="27" t="str">
        <f t="array" ref="G2104">"https://earth.google.com/web/search/" &amp; A2104 &amp; "," &amp; B2104</f>
        <v>https://earth.google.com/web/search/-3.0910571875546,-55.53683337500310</v>
      </c>
      <c r="H2104" s="12"/>
      <c r="I2104" s="12"/>
      <c r="J2104" s="12"/>
      <c r="K2104" s="12"/>
      <c r="L2104" s="12"/>
      <c r="M2104" s="12"/>
      <c r="N2104" s="12"/>
      <c r="O2104" s="12"/>
      <c r="P2104" s="12"/>
      <c r="Q2104" s="12"/>
      <c r="R2104" s="12"/>
      <c r="S2104" s="12"/>
      <c r="T2104" s="12"/>
      <c r="U2104" s="12"/>
      <c r="V2104" s="12"/>
      <c r="W2104" s="12"/>
      <c r="X2104" s="12"/>
      <c r="Y2104" s="12"/>
      <c r="Z2104" s="12"/>
      <c r="AA2104" s="12"/>
    </row>
    <row r="2105" ht="26.25" customHeight="1">
      <c r="A2105" s="26" t="s">
        <v>4220</v>
      </c>
      <c r="B2105" s="26" t="s">
        <v>4221</v>
      </c>
      <c r="C2105" s="14">
        <v>2.0</v>
      </c>
      <c r="D2105" s="23">
        <v>874.0</v>
      </c>
      <c r="E2105" s="23">
        <v>2.0</v>
      </c>
      <c r="F2105" s="27" t="str">
        <f t="array" ref="F2105">"https://www.google.com/maps/search/?api=1&amp;query=" &amp; A2105 &amp; "," &amp; B2105</f>
        <v>https://www.google.com/maps/search/?api=1&amp;query=-30.9107777469988,-55.53698150857410</v>
      </c>
      <c r="G2105" s="27" t="str">
        <f t="array" ref="G2105">"https://earth.google.com/web/search/" &amp; A2105 &amp; "," &amp; B2105</f>
        <v>https://earth.google.com/web/search/-30.9107777469988,-55.53698150857410</v>
      </c>
      <c r="H2105" s="12"/>
      <c r="I2105" s="12"/>
      <c r="J2105" s="12"/>
      <c r="K2105" s="12"/>
      <c r="L2105" s="12"/>
      <c r="M2105" s="12"/>
      <c r="N2105" s="12"/>
      <c r="O2105" s="12"/>
      <c r="P2105" s="12"/>
      <c r="Q2105" s="12"/>
      <c r="R2105" s="12"/>
      <c r="S2105" s="12"/>
      <c r="T2105" s="12"/>
      <c r="U2105" s="12"/>
      <c r="V2105" s="12"/>
      <c r="W2105" s="12"/>
      <c r="X2105" s="12"/>
      <c r="Y2105" s="12"/>
      <c r="Z2105" s="12"/>
      <c r="AA2105" s="12"/>
    </row>
    <row r="2106" ht="26.25" customHeight="1">
      <c r="A2106" s="26" t="s">
        <v>4222</v>
      </c>
      <c r="B2106" s="26" t="s">
        <v>4223</v>
      </c>
      <c r="C2106" s="14">
        <v>2.0</v>
      </c>
      <c r="D2106" s="23">
        <v>874.0</v>
      </c>
      <c r="E2106" s="23">
        <v>3.0</v>
      </c>
      <c r="F2106" s="27" t="str">
        <f t="array" ref="F2106">"https://www.google.com/maps/search/?api=1&amp;query=" &amp; A2106 &amp; "," &amp; B2106</f>
        <v>https://www.google.com/maps/search/?api=1&amp;query=-30.9108368370024,-5.55370234149092</v>
      </c>
      <c r="G2106" s="27" t="str">
        <f t="array" ref="G2106">"https://earth.google.com/web/search/" &amp; A2106 &amp; "," &amp; B2106</f>
        <v>https://earth.google.com/web/search/-30.9108368370024,-5.55370234149092</v>
      </c>
      <c r="H2106" s="12"/>
      <c r="I2106" s="12"/>
      <c r="J2106" s="12"/>
      <c r="K2106" s="12"/>
      <c r="L2106" s="12"/>
      <c r="M2106" s="12"/>
      <c r="N2106" s="12"/>
      <c r="O2106" s="12"/>
      <c r="P2106" s="12"/>
      <c r="Q2106" s="12"/>
      <c r="R2106" s="12"/>
      <c r="S2106" s="12"/>
      <c r="T2106" s="12"/>
      <c r="U2106" s="12"/>
      <c r="V2106" s="12"/>
      <c r="W2106" s="12"/>
      <c r="X2106" s="12"/>
      <c r="Y2106" s="12"/>
      <c r="Z2106" s="12"/>
      <c r="AA2106" s="12"/>
    </row>
    <row r="2107" ht="26.25" customHeight="1">
      <c r="A2107" s="26" t="s">
        <v>4224</v>
      </c>
      <c r="B2107" s="26" t="s">
        <v>4225</v>
      </c>
      <c r="C2107" s="14">
        <v>2.0</v>
      </c>
      <c r="D2107" s="23">
        <v>874.0</v>
      </c>
      <c r="E2107" s="23">
        <v>4.0</v>
      </c>
      <c r="F2107" s="27" t="str">
        <f t="array" ref="F2107">"https://www.google.com/maps/search/?api=1&amp;query=" &amp; A2107 &amp; "," &amp; B2107</f>
        <v>https://www.google.com/maps/search/?api=1&amp;query=-30.9110842230891,-55.53707951921300</v>
      </c>
      <c r="G2107" s="27" t="str">
        <f t="array" ref="G2107">"https://earth.google.com/web/search/" &amp; A2107 &amp; "," &amp; B2107</f>
        <v>https://earth.google.com/web/search/-30.9110842230891,-55.53707951921300</v>
      </c>
      <c r="H2107" s="12"/>
      <c r="I2107" s="12"/>
      <c r="J2107" s="12"/>
      <c r="K2107" s="12"/>
      <c r="L2107" s="12"/>
      <c r="M2107" s="12"/>
      <c r="N2107" s="12"/>
      <c r="O2107" s="12"/>
      <c r="P2107" s="12"/>
      <c r="Q2107" s="12"/>
      <c r="R2107" s="12"/>
      <c r="S2107" s="12"/>
      <c r="T2107" s="12"/>
      <c r="U2107" s="12"/>
      <c r="V2107" s="12"/>
      <c r="W2107" s="12"/>
      <c r="X2107" s="12"/>
      <c r="Y2107" s="12"/>
      <c r="Z2107" s="12"/>
      <c r="AA2107" s="12"/>
    </row>
    <row r="2108" ht="26.25" customHeight="1">
      <c r="A2108" s="26" t="s">
        <v>4226</v>
      </c>
      <c r="B2108" s="26" t="s">
        <v>4227</v>
      </c>
      <c r="C2108" s="14">
        <v>2.0</v>
      </c>
      <c r="D2108" s="23">
        <v>874.0</v>
      </c>
      <c r="E2108" s="23">
        <v>5.0</v>
      </c>
      <c r="F2108" s="27" t="str">
        <f t="array" ref="F2108">"https://www.google.com/maps/search/?api=1&amp;query=" &amp; A2108 &amp; "," &amp; B2108</f>
        <v>https://www.google.com/maps/search/?api=1&amp;query=-30.9111450000502,-55.53696005671720</v>
      </c>
      <c r="G2108" s="27" t="str">
        <f t="array" ref="G2108">"https://earth.google.com/web/search/" &amp; A2108 &amp; "," &amp; B2108</f>
        <v>https://earth.google.com/web/search/-30.9111450000502,-55.53696005671720</v>
      </c>
      <c r="H2108" s="12"/>
      <c r="I2108" s="12"/>
      <c r="J2108" s="12"/>
      <c r="K2108" s="12"/>
      <c r="L2108" s="12"/>
      <c r="M2108" s="12"/>
      <c r="N2108" s="12"/>
      <c r="O2108" s="12"/>
      <c r="P2108" s="12"/>
      <c r="Q2108" s="12"/>
      <c r="R2108" s="12"/>
      <c r="S2108" s="12"/>
      <c r="T2108" s="12"/>
      <c r="U2108" s="12"/>
      <c r="V2108" s="12"/>
      <c r="W2108" s="12"/>
      <c r="X2108" s="12"/>
      <c r="Y2108" s="12"/>
      <c r="Z2108" s="12"/>
      <c r="AA2108" s="12"/>
    </row>
    <row r="2109" ht="26.25" customHeight="1">
      <c r="A2109" s="26" t="s">
        <v>4228</v>
      </c>
      <c r="B2109" s="26" t="s">
        <v>4229</v>
      </c>
      <c r="C2109" s="14">
        <v>2.0</v>
      </c>
      <c r="D2109" s="23">
        <v>874.0</v>
      </c>
      <c r="E2109" s="23">
        <v>6.0</v>
      </c>
      <c r="F2109" s="27" t="str">
        <f t="array" ref="F2109">"https://www.google.com/maps/search/?api=1&amp;query=" &amp; A2109 &amp; "," &amp; B2109</f>
        <v>https://www.google.com/maps/search/?api=1&amp;query=-0.3091122282628,-55.53680503016150</v>
      </c>
      <c r="G2109" s="27" t="str">
        <f t="array" ref="G2109">"https://earth.google.com/web/search/" &amp; A2109 &amp; "," &amp; B2109</f>
        <v>https://earth.google.com/web/search/-0.3091122282628,-55.53680503016150</v>
      </c>
      <c r="H2109" s="12"/>
      <c r="I2109" s="12"/>
      <c r="J2109" s="12"/>
      <c r="K2109" s="12"/>
      <c r="L2109" s="12"/>
      <c r="M2109" s="12"/>
      <c r="N2109" s="12"/>
      <c r="O2109" s="12"/>
      <c r="P2109" s="12"/>
      <c r="Q2109" s="12"/>
      <c r="R2109" s="12"/>
      <c r="S2109" s="12"/>
      <c r="T2109" s="12"/>
      <c r="U2109" s="12"/>
      <c r="V2109" s="12"/>
      <c r="W2109" s="12"/>
      <c r="X2109" s="12"/>
      <c r="Y2109" s="12"/>
      <c r="Z2109" s="12"/>
      <c r="AA2109" s="12"/>
    </row>
    <row r="2110" ht="26.25" customHeight="1">
      <c r="A2110" s="26" t="s">
        <v>4230</v>
      </c>
      <c r="B2110" s="26" t="s">
        <v>4231</v>
      </c>
      <c r="C2110" s="14">
        <v>2.0</v>
      </c>
      <c r="D2110" s="23">
        <v>874.0</v>
      </c>
      <c r="E2110" s="23">
        <v>7.0</v>
      </c>
      <c r="F2110" s="27" t="str">
        <f t="array" ref="F2110">"https://www.google.com/maps/search/?api=1&amp;query=" &amp; A2110 &amp; "," &amp; B2110</f>
        <v>https://www.google.com/maps/search/?api=1&amp;query=-30.9112885252499,-55.53670493767250</v>
      </c>
      <c r="G2110" s="27" t="str">
        <f t="array" ref="G2110">"https://earth.google.com/web/search/" &amp; A2110 &amp; "," &amp; B2110</f>
        <v>https://earth.google.com/web/search/-30.9112885252499,-55.53670493767250</v>
      </c>
      <c r="H2110" s="12"/>
      <c r="I2110" s="12"/>
      <c r="J2110" s="12"/>
      <c r="K2110" s="12"/>
      <c r="L2110" s="12"/>
      <c r="M2110" s="12"/>
      <c r="N2110" s="12"/>
      <c r="O2110" s="12"/>
      <c r="P2110" s="12"/>
      <c r="Q2110" s="12"/>
      <c r="R2110" s="12"/>
      <c r="S2110" s="12"/>
      <c r="T2110" s="12"/>
      <c r="U2110" s="12"/>
      <c r="V2110" s="12"/>
      <c r="W2110" s="12"/>
      <c r="X2110" s="12"/>
      <c r="Y2110" s="12"/>
      <c r="Z2110" s="12"/>
      <c r="AA2110" s="12"/>
    </row>
    <row r="2111" ht="26.25" customHeight="1">
      <c r="A2111" s="26" t="s">
        <v>4232</v>
      </c>
      <c r="B2111" s="26" t="s">
        <v>4233</v>
      </c>
      <c r="C2111" s="14">
        <v>2.0</v>
      </c>
      <c r="D2111" s="23">
        <v>874.0</v>
      </c>
      <c r="E2111" s="23">
        <v>8.0</v>
      </c>
      <c r="F2111" s="27" t="str">
        <f t="array" ref="F2111">"https://www.google.com/maps/search/?api=1&amp;query=" &amp; A2111 &amp; "," &amp; B2111</f>
        <v>https://www.google.com/maps/search/?api=1&amp;query=-30.9113646843601,-55.53654888323900</v>
      </c>
      <c r="G2111" s="27" t="str">
        <f t="array" ref="G2111">"https://earth.google.com/web/search/" &amp; A2111 &amp; "," &amp; B2111</f>
        <v>https://earth.google.com/web/search/-30.9113646843601,-55.53654888323900</v>
      </c>
      <c r="H2111" s="12"/>
      <c r="I2111" s="12"/>
      <c r="J2111" s="12"/>
      <c r="K2111" s="12"/>
      <c r="L2111" s="12"/>
      <c r="M2111" s="12"/>
      <c r="N2111" s="12"/>
      <c r="O2111" s="12"/>
      <c r="P2111" s="12"/>
      <c r="Q2111" s="12"/>
      <c r="R2111" s="12"/>
      <c r="S2111" s="12"/>
      <c r="T2111" s="12"/>
      <c r="U2111" s="12"/>
      <c r="V2111" s="12"/>
      <c r="W2111" s="12"/>
      <c r="X2111" s="12"/>
      <c r="Y2111" s="12"/>
      <c r="Z2111" s="12"/>
      <c r="AA2111" s="12"/>
    </row>
    <row r="2112" ht="26.25" customHeight="1">
      <c r="A2112" s="26" t="s">
        <v>4234</v>
      </c>
      <c r="B2112" s="26" t="s">
        <v>4235</v>
      </c>
      <c r="C2112" s="14">
        <v>2.0</v>
      </c>
      <c r="D2112" s="23">
        <v>874.0</v>
      </c>
      <c r="E2112" s="23">
        <v>9.0</v>
      </c>
      <c r="F2112" s="27" t="str">
        <f t="array" ref="F2112">"https://www.google.com/maps/search/?api=1&amp;query=" &amp; A2112 &amp; "," &amp; B2112</f>
        <v>https://www.google.com/maps/search/?api=1&amp;query=-30.9112662880281,-55.53643354544590</v>
      </c>
      <c r="G2112" s="27" t="str">
        <f t="array" ref="G2112">"https://earth.google.com/web/search/" &amp; A2112 &amp; "," &amp; B2112</f>
        <v>https://earth.google.com/web/search/-30.9112662880281,-55.53643354544590</v>
      </c>
      <c r="H2112" s="12"/>
      <c r="I2112" s="12"/>
      <c r="J2112" s="12"/>
      <c r="K2112" s="12"/>
      <c r="L2112" s="12"/>
      <c r="M2112" s="12"/>
      <c r="N2112" s="12"/>
      <c r="O2112" s="12"/>
      <c r="P2112" s="12"/>
      <c r="Q2112" s="12"/>
      <c r="R2112" s="12"/>
      <c r="S2112" s="12"/>
      <c r="T2112" s="12"/>
      <c r="U2112" s="12"/>
      <c r="V2112" s="12"/>
      <c r="W2112" s="12"/>
      <c r="X2112" s="12"/>
      <c r="Y2112" s="12"/>
      <c r="Z2112" s="12"/>
      <c r="AA2112" s="12"/>
    </row>
    <row r="2113" ht="26.25" customHeight="1">
      <c r="A2113" s="26" t="s">
        <v>4236</v>
      </c>
      <c r="B2113" s="26" t="s">
        <v>4237</v>
      </c>
      <c r="C2113" s="14">
        <v>2.0</v>
      </c>
      <c r="D2113" s="23">
        <v>874.0</v>
      </c>
      <c r="E2113" s="23">
        <v>10.0</v>
      </c>
      <c r="F2113" s="27" t="str">
        <f t="array" ref="F2113">"https://www.google.com/maps/search/?api=1&amp;query=" &amp; A2113 &amp; "," &amp; B2113</f>
        <v>https://www.google.com/maps/search/?api=1&amp;query=-30.9111985327122,-55.53638768597150</v>
      </c>
      <c r="G2113" s="27" t="str">
        <f t="array" ref="G2113">"https://earth.google.com/web/search/" &amp; A2113 &amp; "," &amp; B2113</f>
        <v>https://earth.google.com/web/search/-30.9111985327122,-55.53638768597150</v>
      </c>
      <c r="H2113" s="12"/>
      <c r="I2113" s="12"/>
      <c r="J2113" s="12"/>
      <c r="K2113" s="12"/>
      <c r="L2113" s="12"/>
      <c r="M2113" s="12"/>
      <c r="N2113" s="12"/>
      <c r="O2113" s="12"/>
      <c r="P2113" s="12"/>
      <c r="Q2113" s="12"/>
      <c r="R2113" s="12"/>
      <c r="S2113" s="12"/>
      <c r="T2113" s="12"/>
      <c r="U2113" s="12"/>
      <c r="V2113" s="12"/>
      <c r="W2113" s="12"/>
      <c r="X2113" s="12"/>
      <c r="Y2113" s="12"/>
      <c r="Z2113" s="12"/>
      <c r="AA2113" s="12"/>
    </row>
    <row r="2114" ht="26.25" customHeight="1">
      <c r="A2114" s="26" t="s">
        <v>4238</v>
      </c>
      <c r="B2114" s="26" t="s">
        <v>4239</v>
      </c>
      <c r="C2114" s="14">
        <v>2.0</v>
      </c>
      <c r="D2114" s="23">
        <v>874.0</v>
      </c>
      <c r="E2114" s="23">
        <v>11.0</v>
      </c>
      <c r="F2114" s="27" t="str">
        <f t="array" ref="F2114">"https://www.google.com/maps/search/?api=1&amp;query=" &amp; A2114 &amp; "," &amp; B2114</f>
        <v>https://www.google.com/maps/search/?api=1&amp;query=-30.9111310599784,-55.53633241451310</v>
      </c>
      <c r="G2114" s="27" t="str">
        <f t="array" ref="G2114">"https://earth.google.com/web/search/" &amp; A2114 &amp; "," &amp; B2114</f>
        <v>https://earth.google.com/web/search/-30.9111310599784,-55.53633241451310</v>
      </c>
      <c r="H2114" s="12"/>
      <c r="I2114" s="12"/>
      <c r="J2114" s="12"/>
      <c r="K2114" s="12"/>
      <c r="L2114" s="12"/>
      <c r="M2114" s="12"/>
      <c r="N2114" s="12"/>
      <c r="O2114" s="12"/>
      <c r="P2114" s="12"/>
      <c r="Q2114" s="12"/>
      <c r="R2114" s="12"/>
      <c r="S2114" s="12"/>
      <c r="T2114" s="12"/>
      <c r="U2114" s="12"/>
      <c r="V2114" s="12"/>
      <c r="W2114" s="12"/>
      <c r="X2114" s="12"/>
      <c r="Y2114" s="12"/>
      <c r="Z2114" s="12"/>
      <c r="AA2114" s="12"/>
    </row>
    <row r="2115" ht="26.25" customHeight="1">
      <c r="A2115" s="26" t="s">
        <v>4240</v>
      </c>
      <c r="B2115" s="26" t="s">
        <v>4241</v>
      </c>
      <c r="C2115" s="14">
        <v>2.0</v>
      </c>
      <c r="D2115" s="23">
        <v>874.0</v>
      </c>
      <c r="E2115" s="23">
        <v>12.0</v>
      </c>
      <c r="F2115" s="27" t="str">
        <f t="array" ref="F2115">"https://www.google.com/maps/search/?api=1&amp;query=" &amp; A2115 &amp; "," &amp; B2115</f>
        <v>https://www.google.com/maps/search/?api=1&amp;query=-0.3091100110786,-55.53623282596680</v>
      </c>
      <c r="G2115" s="27" t="str">
        <f t="array" ref="G2115">"https://earth.google.com/web/search/" &amp; A2115 &amp; "," &amp; B2115</f>
        <v>https://earth.google.com/web/search/-0.3091100110786,-55.53623282596680</v>
      </c>
      <c r="H2115" s="12"/>
      <c r="I2115" s="12"/>
      <c r="J2115" s="12"/>
      <c r="K2115" s="12"/>
      <c r="L2115" s="12"/>
      <c r="M2115" s="12"/>
      <c r="N2115" s="12"/>
      <c r="O2115" s="12"/>
      <c r="P2115" s="12"/>
      <c r="Q2115" s="12"/>
      <c r="R2115" s="12"/>
      <c r="S2115" s="12"/>
      <c r="T2115" s="12"/>
      <c r="U2115" s="12"/>
      <c r="V2115" s="12"/>
      <c r="W2115" s="12"/>
      <c r="X2115" s="12"/>
      <c r="Y2115" s="12"/>
      <c r="Z2115" s="12"/>
      <c r="AA2115" s="12"/>
    </row>
    <row r="2116" ht="26.25" customHeight="1">
      <c r="A2116" s="26" t="s">
        <v>4242</v>
      </c>
      <c r="B2116" s="26" t="s">
        <v>4243</v>
      </c>
      <c r="C2116" s="14">
        <v>2.0</v>
      </c>
      <c r="D2116" s="23">
        <v>874.0</v>
      </c>
      <c r="E2116" s="23">
        <v>13.0</v>
      </c>
      <c r="F2116" s="27" t="str">
        <f t="array" ref="F2116">"https://www.google.com/maps/search/?api=1&amp;query=" &amp; A2116 &amp; "," &amp; B2116</f>
        <v>https://www.google.com/maps/search/?api=1&amp;query=-30.9108960015313,-55.53615916119110</v>
      </c>
      <c r="G2116" s="27" t="str">
        <f t="array" ref="G2116">"https://earth.google.com/web/search/" &amp; A2116 &amp; "," &amp; B2116</f>
        <v>https://earth.google.com/web/search/-30.9108960015313,-55.53615916119110</v>
      </c>
      <c r="H2116" s="12"/>
      <c r="I2116" s="12"/>
      <c r="J2116" s="12"/>
      <c r="K2116" s="12"/>
      <c r="L2116" s="12"/>
      <c r="M2116" s="12"/>
      <c r="N2116" s="12"/>
      <c r="O2116" s="12"/>
      <c r="P2116" s="12"/>
      <c r="Q2116" s="12"/>
      <c r="R2116" s="12"/>
      <c r="S2116" s="12"/>
      <c r="T2116" s="12"/>
      <c r="U2116" s="12"/>
      <c r="V2116" s="12"/>
      <c r="W2116" s="12"/>
      <c r="X2116" s="12"/>
      <c r="Y2116" s="12"/>
      <c r="Z2116" s="12"/>
      <c r="AA2116" s="12"/>
    </row>
    <row r="2117" ht="26.25" customHeight="1">
      <c r="A2117" s="26" t="s">
        <v>4244</v>
      </c>
      <c r="B2117" s="26" t="s">
        <v>4245</v>
      </c>
      <c r="C2117" s="14">
        <v>2.0</v>
      </c>
      <c r="D2117" s="23">
        <v>479.0</v>
      </c>
      <c r="E2117" s="23">
        <v>1.0</v>
      </c>
      <c r="F2117" s="27" t="str">
        <f t="array" ref="F2117">"https://www.google.com/maps/search/?api=1&amp;query=" &amp; A2117 &amp; "," &amp; B2117</f>
        <v>https://www.google.com/maps/search/?api=1&amp;query=-3.0910892691961,-55.53603997506740</v>
      </c>
      <c r="G2117" s="27" t="str">
        <f t="array" ref="G2117">"https://earth.google.com/web/search/" &amp; A2117 &amp; "," &amp; B2117</f>
        <v>https://earth.google.com/web/search/-3.0910892691961,-55.53603997506740</v>
      </c>
      <c r="H2117" s="12"/>
      <c r="I2117" s="12"/>
      <c r="J2117" s="12"/>
      <c r="K2117" s="12"/>
      <c r="L2117" s="12"/>
      <c r="M2117" s="12"/>
      <c r="N2117" s="12"/>
      <c r="O2117" s="12"/>
      <c r="P2117" s="12"/>
      <c r="Q2117" s="12"/>
      <c r="R2117" s="12"/>
      <c r="S2117" s="12"/>
      <c r="T2117" s="12"/>
      <c r="U2117" s="12"/>
      <c r="V2117" s="12"/>
      <c r="W2117" s="12"/>
      <c r="X2117" s="12"/>
      <c r="Y2117" s="12"/>
      <c r="Z2117" s="12"/>
      <c r="AA2117" s="12"/>
    </row>
    <row r="2118" ht="26.25" customHeight="1">
      <c r="A2118" s="26" t="s">
        <v>4246</v>
      </c>
      <c r="B2118" s="26" t="s">
        <v>4247</v>
      </c>
      <c r="C2118" s="14">
        <v>2.0</v>
      </c>
      <c r="D2118" s="23">
        <v>479.0</v>
      </c>
      <c r="E2118" s="23">
        <v>2.0</v>
      </c>
      <c r="F2118" s="27" t="str">
        <f t="array" ref="F2118">"https://www.google.com/maps/search/?api=1&amp;query=" &amp; A2118 &amp; "," &amp; B2118</f>
        <v>https://www.google.com/maps/search/?api=1&amp;query=-30.9109555106804,-5.55360688293841</v>
      </c>
      <c r="G2118" s="27" t="str">
        <f t="array" ref="G2118">"https://earth.google.com/web/search/" &amp; A2118 &amp; "," &amp; B2118</f>
        <v>https://earth.google.com/web/search/-30.9109555106804,-5.55360688293841</v>
      </c>
      <c r="H2118" s="12"/>
      <c r="I2118" s="12"/>
      <c r="J2118" s="12"/>
      <c r="K2118" s="12"/>
      <c r="L2118" s="12"/>
      <c r="M2118" s="12"/>
      <c r="N2118" s="12"/>
      <c r="O2118" s="12"/>
      <c r="P2118" s="12"/>
      <c r="Q2118" s="12"/>
      <c r="R2118" s="12"/>
      <c r="S2118" s="12"/>
      <c r="T2118" s="12"/>
      <c r="U2118" s="12"/>
      <c r="V2118" s="12"/>
      <c r="W2118" s="12"/>
      <c r="X2118" s="12"/>
      <c r="Y2118" s="12"/>
      <c r="Z2118" s="12"/>
      <c r="AA2118" s="12"/>
    </row>
    <row r="2119" ht="26.25" customHeight="1">
      <c r="A2119" s="26" t="s">
        <v>4248</v>
      </c>
      <c r="B2119" s="26" t="s">
        <v>4249</v>
      </c>
      <c r="C2119" s="14">
        <v>2.0</v>
      </c>
      <c r="D2119" s="23">
        <v>479.0</v>
      </c>
      <c r="E2119" s="23">
        <v>3.0</v>
      </c>
      <c r="F2119" s="27" t="str">
        <f t="array" ref="F2119">"https://www.google.com/maps/search/?api=1&amp;query=" &amp; A2119 &amp; "," &amp; B2119</f>
        <v>https://www.google.com/maps/search/?api=1&amp;query=-30.9110379955141,-55.53610732203910</v>
      </c>
      <c r="G2119" s="27" t="str">
        <f t="array" ref="G2119">"https://earth.google.com/web/search/" &amp; A2119 &amp; "," &amp; B2119</f>
        <v>https://earth.google.com/web/search/-30.9110379955141,-55.53610732203910</v>
      </c>
      <c r="H2119" s="12"/>
      <c r="I2119" s="12"/>
      <c r="J2119" s="12"/>
      <c r="K2119" s="12"/>
      <c r="L2119" s="12"/>
      <c r="M2119" s="12"/>
      <c r="N2119" s="12"/>
      <c r="O2119" s="12"/>
      <c r="P2119" s="12"/>
      <c r="Q2119" s="12"/>
      <c r="R2119" s="12"/>
      <c r="S2119" s="12"/>
      <c r="T2119" s="12"/>
      <c r="U2119" s="12"/>
      <c r="V2119" s="12"/>
      <c r="W2119" s="12"/>
      <c r="X2119" s="12"/>
      <c r="Y2119" s="12"/>
      <c r="Z2119" s="12"/>
      <c r="AA2119" s="12"/>
    </row>
    <row r="2120" ht="26.25" customHeight="1">
      <c r="A2120" s="26" t="s">
        <v>4250</v>
      </c>
      <c r="B2120" s="26" t="s">
        <v>4251</v>
      </c>
      <c r="C2120" s="14">
        <v>2.0</v>
      </c>
      <c r="D2120" s="23">
        <v>479.0</v>
      </c>
      <c r="E2120" s="23">
        <v>4.0</v>
      </c>
      <c r="F2120" s="27" t="str">
        <f t="array" ref="F2120">"https://www.google.com/maps/search/?api=1&amp;query=" &amp; A2120 &amp; "," &amp; B2120</f>
        <v>https://www.google.com/maps/search/?api=1&amp;query=-30.9111780731089,-55.53624484877690</v>
      </c>
      <c r="G2120" s="27" t="str">
        <f t="array" ref="G2120">"https://earth.google.com/web/search/" &amp; A2120 &amp; "," &amp; B2120</f>
        <v>https://earth.google.com/web/search/-30.9111780731089,-55.53624484877690</v>
      </c>
      <c r="H2120" s="12"/>
      <c r="I2120" s="12"/>
      <c r="J2120" s="12"/>
      <c r="K2120" s="12"/>
      <c r="L2120" s="12"/>
      <c r="M2120" s="12"/>
      <c r="N2120" s="12"/>
      <c r="O2120" s="12"/>
      <c r="P2120" s="12"/>
      <c r="Q2120" s="12"/>
      <c r="R2120" s="12"/>
      <c r="S2120" s="12"/>
      <c r="T2120" s="12"/>
      <c r="U2120" s="12"/>
      <c r="V2120" s="12"/>
      <c r="W2120" s="12"/>
      <c r="X2120" s="12"/>
      <c r="Y2120" s="12"/>
      <c r="Z2120" s="12"/>
      <c r="AA2120" s="12"/>
    </row>
    <row r="2121" ht="26.25" customHeight="1">
      <c r="A2121" s="26" t="s">
        <v>4252</v>
      </c>
      <c r="B2121" s="26" t="s">
        <v>4253</v>
      </c>
      <c r="C2121" s="14">
        <v>2.0</v>
      </c>
      <c r="D2121" s="23">
        <v>479.0</v>
      </c>
      <c r="E2121" s="23">
        <v>5.0</v>
      </c>
      <c r="F2121" s="27" t="str">
        <f t="array" ref="F2121">"https://www.google.com/maps/search/?api=1&amp;query=" &amp; A2121 &amp; "," &amp; B2121</f>
        <v>https://www.google.com/maps/search/?api=1&amp;query=-30.9112177992351,-55.53626712720200</v>
      </c>
      <c r="G2121" s="27" t="str">
        <f t="array" ref="G2121">"https://earth.google.com/web/search/" &amp; A2121 &amp; "," &amp; B2121</f>
        <v>https://earth.google.com/web/search/-30.9112177992351,-55.53626712720200</v>
      </c>
      <c r="H2121" s="12"/>
      <c r="I2121" s="12"/>
      <c r="J2121" s="12"/>
      <c r="K2121" s="12"/>
      <c r="L2121" s="12"/>
      <c r="M2121" s="12"/>
      <c r="N2121" s="12"/>
      <c r="O2121" s="12"/>
      <c r="P2121" s="12"/>
      <c r="Q2121" s="12"/>
      <c r="R2121" s="12"/>
      <c r="S2121" s="12"/>
      <c r="T2121" s="12"/>
      <c r="U2121" s="12"/>
      <c r="V2121" s="12"/>
      <c r="W2121" s="12"/>
      <c r="X2121" s="12"/>
      <c r="Y2121" s="12"/>
      <c r="Z2121" s="12"/>
      <c r="AA2121" s="12"/>
    </row>
    <row r="2122" ht="26.25" customHeight="1">
      <c r="A2122" s="26" t="s">
        <v>4254</v>
      </c>
      <c r="B2122" s="26" t="s">
        <v>4255</v>
      </c>
      <c r="C2122" s="14">
        <v>2.0</v>
      </c>
      <c r="D2122" s="23">
        <v>479.0</v>
      </c>
      <c r="E2122" s="23">
        <v>6.0</v>
      </c>
      <c r="F2122" s="27" t="str">
        <f t="array" ref="F2122">"https://www.google.com/maps/search/?api=1&amp;query=" &amp; A2122 &amp; "," &amp; B2122</f>
        <v>https://www.google.com/maps/search/?api=1&amp;query=-30.9112781919396,-55.53632410204300</v>
      </c>
      <c r="G2122" s="27" t="str">
        <f t="array" ref="G2122">"https://earth.google.com/web/search/" &amp; A2122 &amp; "," &amp; B2122</f>
        <v>https://earth.google.com/web/search/-30.9112781919396,-55.53632410204300</v>
      </c>
      <c r="H2122" s="12"/>
      <c r="I2122" s="12"/>
      <c r="J2122" s="12"/>
      <c r="K2122" s="12"/>
      <c r="L2122" s="12"/>
      <c r="M2122" s="12"/>
      <c r="N2122" s="12"/>
      <c r="O2122" s="12"/>
      <c r="P2122" s="12"/>
      <c r="Q2122" s="12"/>
      <c r="R2122" s="12"/>
      <c r="S2122" s="12"/>
      <c r="T2122" s="12"/>
      <c r="U2122" s="12"/>
      <c r="V2122" s="12"/>
      <c r="W2122" s="12"/>
      <c r="X2122" s="12"/>
      <c r="Y2122" s="12"/>
      <c r="Z2122" s="12"/>
      <c r="AA2122" s="12"/>
    </row>
    <row r="2123" ht="26.25" customHeight="1">
      <c r="A2123" s="26" t="s">
        <v>4256</v>
      </c>
      <c r="B2123" s="26" t="s">
        <v>4257</v>
      </c>
      <c r="C2123" s="14">
        <v>2.0</v>
      </c>
      <c r="D2123" s="23">
        <v>479.0</v>
      </c>
      <c r="E2123" s="23">
        <v>7.0</v>
      </c>
      <c r="F2123" s="27" t="str">
        <f t="array" ref="F2123">"https://www.google.com/maps/search/?api=1&amp;query=" &amp; A2123 &amp; "," &amp; B2123</f>
        <v>https://www.google.com/maps/search/?api=1&amp;query=-30.9114018006845,-55.53639304222450</v>
      </c>
      <c r="G2123" s="27" t="str">
        <f t="array" ref="G2123">"https://earth.google.com/web/search/" &amp; A2123 &amp; "," &amp; B2123</f>
        <v>https://earth.google.com/web/search/-30.9114018006845,-55.53639304222450</v>
      </c>
      <c r="H2123" s="12"/>
      <c r="I2123" s="12"/>
      <c r="J2123" s="12"/>
      <c r="K2123" s="12"/>
      <c r="L2123" s="12"/>
      <c r="M2123" s="12"/>
      <c r="N2123" s="12"/>
      <c r="O2123" s="12"/>
      <c r="P2123" s="12"/>
      <c r="Q2123" s="12"/>
      <c r="R2123" s="12"/>
      <c r="S2123" s="12"/>
      <c r="T2123" s="12"/>
      <c r="U2123" s="12"/>
      <c r="V2123" s="12"/>
      <c r="W2123" s="12"/>
      <c r="X2123" s="12"/>
      <c r="Y2123" s="12"/>
      <c r="Z2123" s="12"/>
      <c r="AA2123" s="12"/>
    </row>
    <row r="2124" ht="26.25" customHeight="1">
      <c r="A2124" s="26" t="s">
        <v>4258</v>
      </c>
      <c r="B2124" s="26" t="s">
        <v>4259</v>
      </c>
      <c r="C2124" s="14">
        <v>2.0</v>
      </c>
      <c r="D2124" s="23">
        <v>479.0</v>
      </c>
      <c r="E2124" s="23">
        <v>8.0</v>
      </c>
      <c r="F2124" s="27" t="str">
        <f t="array" ref="F2124">"https://www.google.com/maps/search/?api=1&amp;query=" &amp; A2124 &amp; "," &amp; B2124</f>
        <v>https://www.google.com/maps/search/?api=1&amp;query=-30.9115352088953,-55.53620268881150</v>
      </c>
      <c r="G2124" s="27" t="str">
        <f t="array" ref="G2124">"https://earth.google.com/web/search/" &amp; A2124 &amp; "," &amp; B2124</f>
        <v>https://earth.google.com/web/search/-30.9115352088953,-55.53620268881150</v>
      </c>
      <c r="H2124" s="12"/>
      <c r="I2124" s="12"/>
      <c r="J2124" s="12"/>
      <c r="K2124" s="12"/>
      <c r="L2124" s="12"/>
      <c r="M2124" s="12"/>
      <c r="N2124" s="12"/>
      <c r="O2124" s="12"/>
      <c r="P2124" s="12"/>
      <c r="Q2124" s="12"/>
      <c r="R2124" s="12"/>
      <c r="S2124" s="12"/>
      <c r="T2124" s="12"/>
      <c r="U2124" s="12"/>
      <c r="V2124" s="12"/>
      <c r="W2124" s="12"/>
      <c r="X2124" s="12"/>
      <c r="Y2124" s="12"/>
      <c r="Z2124" s="12"/>
      <c r="AA2124" s="12"/>
    </row>
    <row r="2125" ht="26.25" customHeight="1">
      <c r="A2125" s="26" t="s">
        <v>4260</v>
      </c>
      <c r="B2125" s="26" t="s">
        <v>4261</v>
      </c>
      <c r="C2125" s="14">
        <v>2.0</v>
      </c>
      <c r="D2125" s="23">
        <v>479.0</v>
      </c>
      <c r="E2125" s="23">
        <v>9.0</v>
      </c>
      <c r="F2125" s="27" t="str">
        <f t="array" ref="F2125">"https://www.google.com/maps/search/?api=1&amp;query=" &amp; A2125 &amp; "," &amp; B2125</f>
        <v>https://www.google.com/maps/search/?api=1&amp;query=-30.9116183078404,-5.55360783730739</v>
      </c>
      <c r="G2125" s="27" t="str">
        <f t="array" ref="G2125">"https://earth.google.com/web/search/" &amp; A2125 &amp; "," &amp; B2125</f>
        <v>https://earth.google.com/web/search/-30.9116183078404,-5.55360783730739</v>
      </c>
      <c r="H2125" s="12"/>
      <c r="I2125" s="12"/>
      <c r="J2125" s="12"/>
      <c r="K2125" s="12"/>
      <c r="L2125" s="12"/>
      <c r="M2125" s="12"/>
      <c r="N2125" s="12"/>
      <c r="O2125" s="12"/>
      <c r="P2125" s="12"/>
      <c r="Q2125" s="12"/>
      <c r="R2125" s="12"/>
      <c r="S2125" s="12"/>
      <c r="T2125" s="12"/>
      <c r="U2125" s="12"/>
      <c r="V2125" s="12"/>
      <c r="W2125" s="12"/>
      <c r="X2125" s="12"/>
      <c r="Y2125" s="12"/>
      <c r="Z2125" s="12"/>
      <c r="AA2125" s="12"/>
    </row>
    <row r="2126" ht="26.25" customHeight="1">
      <c r="A2126" s="26" t="s">
        <v>4262</v>
      </c>
      <c r="B2126" s="26" t="s">
        <v>4263</v>
      </c>
      <c r="C2126" s="14">
        <v>2.0</v>
      </c>
      <c r="D2126" s="23">
        <v>479.0</v>
      </c>
      <c r="E2126" s="23">
        <v>10.0</v>
      </c>
      <c r="F2126" s="24" t="str">
        <f t="array" ref="F2126">"https://www.google.com/maps/search/?api=1&amp;query=" &amp; A2126 &amp; "," &amp; B2126</f>
        <v>https://www.google.com/maps/search/?api=1&amp;query=-30.9116805933815,-55.53594846993650</v>
      </c>
      <c r="G2126" s="25" t="str">
        <f t="array" ref="G2126">"https://earth.google.com/web/search/" &amp; A2126 &amp; "," &amp; B2126</f>
        <v>https://earth.google.com/web/search/-30.9116805933815,-55.53594846993650</v>
      </c>
      <c r="H2126" s="12"/>
      <c r="I2126" s="12"/>
      <c r="J2126" s="12"/>
      <c r="K2126" s="12"/>
      <c r="L2126" s="12"/>
      <c r="M2126" s="12"/>
      <c r="N2126" s="12"/>
      <c r="O2126" s="12"/>
      <c r="P2126" s="12"/>
      <c r="Q2126" s="12"/>
      <c r="R2126" s="12"/>
      <c r="S2126" s="12"/>
      <c r="T2126" s="12"/>
      <c r="U2126" s="12"/>
      <c r="V2126" s="12"/>
      <c r="W2126" s="12"/>
      <c r="X2126" s="12"/>
      <c r="Y2126" s="12"/>
      <c r="Z2126" s="12"/>
      <c r="AA2126" s="12"/>
    </row>
    <row r="2127" ht="26.25" customHeight="1">
      <c r="A2127" s="28" t="s">
        <v>4264</v>
      </c>
      <c r="B2127" s="29" t="s">
        <v>4265</v>
      </c>
      <c r="C2127" s="30">
        <v>3.0</v>
      </c>
      <c r="D2127" s="31"/>
      <c r="E2127" s="31"/>
      <c r="F2127" s="32" t="str">
        <f t="array" ref="F2127">"https://www.google.com/maps/search/?api=1&amp;query=" &amp; A2127 &amp; "," &amp; B2127</f>
        <v>https://www.google.com/maps/search/?api=1&amp;query=-30.90549236694470,-55.54768092652640</v>
      </c>
      <c r="G2127" s="33" t="str">
        <f t="array" ref="G2127">"https://earth.google.com/web/search/" &amp; A2127 &amp; "," &amp; B2127</f>
        <v>https://earth.google.com/web/search/-30.90549236694470,-55.54768092652640</v>
      </c>
      <c r="H2127" s="12"/>
      <c r="I2127" s="12"/>
      <c r="J2127" s="12"/>
      <c r="K2127" s="12"/>
      <c r="L2127" s="12"/>
      <c r="M2127" s="12"/>
      <c r="N2127" s="12"/>
      <c r="O2127" s="12"/>
      <c r="P2127" s="12"/>
      <c r="Q2127" s="12"/>
      <c r="R2127" s="12"/>
      <c r="S2127" s="12"/>
      <c r="T2127" s="12"/>
      <c r="U2127" s="12"/>
      <c r="V2127" s="12"/>
      <c r="W2127" s="12"/>
      <c r="X2127" s="12"/>
      <c r="Y2127" s="12"/>
      <c r="Z2127" s="12"/>
      <c r="AA2127" s="12"/>
    </row>
    <row r="2128" ht="26.25" customHeight="1">
      <c r="A2128" s="34" t="s">
        <v>4266</v>
      </c>
      <c r="B2128" s="35" t="s">
        <v>4267</v>
      </c>
      <c r="C2128" s="36">
        <v>3.0</v>
      </c>
      <c r="D2128" s="37">
        <v>3.0</v>
      </c>
      <c r="E2128" s="37"/>
      <c r="F2128" s="24" t="str">
        <f t="array" ref="F2128">"https://www.google.com/maps/search/?api=1&amp;query=" &amp; A2128 &amp; "," &amp; B2128</f>
        <v>https://www.google.com/maps/search/?api=1&amp;query=-30.89832725455770,-55.54697779051880</v>
      </c>
      <c r="G2128" s="25" t="str">
        <f t="array" ref="G2128">"https://earth.google.com/web/search/" &amp; A2128 &amp; "," &amp; B2128</f>
        <v>https://earth.google.com/web/search/-30.89832725455770,-55.54697779051880</v>
      </c>
      <c r="H2128" s="12"/>
      <c r="I2128" s="12"/>
      <c r="J2128" s="12"/>
      <c r="K2128" s="12"/>
      <c r="L2128" s="12"/>
      <c r="M2128" s="12"/>
      <c r="N2128" s="12"/>
      <c r="O2128" s="12"/>
      <c r="P2128" s="12"/>
      <c r="Q2128" s="12"/>
      <c r="R2128" s="12"/>
      <c r="S2128" s="12"/>
      <c r="T2128" s="12"/>
      <c r="U2128" s="12"/>
      <c r="V2128" s="12"/>
      <c r="W2128" s="12"/>
      <c r="X2128" s="12"/>
      <c r="Y2128" s="12"/>
      <c r="Z2128" s="12"/>
      <c r="AA2128" s="12"/>
    </row>
    <row r="2129" ht="26.25" customHeight="1">
      <c r="A2129" s="28" t="s">
        <v>4268</v>
      </c>
      <c r="B2129" s="29" t="s">
        <v>4269</v>
      </c>
      <c r="C2129" s="30">
        <v>3.0</v>
      </c>
      <c r="D2129" s="31">
        <v>1128.0</v>
      </c>
      <c r="E2129" s="31"/>
      <c r="F2129" s="32" t="str">
        <f t="array" ref="F2129">"https://www.google.com/maps/search/?api=1&amp;query=" &amp; A2129 &amp; "," &amp; B2129</f>
        <v>https://www.google.com/maps/search/?api=1&amp;query=-3.08958340204764,-55.54598211595150</v>
      </c>
      <c r="G2129" s="33" t="str">
        <f t="array" ref="G2129">"https://earth.google.com/web/search/" &amp; A2129 &amp; "," &amp; B2129</f>
        <v>https://earth.google.com/web/search/-3.08958340204764,-55.54598211595150</v>
      </c>
      <c r="H2129" s="12"/>
      <c r="I2129" s="12"/>
      <c r="J2129" s="12"/>
      <c r="K2129" s="12"/>
      <c r="L2129" s="12"/>
      <c r="M2129" s="12"/>
      <c r="N2129" s="12"/>
      <c r="O2129" s="12"/>
      <c r="P2129" s="12"/>
      <c r="Q2129" s="12"/>
      <c r="R2129" s="12"/>
      <c r="S2129" s="12"/>
      <c r="T2129" s="12"/>
      <c r="U2129" s="12"/>
      <c r="V2129" s="12"/>
      <c r="W2129" s="12"/>
      <c r="X2129" s="12"/>
      <c r="Y2129" s="12"/>
      <c r="Z2129" s="12"/>
      <c r="AA2129" s="12"/>
    </row>
    <row r="2130" ht="26.25" customHeight="1">
      <c r="A2130" s="34" t="s">
        <v>4270</v>
      </c>
      <c r="B2130" s="35" t="s">
        <v>4271</v>
      </c>
      <c r="C2130" s="36">
        <v>3.0</v>
      </c>
      <c r="D2130" s="37">
        <v>0.0</v>
      </c>
      <c r="E2130" s="37">
        <v>1.0</v>
      </c>
      <c r="F2130" s="24" t="str">
        <f t="array" ref="F2130">"https://www.google.com/maps/search/?api=1&amp;query=" &amp; A2130 &amp; "," &amp; B2130</f>
        <v>https://www.google.com/maps/search/?api=1&amp;query=-30.89341980123730,-55.54194014496990</v>
      </c>
      <c r="G2130" s="25" t="str">
        <f t="array" ref="G2130">"https://earth.google.com/web/search/" &amp; A2130 &amp; "," &amp; B2130</f>
        <v>https://earth.google.com/web/search/-30.89341980123730,-55.54194014496990</v>
      </c>
      <c r="H2130" s="12"/>
      <c r="I2130" s="12"/>
      <c r="J2130" s="12"/>
      <c r="K2130" s="12"/>
      <c r="L2130" s="12"/>
      <c r="M2130" s="12"/>
      <c r="N2130" s="12"/>
      <c r="O2130" s="12"/>
      <c r="P2130" s="12"/>
      <c r="Q2130" s="12"/>
      <c r="R2130" s="12"/>
      <c r="S2130" s="12"/>
      <c r="T2130" s="12"/>
      <c r="U2130" s="12"/>
      <c r="V2130" s="12"/>
      <c r="W2130" s="12"/>
      <c r="X2130" s="12"/>
      <c r="Y2130" s="12"/>
      <c r="Z2130" s="12"/>
      <c r="AA2130" s="12"/>
    </row>
    <row r="2131" ht="26.25" customHeight="1">
      <c r="A2131" s="28" t="s">
        <v>4272</v>
      </c>
      <c r="B2131" s="29" t="s">
        <v>4273</v>
      </c>
      <c r="C2131" s="30">
        <v>3.0</v>
      </c>
      <c r="D2131" s="31">
        <v>0.0</v>
      </c>
      <c r="E2131" s="31">
        <v>2.0</v>
      </c>
      <c r="F2131" s="32" t="str">
        <f t="array" ref="F2131">"https://www.google.com/maps/search/?api=1&amp;query=" &amp; A2131 &amp; "," &amp; B2131</f>
        <v>https://www.google.com/maps/search/?api=1&amp;query=-30.89346669717860,-55.54184674388050</v>
      </c>
      <c r="G2131" s="33" t="str">
        <f t="array" ref="G2131">"https://earth.google.com/web/search/" &amp; A2131 &amp; "," &amp; B2131</f>
        <v>https://earth.google.com/web/search/-30.89346669717860,-55.54184674388050</v>
      </c>
      <c r="H2131" s="12"/>
      <c r="I2131" s="12"/>
      <c r="J2131" s="12"/>
      <c r="K2131" s="12"/>
      <c r="L2131" s="12"/>
      <c r="M2131" s="12"/>
      <c r="N2131" s="12"/>
      <c r="O2131" s="12"/>
      <c r="P2131" s="12"/>
      <c r="Q2131" s="12"/>
      <c r="R2131" s="12"/>
      <c r="S2131" s="12"/>
      <c r="T2131" s="12"/>
      <c r="U2131" s="12"/>
      <c r="V2131" s="12"/>
      <c r="W2131" s="12"/>
      <c r="X2131" s="12"/>
      <c r="Y2131" s="12"/>
      <c r="Z2131" s="12"/>
      <c r="AA2131" s="12"/>
    </row>
    <row r="2132" ht="26.25" customHeight="1">
      <c r="A2132" s="34" t="s">
        <v>4274</v>
      </c>
      <c r="B2132" s="35" t="s">
        <v>4275</v>
      </c>
      <c r="C2132" s="36">
        <v>3.0</v>
      </c>
      <c r="D2132" s="37">
        <v>0.0</v>
      </c>
      <c r="E2132" s="37">
        <v>3.0</v>
      </c>
      <c r="F2132" s="24" t="str">
        <f t="array" ref="F2132">"https://www.google.com/maps/search/?api=1&amp;query=" &amp; A2132 &amp; "," &amp; B2132</f>
        <v>https://www.google.com/maps/search/?api=1&amp;query=-30.89350429018390,-55.54173264361630</v>
      </c>
      <c r="G2132" s="25" t="str">
        <f t="array" ref="G2132">"https://earth.google.com/web/search/" &amp; A2132 &amp; "," &amp; B2132</f>
        <v>https://earth.google.com/web/search/-30.89350429018390,-55.54173264361630</v>
      </c>
      <c r="H2132" s="12"/>
      <c r="I2132" s="12"/>
      <c r="J2132" s="12"/>
      <c r="K2132" s="12"/>
      <c r="L2132" s="12"/>
      <c r="M2132" s="12"/>
      <c r="N2132" s="12"/>
      <c r="O2132" s="12"/>
      <c r="P2132" s="12"/>
      <c r="Q2132" s="12"/>
      <c r="R2132" s="12"/>
      <c r="S2132" s="12"/>
      <c r="T2132" s="12"/>
      <c r="U2132" s="12"/>
      <c r="V2132" s="12"/>
      <c r="W2132" s="12"/>
      <c r="X2132" s="12"/>
      <c r="Y2132" s="12"/>
      <c r="Z2132" s="12"/>
      <c r="AA2132" s="12"/>
    </row>
    <row r="2133" ht="26.25" customHeight="1">
      <c r="A2133" s="28" t="s">
        <v>4276</v>
      </c>
      <c r="B2133" s="29" t="s">
        <v>4277</v>
      </c>
      <c r="C2133" s="30">
        <v>3.0</v>
      </c>
      <c r="D2133" s="31">
        <v>31.0</v>
      </c>
      <c r="E2133" s="31">
        <v>1.0</v>
      </c>
      <c r="F2133" s="32" t="str">
        <f t="array" ref="F2133">"https://www.google.com/maps/search/?api=1&amp;query=" &amp; A2133 &amp; "," &amp; B2133</f>
        <v>https://www.google.com/maps/search/?api=1&amp;query=-30.89190195192130,-55.54413184359190</v>
      </c>
      <c r="G2133" s="33" t="str">
        <f t="array" ref="G2133">"https://earth.google.com/web/search/" &amp; A2133 &amp; "," &amp; B2133</f>
        <v>https://earth.google.com/web/search/-30.89190195192130,-55.54413184359190</v>
      </c>
      <c r="H2133" s="12"/>
      <c r="I2133" s="12"/>
      <c r="J2133" s="12"/>
      <c r="K2133" s="12"/>
      <c r="L2133" s="12"/>
      <c r="M2133" s="12"/>
      <c r="N2133" s="12"/>
      <c r="O2133" s="12"/>
      <c r="P2133" s="12"/>
      <c r="Q2133" s="12"/>
      <c r="R2133" s="12"/>
      <c r="S2133" s="12"/>
      <c r="T2133" s="12"/>
      <c r="U2133" s="12"/>
      <c r="V2133" s="12"/>
      <c r="W2133" s="12"/>
      <c r="X2133" s="12"/>
      <c r="Y2133" s="12"/>
      <c r="Z2133" s="12"/>
      <c r="AA2133" s="12"/>
    </row>
    <row r="2134" ht="26.25" customHeight="1">
      <c r="A2134" s="34" t="s">
        <v>4278</v>
      </c>
      <c r="B2134" s="35" t="s">
        <v>4279</v>
      </c>
      <c r="C2134" s="36">
        <v>3.0</v>
      </c>
      <c r="D2134" s="37">
        <v>31.0</v>
      </c>
      <c r="E2134" s="37">
        <v>2.0</v>
      </c>
      <c r="F2134" s="24" t="str">
        <f t="array" ref="F2134">"https://www.google.com/maps/search/?api=1&amp;query=" &amp; A2134 &amp; "," &amp; B2134</f>
        <v>https://www.google.com/maps/search/?api=1&amp;query=-30.89194410289860,-55.54419987134960</v>
      </c>
      <c r="G2134" s="25" t="str">
        <f t="array" ref="G2134">"https://earth.google.com/web/search/" &amp; A2134 &amp; "," &amp; B2134</f>
        <v>https://earth.google.com/web/search/-30.89194410289860,-55.54419987134960</v>
      </c>
      <c r="H2134" s="12"/>
      <c r="I2134" s="12"/>
      <c r="J2134" s="12"/>
      <c r="K2134" s="12"/>
      <c r="L2134" s="12"/>
      <c r="M2134" s="12"/>
      <c r="N2134" s="12"/>
      <c r="O2134" s="12"/>
      <c r="P2134" s="12"/>
      <c r="Q2134" s="12"/>
      <c r="R2134" s="12"/>
      <c r="S2134" s="12"/>
      <c r="T2134" s="12"/>
      <c r="U2134" s="12"/>
      <c r="V2134" s="12"/>
      <c r="W2134" s="12"/>
      <c r="X2134" s="12"/>
      <c r="Y2134" s="12"/>
      <c r="Z2134" s="12"/>
      <c r="AA2134" s="12"/>
    </row>
    <row r="2135" ht="26.25" customHeight="1">
      <c r="A2135" s="28" t="s">
        <v>4280</v>
      </c>
      <c r="B2135" s="29" t="s">
        <v>4281</v>
      </c>
      <c r="C2135" s="30">
        <v>3.0</v>
      </c>
      <c r="D2135" s="31">
        <v>31.0</v>
      </c>
      <c r="E2135" s="31">
        <v>3.0</v>
      </c>
      <c r="F2135" s="32" t="str">
        <f t="array" ref="F2135">"https://www.google.com/maps/search/?api=1&amp;query=" &amp; A2135 &amp; "," &amp; B2135</f>
        <v>https://www.google.com/maps/search/?api=1&amp;query=-30.89208646748610,-55.54430755652970</v>
      </c>
      <c r="G2135" s="33" t="str">
        <f t="array" ref="G2135">"https://earth.google.com/web/search/" &amp; A2135 &amp; "," &amp; B2135</f>
        <v>https://earth.google.com/web/search/-30.89208646748610,-55.54430755652970</v>
      </c>
      <c r="H2135" s="12"/>
      <c r="I2135" s="12"/>
      <c r="J2135" s="12"/>
      <c r="K2135" s="12"/>
      <c r="L2135" s="12"/>
      <c r="M2135" s="12"/>
      <c r="N2135" s="12"/>
      <c r="O2135" s="12"/>
      <c r="P2135" s="12"/>
      <c r="Q2135" s="12"/>
      <c r="R2135" s="12"/>
      <c r="S2135" s="12"/>
      <c r="T2135" s="12"/>
      <c r="U2135" s="12"/>
      <c r="V2135" s="12"/>
      <c r="W2135" s="12"/>
      <c r="X2135" s="12"/>
      <c r="Y2135" s="12"/>
      <c r="Z2135" s="12"/>
      <c r="AA2135" s="12"/>
    </row>
    <row r="2136" ht="26.25" customHeight="1">
      <c r="A2136" s="34" t="s">
        <v>4282</v>
      </c>
      <c r="B2136" s="35" t="s">
        <v>4283</v>
      </c>
      <c r="C2136" s="36">
        <v>3.0</v>
      </c>
      <c r="D2136" s="37">
        <v>31.0</v>
      </c>
      <c r="E2136" s="37">
        <v>4.0</v>
      </c>
      <c r="F2136" s="24" t="str">
        <f t="array" ref="F2136">"https://www.google.com/maps/search/?api=1&amp;query=" &amp; A2136 &amp; "," &amp; B2136</f>
        <v>https://www.google.com/maps/search/?api=1&amp;query=-30.89208974915880,-55.54335954891610</v>
      </c>
      <c r="G2136" s="25" t="str">
        <f t="array" ref="G2136">"https://earth.google.com/web/search/" &amp; A2136 &amp; "," &amp; B2136</f>
        <v>https://earth.google.com/web/search/-30.89208974915880,-55.54335954891610</v>
      </c>
      <c r="H2136" s="12"/>
      <c r="I2136" s="12"/>
      <c r="J2136" s="12"/>
      <c r="K2136" s="12"/>
      <c r="L2136" s="12"/>
      <c r="M2136" s="12"/>
      <c r="N2136" s="12"/>
      <c r="O2136" s="12"/>
      <c r="P2136" s="12"/>
      <c r="Q2136" s="12"/>
      <c r="R2136" s="12"/>
      <c r="S2136" s="12"/>
      <c r="T2136" s="12"/>
      <c r="U2136" s="12"/>
      <c r="V2136" s="12"/>
      <c r="W2136" s="12"/>
      <c r="X2136" s="12"/>
      <c r="Y2136" s="12"/>
      <c r="Z2136" s="12"/>
      <c r="AA2136" s="12"/>
    </row>
    <row r="2137" ht="26.25" customHeight="1">
      <c r="A2137" s="28" t="s">
        <v>4284</v>
      </c>
      <c r="B2137" s="29" t="s">
        <v>4285</v>
      </c>
      <c r="C2137" s="30">
        <v>3.0</v>
      </c>
      <c r="D2137" s="31">
        <v>31.0</v>
      </c>
      <c r="E2137" s="31">
        <v>5.0</v>
      </c>
      <c r="F2137" s="32" t="str">
        <f t="array" ref="F2137">"https://www.google.com/maps/search/?api=1&amp;query=" &amp; A2137 &amp; "," &amp; B2137</f>
        <v>https://www.google.com/maps/search/?api=1&amp;query=-0.30892015301788,-55.54344906486250</v>
      </c>
      <c r="G2137" s="33" t="str">
        <f t="array" ref="G2137">"https://earth.google.com/web/search/" &amp; A2137 &amp; "," &amp; B2137</f>
        <v>https://earth.google.com/web/search/-0.30892015301788,-55.54344906486250</v>
      </c>
      <c r="H2137" s="12"/>
      <c r="I2137" s="12"/>
      <c r="J2137" s="12"/>
      <c r="K2137" s="12"/>
      <c r="L2137" s="12"/>
      <c r="M2137" s="12"/>
      <c r="N2137" s="12"/>
      <c r="O2137" s="12"/>
      <c r="P2137" s="12"/>
      <c r="Q2137" s="12"/>
      <c r="R2137" s="12"/>
      <c r="S2137" s="12"/>
      <c r="T2137" s="12"/>
      <c r="U2137" s="12"/>
      <c r="V2137" s="12"/>
      <c r="W2137" s="12"/>
      <c r="X2137" s="12"/>
      <c r="Y2137" s="12"/>
      <c r="Z2137" s="12"/>
      <c r="AA2137" s="12"/>
    </row>
    <row r="2138" ht="26.25" customHeight="1">
      <c r="A2138" s="34" t="s">
        <v>4286</v>
      </c>
      <c r="B2138" s="35" t="s">
        <v>4287</v>
      </c>
      <c r="C2138" s="36">
        <v>3.0</v>
      </c>
      <c r="D2138" s="37">
        <v>31.0</v>
      </c>
      <c r="E2138" s="37">
        <v>6.0</v>
      </c>
      <c r="F2138" s="24" t="str">
        <f t="array" ref="F2138">"https://www.google.com/maps/search/?api=1&amp;query=" &amp; A2138 &amp; "," &amp; B2138</f>
        <v>https://www.google.com/maps/search/?api=1&amp;query=-30.89186436072710,-55.54369658447580</v>
      </c>
      <c r="G2138" s="25" t="str">
        <f t="array" ref="G2138">"https://earth.google.com/web/search/" &amp; A2138 &amp; "," &amp; B2138</f>
        <v>https://earth.google.com/web/search/-30.89186436072710,-55.54369658447580</v>
      </c>
      <c r="H2138" s="12"/>
      <c r="I2138" s="12"/>
      <c r="J2138" s="12"/>
      <c r="K2138" s="12"/>
      <c r="L2138" s="12"/>
      <c r="M2138" s="12"/>
      <c r="N2138" s="12"/>
      <c r="O2138" s="12"/>
      <c r="P2138" s="12"/>
      <c r="Q2138" s="12"/>
      <c r="R2138" s="12"/>
      <c r="S2138" s="12"/>
      <c r="T2138" s="12"/>
      <c r="U2138" s="12"/>
      <c r="V2138" s="12"/>
      <c r="W2138" s="12"/>
      <c r="X2138" s="12"/>
      <c r="Y2138" s="12"/>
      <c r="Z2138" s="12"/>
      <c r="AA2138" s="12"/>
    </row>
    <row r="2139" ht="26.25" customHeight="1">
      <c r="A2139" s="28" t="s">
        <v>4288</v>
      </c>
      <c r="B2139" s="29" t="s">
        <v>4289</v>
      </c>
      <c r="C2139" s="30">
        <v>3.0</v>
      </c>
      <c r="D2139" s="31">
        <v>31.0</v>
      </c>
      <c r="E2139" s="31">
        <v>7.0</v>
      </c>
      <c r="F2139" s="32" t="str">
        <f t="array" ref="F2139">"https://www.google.com/maps/search/?api=1&amp;query=" &amp; A2139 &amp; "," &amp; B2139</f>
        <v>https://www.google.com/maps/search/?api=1&amp;query=-30.89176431165260,-55.54388993485450</v>
      </c>
      <c r="G2139" s="33" t="str">
        <f t="array" ref="G2139">"https://earth.google.com/web/search/" &amp; A2139 &amp; "," &amp; B2139</f>
        <v>https://earth.google.com/web/search/-30.89176431165260,-55.54388993485450</v>
      </c>
      <c r="H2139" s="12"/>
      <c r="I2139" s="12"/>
      <c r="J2139" s="12"/>
      <c r="K2139" s="12"/>
      <c r="L2139" s="12"/>
      <c r="M2139" s="12"/>
      <c r="N2139" s="12"/>
      <c r="O2139" s="12"/>
      <c r="P2139" s="12"/>
      <c r="Q2139" s="12"/>
      <c r="R2139" s="12"/>
      <c r="S2139" s="12"/>
      <c r="T2139" s="12"/>
      <c r="U2139" s="12"/>
      <c r="V2139" s="12"/>
      <c r="W2139" s="12"/>
      <c r="X2139" s="12"/>
      <c r="Y2139" s="12"/>
      <c r="Z2139" s="12"/>
      <c r="AA2139" s="12"/>
    </row>
    <row r="2140" ht="26.25" customHeight="1">
      <c r="A2140" s="34" t="s">
        <v>4290</v>
      </c>
      <c r="B2140" s="35" t="s">
        <v>4291</v>
      </c>
      <c r="C2140" s="36">
        <v>3.0</v>
      </c>
      <c r="D2140" s="37">
        <v>31.0</v>
      </c>
      <c r="E2140" s="37">
        <v>8.0</v>
      </c>
      <c r="F2140" s="24" t="str">
        <f t="array" ref="F2140">"https://www.google.com/maps/search/?api=1&amp;query=" &amp; A2140 &amp; "," &amp; B2140</f>
        <v>https://www.google.com/maps/search/?api=1&amp;query=-30.89167205970460,-55.54402333467110</v>
      </c>
      <c r="G2140" s="25" t="str">
        <f t="array" ref="G2140">"https://earth.google.com/web/search/" &amp; A2140 &amp; "," &amp; B2140</f>
        <v>https://earth.google.com/web/search/-30.89167205970460,-55.54402333467110</v>
      </c>
      <c r="H2140" s="12"/>
      <c r="I2140" s="12"/>
      <c r="J2140" s="12"/>
      <c r="K2140" s="12"/>
      <c r="L2140" s="12"/>
      <c r="M2140" s="12"/>
      <c r="N2140" s="12"/>
      <c r="O2140" s="12"/>
      <c r="P2140" s="12"/>
      <c r="Q2140" s="12"/>
      <c r="R2140" s="12"/>
      <c r="S2140" s="12"/>
      <c r="T2140" s="12"/>
      <c r="U2140" s="12"/>
      <c r="V2140" s="12"/>
      <c r="W2140" s="12"/>
      <c r="X2140" s="12"/>
      <c r="Y2140" s="12"/>
      <c r="Z2140" s="12"/>
      <c r="AA2140" s="12"/>
    </row>
    <row r="2141" ht="26.25" customHeight="1">
      <c r="A2141" s="28" t="s">
        <v>4292</v>
      </c>
      <c r="B2141" s="29" t="s">
        <v>4293</v>
      </c>
      <c r="C2141" s="30">
        <v>3.0</v>
      </c>
      <c r="D2141" s="31">
        <v>32.0</v>
      </c>
      <c r="E2141" s="31">
        <v>1.0</v>
      </c>
      <c r="F2141" s="32" t="str">
        <f t="array" ref="F2141">"https://www.google.com/maps/search/?api=1&amp;query=" &amp; A2141 &amp; "," &amp; B2141</f>
        <v>https://www.google.com/maps/search/?api=1&amp;query=-3.08916425214494,-55.54521167725990</v>
      </c>
      <c r="G2141" s="33" t="str">
        <f t="array" ref="G2141">"https://earth.google.com/web/search/" &amp; A2141 &amp; "," &amp; B2141</f>
        <v>https://earth.google.com/web/search/-3.08916425214494,-55.54521167725990</v>
      </c>
      <c r="H2141" s="12"/>
      <c r="I2141" s="12"/>
      <c r="J2141" s="12"/>
      <c r="K2141" s="12"/>
      <c r="L2141" s="12"/>
      <c r="M2141" s="12"/>
      <c r="N2141" s="12"/>
      <c r="O2141" s="12"/>
      <c r="P2141" s="12"/>
      <c r="Q2141" s="12"/>
      <c r="R2141" s="12"/>
      <c r="S2141" s="12"/>
      <c r="T2141" s="12"/>
      <c r="U2141" s="12"/>
      <c r="V2141" s="12"/>
      <c r="W2141" s="12"/>
      <c r="X2141" s="12"/>
      <c r="Y2141" s="12"/>
      <c r="Z2141" s="12"/>
      <c r="AA2141" s="12"/>
    </row>
    <row r="2142" ht="26.25" customHeight="1">
      <c r="A2142" s="34" t="s">
        <v>4294</v>
      </c>
      <c r="B2142" s="35" t="s">
        <v>4295</v>
      </c>
      <c r="C2142" s="36">
        <v>3.0</v>
      </c>
      <c r="D2142" s="37">
        <v>32.0</v>
      </c>
      <c r="E2142" s="37">
        <v>2.0</v>
      </c>
      <c r="F2142" s="24" t="str">
        <f t="array" ref="F2142">"https://www.google.com/maps/search/?api=1&amp;query=" &amp; A2142 &amp; "," &amp; B2142</f>
        <v>https://www.google.com/maps/search/?api=1&amp;query=-30.89186896023200,-55.54487814748140</v>
      </c>
      <c r="G2142" s="25" t="str">
        <f t="array" ref="G2142">"https://earth.google.com/web/search/" &amp; A2142 &amp; "," &amp; B2142</f>
        <v>https://earth.google.com/web/search/-30.89186896023200,-55.54487814748140</v>
      </c>
      <c r="H2142" s="12"/>
      <c r="I2142" s="12"/>
      <c r="J2142" s="12"/>
      <c r="K2142" s="12"/>
      <c r="L2142" s="12"/>
      <c r="M2142" s="12"/>
      <c r="N2142" s="12"/>
      <c r="O2142" s="12"/>
      <c r="P2142" s="12"/>
      <c r="Q2142" s="12"/>
      <c r="R2142" s="12"/>
      <c r="S2142" s="12"/>
      <c r="T2142" s="12"/>
      <c r="U2142" s="12"/>
      <c r="V2142" s="12"/>
      <c r="W2142" s="12"/>
      <c r="X2142" s="12"/>
      <c r="Y2142" s="12"/>
      <c r="Z2142" s="12"/>
      <c r="AA2142" s="12"/>
    </row>
    <row r="2143" ht="26.25" customHeight="1">
      <c r="A2143" s="28" t="s">
        <v>4296</v>
      </c>
      <c r="B2143" s="29" t="s">
        <v>4297</v>
      </c>
      <c r="C2143" s="30">
        <v>3.0</v>
      </c>
      <c r="D2143" s="31">
        <v>32.0</v>
      </c>
      <c r="E2143" s="31">
        <v>3.0</v>
      </c>
      <c r="F2143" s="32" t="str">
        <f t="array" ref="F2143">"https://www.google.com/maps/search/?api=1&amp;query=" &amp; A2143 &amp; "," &amp; B2143</f>
        <v>https://www.google.com/maps/search/?api=1&amp;query=-30.89197956764500,-55.54467561674130</v>
      </c>
      <c r="G2143" s="33" t="str">
        <f t="array" ref="G2143">"https://earth.google.com/web/search/" &amp; A2143 &amp; "," &amp; B2143</f>
        <v>https://earth.google.com/web/search/-30.89197956764500,-55.54467561674130</v>
      </c>
      <c r="H2143" s="12"/>
      <c r="I2143" s="12"/>
      <c r="J2143" s="12"/>
      <c r="K2143" s="12"/>
      <c r="L2143" s="12"/>
      <c r="M2143" s="12"/>
      <c r="N2143" s="12"/>
      <c r="O2143" s="12"/>
      <c r="P2143" s="12"/>
      <c r="Q2143" s="12"/>
      <c r="R2143" s="12"/>
      <c r="S2143" s="12"/>
      <c r="T2143" s="12"/>
      <c r="U2143" s="12"/>
      <c r="V2143" s="12"/>
      <c r="W2143" s="12"/>
      <c r="X2143" s="12"/>
      <c r="Y2143" s="12"/>
      <c r="Z2143" s="12"/>
      <c r="AA2143" s="12"/>
    </row>
    <row r="2144" ht="26.25" customHeight="1">
      <c r="A2144" s="34" t="s">
        <v>4298</v>
      </c>
      <c r="B2144" s="35" t="s">
        <v>4299</v>
      </c>
      <c r="C2144" s="36">
        <v>3.0</v>
      </c>
      <c r="D2144" s="37">
        <v>32.0</v>
      </c>
      <c r="E2144" s="37">
        <v>4.0</v>
      </c>
      <c r="F2144" s="24" t="str">
        <f t="array" ref="F2144">"https://www.google.com/maps/search/?api=1&amp;query=" &amp; A2144 &amp; "," &amp; B2144</f>
        <v>https://www.google.com/maps/search/?api=1&amp;query=-30.89209639848410,-55.54447262639210</v>
      </c>
      <c r="G2144" s="25" t="str">
        <f t="array" ref="G2144">"https://earth.google.com/web/search/" &amp; A2144 &amp; "," &amp; B2144</f>
        <v>https://earth.google.com/web/search/-30.89209639848410,-55.54447262639210</v>
      </c>
      <c r="H2144" s="12"/>
      <c r="I2144" s="12"/>
      <c r="J2144" s="12"/>
      <c r="K2144" s="12"/>
      <c r="L2144" s="12"/>
      <c r="M2144" s="12"/>
      <c r="N2144" s="12"/>
      <c r="O2144" s="12"/>
      <c r="P2144" s="12"/>
      <c r="Q2144" s="12"/>
      <c r="R2144" s="12"/>
      <c r="S2144" s="12"/>
      <c r="T2144" s="12"/>
      <c r="U2144" s="12"/>
      <c r="V2144" s="12"/>
      <c r="W2144" s="12"/>
      <c r="X2144" s="12"/>
      <c r="Y2144" s="12"/>
      <c r="Z2144" s="12"/>
      <c r="AA2144" s="12"/>
    </row>
    <row r="2145" ht="26.25" customHeight="1">
      <c r="A2145" s="28" t="s">
        <v>4300</v>
      </c>
      <c r="B2145" s="29" t="s">
        <v>4301</v>
      </c>
      <c r="C2145" s="30">
        <v>3.0</v>
      </c>
      <c r="D2145" s="31">
        <v>32.0</v>
      </c>
      <c r="E2145" s="31">
        <v>5.0</v>
      </c>
      <c r="F2145" s="32" t="str">
        <f t="array" ref="F2145">"https://www.google.com/maps/search/?api=1&amp;query=" &amp; A2145 &amp; "," &amp; B2145</f>
        <v>https://www.google.com/maps/search/?api=1&amp;query=-30.89158209316220,-55.54417224948670</v>
      </c>
      <c r="G2145" s="33" t="str">
        <f t="array" ref="G2145">"https://earth.google.com/web/search/" &amp; A2145 &amp; "," &amp; B2145</f>
        <v>https://earth.google.com/web/search/-30.89158209316220,-55.54417224948670</v>
      </c>
      <c r="H2145" s="12"/>
      <c r="I2145" s="12"/>
      <c r="J2145" s="12"/>
      <c r="K2145" s="12"/>
      <c r="L2145" s="12"/>
      <c r="M2145" s="12"/>
      <c r="N2145" s="12"/>
      <c r="O2145" s="12"/>
      <c r="P2145" s="12"/>
      <c r="Q2145" s="12"/>
      <c r="R2145" s="12"/>
      <c r="S2145" s="12"/>
      <c r="T2145" s="12"/>
      <c r="U2145" s="12"/>
      <c r="V2145" s="12"/>
      <c r="W2145" s="12"/>
      <c r="X2145" s="12"/>
      <c r="Y2145" s="12"/>
      <c r="Z2145" s="12"/>
      <c r="AA2145" s="12"/>
    </row>
    <row r="2146" ht="26.25" customHeight="1">
      <c r="A2146" s="34" t="s">
        <v>4302</v>
      </c>
      <c r="B2146" s="35" t="s">
        <v>4303</v>
      </c>
      <c r="C2146" s="36">
        <v>3.0</v>
      </c>
      <c r="D2146" s="37">
        <v>32.0</v>
      </c>
      <c r="E2146" s="37">
        <v>6.0</v>
      </c>
      <c r="F2146" s="24" t="str">
        <f t="array" ref="F2146">"https://www.google.com/maps/search/?api=1&amp;query=" &amp; A2146 &amp; "," &amp; B2146</f>
        <v>https://www.google.com/maps/search/?api=1&amp;query=-30.89151300258320,-55.54426304925340</v>
      </c>
      <c r="G2146" s="25" t="str">
        <f t="array" ref="G2146">"https://earth.google.com/web/search/" &amp; A2146 &amp; "," &amp; B2146</f>
        <v>https://earth.google.com/web/search/-30.89151300258320,-55.54426304925340</v>
      </c>
      <c r="H2146" s="12"/>
      <c r="I2146" s="12"/>
      <c r="J2146" s="12"/>
      <c r="K2146" s="12"/>
      <c r="L2146" s="12"/>
      <c r="M2146" s="12"/>
      <c r="N2146" s="12"/>
      <c r="O2146" s="12"/>
      <c r="P2146" s="12"/>
      <c r="Q2146" s="12"/>
      <c r="R2146" s="12"/>
      <c r="S2146" s="12"/>
      <c r="T2146" s="12"/>
      <c r="U2146" s="12"/>
      <c r="V2146" s="12"/>
      <c r="W2146" s="12"/>
      <c r="X2146" s="12"/>
      <c r="Y2146" s="12"/>
      <c r="Z2146" s="12"/>
      <c r="AA2146" s="12"/>
    </row>
    <row r="2147" ht="26.25" customHeight="1">
      <c r="A2147" s="28" t="s">
        <v>4304</v>
      </c>
      <c r="B2147" s="29" t="s">
        <v>4305</v>
      </c>
      <c r="C2147" s="30">
        <v>3.0</v>
      </c>
      <c r="D2147" s="31">
        <v>32.0</v>
      </c>
      <c r="E2147" s="31">
        <v>7.0</v>
      </c>
      <c r="F2147" s="32" t="str">
        <f t="array" ref="F2147">"https://www.google.com/maps/search/?api=1&amp;query=" &amp; A2147 &amp; "," &amp; B2147</f>
        <v>https://www.google.com/maps/search/?api=1&amp;query=-3.08914453305084,-55.54437110851620</v>
      </c>
      <c r="G2147" s="33" t="str">
        <f t="array" ref="G2147">"https://earth.google.com/web/search/" &amp; A2147 &amp; "," &amp; B2147</f>
        <v>https://earth.google.com/web/search/-3.08914453305084,-55.54437110851620</v>
      </c>
      <c r="H2147" s="12"/>
      <c r="I2147" s="12"/>
      <c r="J2147" s="12"/>
      <c r="K2147" s="12"/>
      <c r="L2147" s="12"/>
      <c r="M2147" s="12"/>
      <c r="N2147" s="12"/>
      <c r="O2147" s="12"/>
      <c r="P2147" s="12"/>
      <c r="Q2147" s="12"/>
      <c r="R2147" s="12"/>
      <c r="S2147" s="12"/>
      <c r="T2147" s="12"/>
      <c r="U2147" s="12"/>
      <c r="V2147" s="12"/>
      <c r="W2147" s="12"/>
      <c r="X2147" s="12"/>
      <c r="Y2147" s="12"/>
      <c r="Z2147" s="12"/>
      <c r="AA2147" s="12"/>
    </row>
    <row r="2148" ht="26.25" customHeight="1">
      <c r="A2148" s="34" t="s">
        <v>4306</v>
      </c>
      <c r="B2148" s="35" t="s">
        <v>4307</v>
      </c>
      <c r="C2148" s="36">
        <v>3.0</v>
      </c>
      <c r="D2148" s="37">
        <v>32.0</v>
      </c>
      <c r="E2148" s="37">
        <v>8.0</v>
      </c>
      <c r="F2148" s="24" t="str">
        <f t="array" ref="F2148">"https://www.google.com/maps/search/?api=1&amp;query=" &amp; A2148 &amp; "," &amp; B2148</f>
        <v>https://www.google.com/maps/search/?api=1&amp;query=-3.08913540245808,-55.54453076390000</v>
      </c>
      <c r="G2148" s="25" t="str">
        <f t="array" ref="G2148">"https://earth.google.com/web/search/" &amp; A2148 &amp; "," &amp; B2148</f>
        <v>https://earth.google.com/web/search/-3.08913540245808,-55.54453076390000</v>
      </c>
      <c r="H2148" s="12"/>
      <c r="I2148" s="12"/>
      <c r="J2148" s="12"/>
      <c r="K2148" s="12"/>
      <c r="L2148" s="12"/>
      <c r="M2148" s="12"/>
      <c r="N2148" s="12"/>
      <c r="O2148" s="12"/>
      <c r="P2148" s="12"/>
      <c r="Q2148" s="12"/>
      <c r="R2148" s="12"/>
      <c r="S2148" s="12"/>
      <c r="T2148" s="12"/>
      <c r="U2148" s="12"/>
      <c r="V2148" s="12"/>
      <c r="W2148" s="12"/>
      <c r="X2148" s="12"/>
      <c r="Y2148" s="12"/>
      <c r="Z2148" s="12"/>
      <c r="AA2148" s="12"/>
    </row>
    <row r="2149" ht="26.25" customHeight="1">
      <c r="A2149" s="28" t="s">
        <v>4308</v>
      </c>
      <c r="B2149" s="29" t="s">
        <v>4309</v>
      </c>
      <c r="C2149" s="30">
        <v>3.0</v>
      </c>
      <c r="D2149" s="31">
        <v>32.0</v>
      </c>
      <c r="E2149" s="31">
        <v>9.0</v>
      </c>
      <c r="F2149" s="32" t="str">
        <f t="array" ref="F2149">"https://www.google.com/maps/search/?api=1&amp;query=" &amp; A2149 &amp; "," &amp; B2149</f>
        <v>https://www.google.com/maps/search/?api=1&amp;query=-30.89114531854180,-55.54484183419900</v>
      </c>
      <c r="G2149" s="33" t="str">
        <f t="array" ref="G2149">"https://earth.google.com/web/search/" &amp; A2149 &amp; "," &amp; B2149</f>
        <v>https://earth.google.com/web/search/-30.89114531854180,-55.54484183419900</v>
      </c>
      <c r="H2149" s="12"/>
      <c r="I2149" s="12"/>
      <c r="J2149" s="12"/>
      <c r="K2149" s="12"/>
      <c r="L2149" s="12"/>
      <c r="M2149" s="12"/>
      <c r="N2149" s="12"/>
      <c r="O2149" s="12"/>
      <c r="P2149" s="12"/>
      <c r="Q2149" s="12"/>
      <c r="R2149" s="12"/>
      <c r="S2149" s="12"/>
      <c r="T2149" s="12"/>
      <c r="U2149" s="12"/>
      <c r="V2149" s="12"/>
      <c r="W2149" s="12"/>
      <c r="X2149" s="12"/>
      <c r="Y2149" s="12"/>
      <c r="Z2149" s="12"/>
      <c r="AA2149" s="12"/>
    </row>
    <row r="2150" ht="26.25" customHeight="1">
      <c r="A2150" s="34" t="s">
        <v>4310</v>
      </c>
      <c r="B2150" s="35" t="s">
        <v>4311</v>
      </c>
      <c r="C2150" s="36">
        <v>3.0</v>
      </c>
      <c r="D2150" s="37">
        <v>32.0</v>
      </c>
      <c r="E2150" s="37">
        <v>10.0</v>
      </c>
      <c r="F2150" s="24" t="str">
        <f t="array" ref="F2150">"https://www.google.com/maps/search/?api=1&amp;query=" &amp; A2150 &amp; "," &amp; B2150</f>
        <v>https://www.google.com/maps/search/?api=1&amp;query=-30.89144541103370,-55.54508138302170</v>
      </c>
      <c r="G2150" s="25" t="str">
        <f t="array" ref="G2150">"https://earth.google.com/web/search/" &amp; A2150 &amp; "," &amp; B2150</f>
        <v>https://earth.google.com/web/search/-30.89144541103370,-55.54508138302170</v>
      </c>
      <c r="H2150" s="12"/>
      <c r="I2150" s="12"/>
      <c r="J2150" s="12"/>
      <c r="K2150" s="12"/>
      <c r="L2150" s="12"/>
      <c r="M2150" s="12"/>
      <c r="N2150" s="12"/>
      <c r="O2150" s="12"/>
      <c r="P2150" s="12"/>
      <c r="Q2150" s="12"/>
      <c r="R2150" s="12"/>
      <c r="S2150" s="12"/>
      <c r="T2150" s="12"/>
      <c r="U2150" s="12"/>
      <c r="V2150" s="12"/>
      <c r="W2150" s="12"/>
      <c r="X2150" s="12"/>
      <c r="Y2150" s="12"/>
      <c r="Z2150" s="12"/>
      <c r="AA2150" s="12"/>
    </row>
    <row r="2151" ht="26.25" customHeight="1">
      <c r="A2151" s="28" t="s">
        <v>4312</v>
      </c>
      <c r="B2151" s="29" t="s">
        <v>4313</v>
      </c>
      <c r="C2151" s="30">
        <v>3.0</v>
      </c>
      <c r="D2151" s="31">
        <v>32.0</v>
      </c>
      <c r="E2151" s="31">
        <v>11.0</v>
      </c>
      <c r="F2151" s="32" t="str">
        <f t="array" ref="F2151">"https://www.google.com/maps/search/?api=1&amp;query=" &amp; A2151 &amp; "," &amp; B2151</f>
        <v>https://www.google.com/maps/search/?api=1&amp;query=-30.89151005935490,-55.54512436205690</v>
      </c>
      <c r="G2151" s="33" t="str">
        <f t="array" ref="G2151">"https://earth.google.com/web/search/" &amp; A2151 &amp; "," &amp; B2151</f>
        <v>https://earth.google.com/web/search/-30.89151005935490,-55.54512436205690</v>
      </c>
      <c r="H2151" s="12"/>
      <c r="I2151" s="12"/>
      <c r="J2151" s="12"/>
      <c r="K2151" s="12"/>
      <c r="L2151" s="12"/>
      <c r="M2151" s="12"/>
      <c r="N2151" s="12"/>
      <c r="O2151" s="12"/>
      <c r="P2151" s="12"/>
      <c r="Q2151" s="12"/>
      <c r="R2151" s="12"/>
      <c r="S2151" s="12"/>
      <c r="T2151" s="12"/>
      <c r="U2151" s="12"/>
      <c r="V2151" s="12"/>
      <c r="W2151" s="12"/>
      <c r="X2151" s="12"/>
      <c r="Y2151" s="12"/>
      <c r="Z2151" s="12"/>
      <c r="AA2151" s="12"/>
    </row>
    <row r="2152" ht="26.25" customHeight="1">
      <c r="A2152" s="34" t="s">
        <v>4314</v>
      </c>
      <c r="B2152" s="35" t="s">
        <v>4315</v>
      </c>
      <c r="C2152" s="36">
        <v>3.0</v>
      </c>
      <c r="D2152" s="37">
        <v>32.0</v>
      </c>
      <c r="E2152" s="37">
        <v>12.0</v>
      </c>
      <c r="F2152" s="24" t="str">
        <f t="array" ref="F2152">"https://www.google.com/maps/search/?api=1&amp;query=" &amp; A2152 &amp; "," &amp; B2152</f>
        <v>https://www.google.com/maps/search/?api=1&amp;query=-30.89157144894190,-55.54517304748090</v>
      </c>
      <c r="G2152" s="25" t="str">
        <f t="array" ref="G2152">"https://earth.google.com/web/search/" &amp; A2152 &amp; "," &amp; B2152</f>
        <v>https://earth.google.com/web/search/-30.89157144894190,-55.54517304748090</v>
      </c>
      <c r="H2152" s="12"/>
      <c r="I2152" s="12"/>
      <c r="J2152" s="12"/>
      <c r="K2152" s="12"/>
      <c r="L2152" s="12"/>
      <c r="M2152" s="12"/>
      <c r="N2152" s="12"/>
      <c r="O2152" s="12"/>
      <c r="P2152" s="12"/>
      <c r="Q2152" s="12"/>
      <c r="R2152" s="12"/>
      <c r="S2152" s="12"/>
      <c r="T2152" s="12"/>
      <c r="U2152" s="12"/>
      <c r="V2152" s="12"/>
      <c r="W2152" s="12"/>
      <c r="X2152" s="12"/>
      <c r="Y2152" s="12"/>
      <c r="Z2152" s="12"/>
      <c r="AA2152" s="12"/>
    </row>
    <row r="2153" ht="26.25" customHeight="1">
      <c r="A2153" s="28" t="s">
        <v>4316</v>
      </c>
      <c r="B2153" s="29" t="s">
        <v>4317</v>
      </c>
      <c r="C2153" s="30">
        <v>3.0</v>
      </c>
      <c r="D2153" s="31">
        <v>33.0</v>
      </c>
      <c r="E2153" s="31">
        <v>1.0</v>
      </c>
      <c r="F2153" s="32" t="str">
        <f t="array" ref="F2153">"https://www.google.com/maps/search/?api=1&amp;query=" &amp; A2153 &amp; "," &amp; B2153</f>
        <v>https://www.google.com/maps/search/?api=1&amp;query=-30.89130478328900,-55.54590870180650</v>
      </c>
      <c r="G2153" s="33" t="str">
        <f t="array" ref="G2153">"https://earth.google.com/web/search/" &amp; A2153 &amp; "," &amp; B2153</f>
        <v>https://earth.google.com/web/search/-30.89130478328900,-55.54590870180650</v>
      </c>
      <c r="H2153" s="12"/>
      <c r="I2153" s="12"/>
      <c r="J2153" s="12"/>
      <c r="K2153" s="12"/>
      <c r="L2153" s="12"/>
      <c r="M2153" s="12"/>
      <c r="N2153" s="12"/>
      <c r="O2153" s="12"/>
      <c r="P2153" s="12"/>
      <c r="Q2153" s="12"/>
      <c r="R2153" s="12"/>
      <c r="S2153" s="12"/>
      <c r="T2153" s="12"/>
      <c r="U2153" s="12"/>
      <c r="V2153" s="12"/>
      <c r="W2153" s="12"/>
      <c r="X2153" s="12"/>
      <c r="Y2153" s="12"/>
      <c r="Z2153" s="12"/>
      <c r="AA2153" s="12"/>
    </row>
    <row r="2154" ht="26.25" customHeight="1">
      <c r="A2154" s="34" t="s">
        <v>4318</v>
      </c>
      <c r="B2154" s="35" t="s">
        <v>4319</v>
      </c>
      <c r="C2154" s="36">
        <v>3.0</v>
      </c>
      <c r="D2154" s="37">
        <v>33.0</v>
      </c>
      <c r="E2154" s="37">
        <v>2.0</v>
      </c>
      <c r="F2154" s="24" t="str">
        <f t="array" ref="F2154">"https://www.google.com/maps/search/?api=1&amp;query=" &amp; A2154 &amp; "," &amp; B2154</f>
        <v>https://www.google.com/maps/search/?api=1&amp;query=-30.89146980767970,-55.54522153605250</v>
      </c>
      <c r="G2154" s="25" t="str">
        <f t="array" ref="G2154">"https://earth.google.com/web/search/" &amp; A2154 &amp; "," &amp; B2154</f>
        <v>https://earth.google.com/web/search/-30.89146980767970,-55.54522153605250</v>
      </c>
      <c r="H2154" s="12"/>
      <c r="I2154" s="12"/>
      <c r="J2154" s="12"/>
      <c r="K2154" s="12"/>
      <c r="L2154" s="12"/>
      <c r="M2154" s="12"/>
      <c r="N2154" s="12"/>
      <c r="O2154" s="12"/>
      <c r="P2154" s="12"/>
      <c r="Q2154" s="12"/>
      <c r="R2154" s="12"/>
      <c r="S2154" s="12"/>
      <c r="T2154" s="12"/>
      <c r="U2154" s="12"/>
      <c r="V2154" s="12"/>
      <c r="W2154" s="12"/>
      <c r="X2154" s="12"/>
      <c r="Y2154" s="12"/>
      <c r="Z2154" s="12"/>
      <c r="AA2154" s="12"/>
    </row>
    <row r="2155" ht="26.25" customHeight="1">
      <c r="A2155" s="28" t="s">
        <v>4320</v>
      </c>
      <c r="B2155" s="29" t="s">
        <v>4321</v>
      </c>
      <c r="C2155" s="30">
        <v>3.0</v>
      </c>
      <c r="D2155" s="31">
        <v>33.0</v>
      </c>
      <c r="E2155" s="31">
        <v>3.0</v>
      </c>
      <c r="F2155" s="32" t="str">
        <f t="array" ref="F2155">"https://www.google.com/maps/search/?api=1&amp;query=" &amp; A2155 &amp; "," &amp; B2155</f>
        <v>https://www.google.com/maps/search/?api=1&amp;query=-30.89102099917620,-55.54503260274120</v>
      </c>
      <c r="G2155" s="33" t="str">
        <f t="array" ref="G2155">"https://earth.google.com/web/search/" &amp; A2155 &amp; "," &amp; B2155</f>
        <v>https://earth.google.com/web/search/-30.89102099917620,-55.54503260274120</v>
      </c>
      <c r="H2155" s="12"/>
      <c r="I2155" s="12"/>
      <c r="J2155" s="12"/>
      <c r="K2155" s="12"/>
      <c r="L2155" s="12"/>
      <c r="M2155" s="12"/>
      <c r="N2155" s="12"/>
      <c r="O2155" s="12"/>
      <c r="P2155" s="12"/>
      <c r="Q2155" s="12"/>
      <c r="R2155" s="12"/>
      <c r="S2155" s="12"/>
      <c r="T2155" s="12"/>
      <c r="U2155" s="12"/>
      <c r="V2155" s="12"/>
      <c r="W2155" s="12"/>
      <c r="X2155" s="12"/>
      <c r="Y2155" s="12"/>
      <c r="Z2155" s="12"/>
      <c r="AA2155" s="12"/>
    </row>
    <row r="2156" ht="26.25" customHeight="1">
      <c r="A2156" s="34" t="s">
        <v>4322</v>
      </c>
      <c r="B2156" s="35" t="s">
        <v>4323</v>
      </c>
      <c r="C2156" s="36">
        <v>3.0</v>
      </c>
      <c r="D2156" s="37">
        <v>33.0</v>
      </c>
      <c r="E2156" s="37">
        <v>4.0</v>
      </c>
      <c r="F2156" s="24" t="str">
        <f t="array" ref="F2156">"https://www.google.com/maps/search/?api=1&amp;query=" &amp; A2156 &amp; "," &amp; B2156</f>
        <v>https://www.google.com/maps/search/?api=1&amp;query=-30.89100958400470,-55.54535132255290</v>
      </c>
      <c r="G2156" s="25" t="str">
        <f t="array" ref="G2156">"https://earth.google.com/web/search/" &amp; A2156 &amp; "," &amp; B2156</f>
        <v>https://earth.google.com/web/search/-30.89100958400470,-55.54535132255290</v>
      </c>
      <c r="H2156" s="12"/>
      <c r="I2156" s="12"/>
      <c r="J2156" s="12"/>
      <c r="K2156" s="12"/>
      <c r="L2156" s="12"/>
      <c r="M2156" s="12"/>
      <c r="N2156" s="12"/>
      <c r="O2156" s="12"/>
      <c r="P2156" s="12"/>
      <c r="Q2156" s="12"/>
      <c r="R2156" s="12"/>
      <c r="S2156" s="12"/>
      <c r="T2156" s="12"/>
      <c r="U2156" s="12"/>
      <c r="V2156" s="12"/>
      <c r="W2156" s="12"/>
      <c r="X2156" s="12"/>
      <c r="Y2156" s="12"/>
      <c r="Z2156" s="12"/>
      <c r="AA2156" s="12"/>
    </row>
    <row r="2157" ht="26.25" customHeight="1">
      <c r="A2157" s="28" t="s">
        <v>4324</v>
      </c>
      <c r="B2157" s="29" t="s">
        <v>4325</v>
      </c>
      <c r="C2157" s="30">
        <v>3.0</v>
      </c>
      <c r="D2157" s="31">
        <v>33.0</v>
      </c>
      <c r="E2157" s="31">
        <v>5.0</v>
      </c>
      <c r="F2157" s="32" t="str">
        <f t="array" ref="F2157">"https://www.google.com/maps/search/?api=1&amp;query=" &amp; A2157 &amp; "," &amp; B2157</f>
        <v>https://www.google.com/maps/search/?api=1&amp;query=-30.89078675796270,-55.54544801534320</v>
      </c>
      <c r="G2157" s="33" t="str">
        <f t="array" ref="G2157">"https://earth.google.com/web/search/" &amp; A2157 &amp; "," &amp; B2157</f>
        <v>https://earth.google.com/web/search/-30.89078675796270,-55.54544801534320</v>
      </c>
      <c r="H2157" s="12"/>
      <c r="I2157" s="12"/>
      <c r="J2157" s="12"/>
      <c r="K2157" s="12"/>
      <c r="L2157" s="12"/>
      <c r="M2157" s="12"/>
      <c r="N2157" s="12"/>
      <c r="O2157" s="12"/>
      <c r="P2157" s="12"/>
      <c r="Q2157" s="12"/>
      <c r="R2157" s="12"/>
      <c r="S2157" s="12"/>
      <c r="T2157" s="12"/>
      <c r="U2157" s="12"/>
      <c r="V2157" s="12"/>
      <c r="W2157" s="12"/>
      <c r="X2157" s="12"/>
      <c r="Y2157" s="12"/>
      <c r="Z2157" s="12"/>
      <c r="AA2157" s="12"/>
    </row>
    <row r="2158" ht="26.25" customHeight="1">
      <c r="A2158" s="34" t="s">
        <v>4326</v>
      </c>
      <c r="B2158" s="35" t="s">
        <v>4327</v>
      </c>
      <c r="C2158" s="36">
        <v>3.0</v>
      </c>
      <c r="D2158" s="37">
        <v>33.0</v>
      </c>
      <c r="E2158" s="37">
        <v>6.0</v>
      </c>
      <c r="F2158" s="24" t="str">
        <f t="array" ref="F2158">"https://www.google.com/maps/search/?api=1&amp;query=" &amp; A2158 &amp; "," &amp; B2158</f>
        <v>https://www.google.com/maps/search/?api=1&amp;query=-30.89073652277790,-55.54548617191770</v>
      </c>
      <c r="G2158" s="25" t="str">
        <f t="array" ref="G2158">"https://earth.google.com/web/search/" &amp; A2158 &amp; "," &amp; B2158</f>
        <v>https://earth.google.com/web/search/-30.89073652277790,-55.54548617191770</v>
      </c>
      <c r="H2158" s="12"/>
      <c r="I2158" s="12"/>
      <c r="J2158" s="12"/>
      <c r="K2158" s="12"/>
      <c r="L2158" s="12"/>
      <c r="M2158" s="12"/>
      <c r="N2158" s="12"/>
      <c r="O2158" s="12"/>
      <c r="P2158" s="12"/>
      <c r="Q2158" s="12"/>
      <c r="R2158" s="12"/>
      <c r="S2158" s="12"/>
      <c r="T2158" s="12"/>
      <c r="U2158" s="12"/>
      <c r="V2158" s="12"/>
      <c r="W2158" s="12"/>
      <c r="X2158" s="12"/>
      <c r="Y2158" s="12"/>
      <c r="Z2158" s="12"/>
      <c r="AA2158" s="12"/>
    </row>
    <row r="2159" ht="26.25" customHeight="1">
      <c r="A2159" s="28" t="s">
        <v>4328</v>
      </c>
      <c r="B2159" s="29" t="s">
        <v>4329</v>
      </c>
      <c r="C2159" s="30">
        <v>3.0</v>
      </c>
      <c r="D2159" s="31">
        <v>33.0</v>
      </c>
      <c r="E2159" s="31">
        <v>7.0</v>
      </c>
      <c r="F2159" s="32" t="str">
        <f t="array" ref="F2159">"https://www.google.com/maps/search/?api=1&amp;query=" &amp; A2159 &amp; "," &amp; B2159</f>
        <v>https://www.google.com/maps/search/?api=1&amp;query=-30.89069364984350,-55.54556330122820</v>
      </c>
      <c r="G2159" s="33" t="str">
        <f t="array" ref="G2159">"https://earth.google.com/web/search/" &amp; A2159 &amp; "," &amp; B2159</f>
        <v>https://earth.google.com/web/search/-30.89069364984350,-55.54556330122820</v>
      </c>
      <c r="H2159" s="12"/>
      <c r="I2159" s="12"/>
      <c r="J2159" s="12"/>
      <c r="K2159" s="12"/>
      <c r="L2159" s="12"/>
      <c r="M2159" s="12"/>
      <c r="N2159" s="12"/>
      <c r="O2159" s="12"/>
      <c r="P2159" s="12"/>
      <c r="Q2159" s="12"/>
      <c r="R2159" s="12"/>
      <c r="S2159" s="12"/>
      <c r="T2159" s="12"/>
      <c r="U2159" s="12"/>
      <c r="V2159" s="12"/>
      <c r="W2159" s="12"/>
      <c r="X2159" s="12"/>
      <c r="Y2159" s="12"/>
      <c r="Z2159" s="12"/>
      <c r="AA2159" s="12"/>
    </row>
    <row r="2160" ht="26.25" customHeight="1">
      <c r="A2160" s="34" t="s">
        <v>4330</v>
      </c>
      <c r="B2160" s="35" t="s">
        <v>4331</v>
      </c>
      <c r="C2160" s="36">
        <v>3.0</v>
      </c>
      <c r="D2160" s="37">
        <v>33.0</v>
      </c>
      <c r="E2160" s="37">
        <v>8.0</v>
      </c>
      <c r="F2160" s="24" t="str">
        <f t="array" ref="F2160">"https://www.google.com/maps/search/?api=1&amp;query=" &amp; A2160 &amp; "," &amp; B2160</f>
        <v>https://www.google.com/maps/search/?api=1&amp;query=-30.89087708655570,-55.54561382077840</v>
      </c>
      <c r="G2160" s="25" t="str">
        <f t="array" ref="G2160">"https://earth.google.com/web/search/" &amp; A2160 &amp; "," &amp; B2160</f>
        <v>https://earth.google.com/web/search/-30.89087708655570,-55.54561382077840</v>
      </c>
      <c r="H2160" s="12"/>
      <c r="I2160" s="12"/>
      <c r="J2160" s="12"/>
      <c r="K2160" s="12"/>
      <c r="L2160" s="12"/>
      <c r="M2160" s="12"/>
      <c r="N2160" s="12"/>
      <c r="O2160" s="12"/>
      <c r="P2160" s="12"/>
      <c r="Q2160" s="12"/>
      <c r="R2160" s="12"/>
      <c r="S2160" s="12"/>
      <c r="T2160" s="12"/>
      <c r="U2160" s="12"/>
      <c r="V2160" s="12"/>
      <c r="W2160" s="12"/>
      <c r="X2160" s="12"/>
      <c r="Y2160" s="12"/>
      <c r="Z2160" s="12"/>
      <c r="AA2160" s="12"/>
    </row>
    <row r="2161" ht="26.25" customHeight="1">
      <c r="A2161" s="28" t="s">
        <v>4332</v>
      </c>
      <c r="B2161" s="29" t="s">
        <v>4333</v>
      </c>
      <c r="C2161" s="30">
        <v>3.0</v>
      </c>
      <c r="D2161" s="31">
        <v>33.0</v>
      </c>
      <c r="E2161" s="31">
        <v>9.0</v>
      </c>
      <c r="F2161" s="32" t="str">
        <f t="array" ref="F2161">"https://www.google.com/maps/search/?api=1&amp;query=" &amp; A2161 &amp; "," &amp; B2161</f>
        <v>https://www.google.com/maps/search/?api=1&amp;query=-30.89076194834430,-55.54581275125070</v>
      </c>
      <c r="G2161" s="33" t="str">
        <f t="array" ref="G2161">"https://earth.google.com/web/search/" &amp; A2161 &amp; "," &amp; B2161</f>
        <v>https://earth.google.com/web/search/-30.89076194834430,-55.54581275125070</v>
      </c>
      <c r="H2161" s="12"/>
      <c r="I2161" s="12"/>
      <c r="J2161" s="12"/>
      <c r="K2161" s="12"/>
      <c r="L2161" s="12"/>
      <c r="M2161" s="12"/>
      <c r="N2161" s="12"/>
      <c r="O2161" s="12"/>
      <c r="P2161" s="12"/>
      <c r="Q2161" s="12"/>
      <c r="R2161" s="12"/>
      <c r="S2161" s="12"/>
      <c r="T2161" s="12"/>
      <c r="U2161" s="12"/>
      <c r="V2161" s="12"/>
      <c r="W2161" s="12"/>
      <c r="X2161" s="12"/>
      <c r="Y2161" s="12"/>
      <c r="Z2161" s="12"/>
      <c r="AA2161" s="12"/>
    </row>
    <row r="2162" ht="26.25" customHeight="1">
      <c r="A2162" s="34" t="s">
        <v>4334</v>
      </c>
      <c r="B2162" s="35" t="s">
        <v>4335</v>
      </c>
      <c r="C2162" s="36">
        <v>3.0</v>
      </c>
      <c r="D2162" s="37">
        <v>58.0</v>
      </c>
      <c r="E2162" s="37">
        <v>1.0</v>
      </c>
      <c r="F2162" s="24" t="str">
        <f t="array" ref="F2162">"https://www.google.com/maps/search/?api=1&amp;query=" &amp; A2162 &amp; "," &amp; B2162</f>
        <v>https://www.google.com/maps/search/?api=1&amp;query=-30.89180562433270,-55.54659553977190</v>
      </c>
      <c r="G2162" s="25" t="str">
        <f t="array" ref="G2162">"https://earth.google.com/web/search/" &amp; A2162 &amp; "," &amp; B2162</f>
        <v>https://earth.google.com/web/search/-30.89180562433270,-55.54659553977190</v>
      </c>
      <c r="H2162" s="12"/>
      <c r="I2162" s="12"/>
      <c r="J2162" s="12"/>
      <c r="K2162" s="12"/>
      <c r="L2162" s="12"/>
      <c r="M2162" s="12"/>
      <c r="N2162" s="12"/>
      <c r="O2162" s="12"/>
      <c r="P2162" s="12"/>
      <c r="Q2162" s="12"/>
      <c r="R2162" s="12"/>
      <c r="S2162" s="12"/>
      <c r="T2162" s="12"/>
      <c r="U2162" s="12"/>
      <c r="V2162" s="12"/>
      <c r="W2162" s="12"/>
      <c r="X2162" s="12"/>
      <c r="Y2162" s="12"/>
      <c r="Z2162" s="12"/>
      <c r="AA2162" s="12"/>
    </row>
    <row r="2163" ht="26.25" customHeight="1">
      <c r="A2163" s="28" t="s">
        <v>4336</v>
      </c>
      <c r="B2163" s="29" t="s">
        <v>4337</v>
      </c>
      <c r="C2163" s="30">
        <v>3.0</v>
      </c>
      <c r="D2163" s="31">
        <v>58.0</v>
      </c>
      <c r="E2163" s="31">
        <v>2.0</v>
      </c>
      <c r="F2163" s="32" t="str">
        <f t="array" ref="F2163">"https://www.google.com/maps/search/?api=1&amp;query=" &amp; A2163 &amp; "," &amp; B2163</f>
        <v>https://www.google.com/maps/search/?api=1&amp;query=-30.89190570662990,-55.54666254472530</v>
      </c>
      <c r="G2163" s="33" t="str">
        <f t="array" ref="G2163">"https://earth.google.com/web/search/" &amp; A2163 &amp; "," &amp; B2163</f>
        <v>https://earth.google.com/web/search/-30.89190570662990,-55.54666254472530</v>
      </c>
      <c r="H2163" s="12"/>
      <c r="I2163" s="12"/>
      <c r="J2163" s="12"/>
      <c r="K2163" s="12"/>
      <c r="L2163" s="12"/>
      <c r="M2163" s="12"/>
      <c r="N2163" s="12"/>
      <c r="O2163" s="12"/>
      <c r="P2163" s="12"/>
      <c r="Q2163" s="12"/>
      <c r="R2163" s="12"/>
      <c r="S2163" s="12"/>
      <c r="T2163" s="12"/>
      <c r="U2163" s="12"/>
      <c r="V2163" s="12"/>
      <c r="W2163" s="12"/>
      <c r="X2163" s="12"/>
      <c r="Y2163" s="12"/>
      <c r="Z2163" s="12"/>
      <c r="AA2163" s="12"/>
    </row>
    <row r="2164" ht="26.25" customHeight="1">
      <c r="A2164" s="34" t="s">
        <v>4338</v>
      </c>
      <c r="B2164" s="35" t="s">
        <v>4339</v>
      </c>
      <c r="C2164" s="36">
        <v>3.0</v>
      </c>
      <c r="D2164" s="37">
        <v>58.0</v>
      </c>
      <c r="E2164" s="37">
        <v>3.0</v>
      </c>
      <c r="F2164" s="24" t="str">
        <f t="array" ref="F2164">"https://www.google.com/maps/search/?api=1&amp;query=" &amp; A2164 &amp; "," &amp; B2164</f>
        <v>https://www.google.com/maps/search/?api=1&amp;query=-30.89202995079250,-55.54657929022500</v>
      </c>
      <c r="G2164" s="25" t="str">
        <f t="array" ref="G2164">"https://earth.google.com/web/search/" &amp; A2164 &amp; "," &amp; B2164</f>
        <v>https://earth.google.com/web/search/-30.89202995079250,-55.54657929022500</v>
      </c>
      <c r="H2164" s="12"/>
      <c r="I2164" s="12"/>
      <c r="J2164" s="12"/>
      <c r="K2164" s="12"/>
      <c r="L2164" s="12"/>
      <c r="M2164" s="12"/>
      <c r="N2164" s="12"/>
      <c r="O2164" s="12"/>
      <c r="P2164" s="12"/>
      <c r="Q2164" s="12"/>
      <c r="R2164" s="12"/>
      <c r="S2164" s="12"/>
      <c r="T2164" s="12"/>
      <c r="U2164" s="12"/>
      <c r="V2164" s="12"/>
      <c r="W2164" s="12"/>
      <c r="X2164" s="12"/>
      <c r="Y2164" s="12"/>
      <c r="Z2164" s="12"/>
      <c r="AA2164" s="12"/>
    </row>
    <row r="2165" ht="26.25" customHeight="1">
      <c r="A2165" s="28" t="s">
        <v>4340</v>
      </c>
      <c r="B2165" s="29" t="s">
        <v>4341</v>
      </c>
      <c r="C2165" s="30">
        <v>3.0</v>
      </c>
      <c r="D2165" s="31">
        <v>58.0</v>
      </c>
      <c r="E2165" s="31">
        <v>4.0</v>
      </c>
      <c r="F2165" s="32" t="str">
        <f t="array" ref="F2165">"https://www.google.com/maps/search/?api=1&amp;query=" &amp; A2165 &amp; "," &amp; B2165</f>
        <v>https://www.google.com/maps/search/?api=1&amp;query=-30.89222819175530,-55.54616290645920</v>
      </c>
      <c r="G2165" s="33" t="str">
        <f t="array" ref="G2165">"https://earth.google.com/web/search/" &amp; A2165 &amp; "," &amp; B2165</f>
        <v>https://earth.google.com/web/search/-30.89222819175530,-55.54616290645920</v>
      </c>
      <c r="H2165" s="12"/>
      <c r="I2165" s="12"/>
      <c r="J2165" s="12"/>
      <c r="K2165" s="12"/>
      <c r="L2165" s="12"/>
      <c r="M2165" s="12"/>
      <c r="N2165" s="12"/>
      <c r="O2165" s="12"/>
      <c r="P2165" s="12"/>
      <c r="Q2165" s="12"/>
      <c r="R2165" s="12"/>
      <c r="S2165" s="12"/>
      <c r="T2165" s="12"/>
      <c r="U2165" s="12"/>
      <c r="V2165" s="12"/>
      <c r="W2165" s="12"/>
      <c r="X2165" s="12"/>
      <c r="Y2165" s="12"/>
      <c r="Z2165" s="12"/>
      <c r="AA2165" s="12"/>
    </row>
    <row r="2166" ht="26.25" customHeight="1">
      <c r="A2166" s="34" t="s">
        <v>4342</v>
      </c>
      <c r="B2166" s="35" t="s">
        <v>4343</v>
      </c>
      <c r="C2166" s="36">
        <v>3.0</v>
      </c>
      <c r="D2166" s="37">
        <v>58.0</v>
      </c>
      <c r="E2166" s="37">
        <v>5.0</v>
      </c>
      <c r="F2166" s="24" t="str">
        <f t="array" ref="F2166">"https://www.google.com/maps/search/?api=1&amp;query=" &amp; A2166 &amp; "," &amp; B2166</f>
        <v>https://www.google.com/maps/search/?api=1&amp;query=-30.89136064309450,-55.54599929992440</v>
      </c>
      <c r="G2166" s="25" t="str">
        <f t="array" ref="G2166">"https://earth.google.com/web/search/" &amp; A2166 &amp; "," &amp; B2166</f>
        <v>https://earth.google.com/web/search/-30.89136064309450,-55.54599929992440</v>
      </c>
      <c r="H2166" s="12"/>
      <c r="I2166" s="12"/>
      <c r="J2166" s="12"/>
      <c r="K2166" s="12"/>
      <c r="L2166" s="12"/>
      <c r="M2166" s="12"/>
      <c r="N2166" s="12"/>
      <c r="O2166" s="12"/>
      <c r="P2166" s="12"/>
      <c r="Q2166" s="12"/>
      <c r="R2166" s="12"/>
      <c r="S2166" s="12"/>
      <c r="T2166" s="12"/>
      <c r="U2166" s="12"/>
      <c r="V2166" s="12"/>
      <c r="W2166" s="12"/>
      <c r="X2166" s="12"/>
      <c r="Y2166" s="12"/>
      <c r="Z2166" s="12"/>
      <c r="AA2166" s="12"/>
    </row>
    <row r="2167" ht="26.25" customHeight="1">
      <c r="A2167" s="28" t="s">
        <v>4344</v>
      </c>
      <c r="B2167" s="29" t="s">
        <v>4345</v>
      </c>
      <c r="C2167" s="30">
        <v>3.0</v>
      </c>
      <c r="D2167" s="31">
        <v>59.0</v>
      </c>
      <c r="E2167" s="31">
        <v>1.0</v>
      </c>
      <c r="F2167" s="32" t="str">
        <f t="array" ref="F2167">"https://www.google.com/maps/search/?api=1&amp;query=" &amp; A2167 &amp; "," &amp; B2167</f>
        <v>https://www.google.com/maps/search/?api=1&amp;query=-30.89245677951730,-5.55457265277726</v>
      </c>
      <c r="G2167" s="33" t="str">
        <f t="array" ref="G2167">"https://earth.google.com/web/search/" &amp; A2167 &amp; "," &amp; B2167</f>
        <v>https://earth.google.com/web/search/-30.89245677951730,-5.55457265277726</v>
      </c>
      <c r="H2167" s="12"/>
      <c r="I2167" s="12"/>
      <c r="J2167" s="12"/>
      <c r="K2167" s="12"/>
      <c r="L2167" s="12"/>
      <c r="M2167" s="12"/>
      <c r="N2167" s="12"/>
      <c r="O2167" s="12"/>
      <c r="P2167" s="12"/>
      <c r="Q2167" s="12"/>
      <c r="R2167" s="12"/>
      <c r="S2167" s="12"/>
      <c r="T2167" s="12"/>
      <c r="U2167" s="12"/>
      <c r="V2167" s="12"/>
      <c r="W2167" s="12"/>
      <c r="X2167" s="12"/>
      <c r="Y2167" s="12"/>
      <c r="Z2167" s="12"/>
      <c r="AA2167" s="12"/>
    </row>
    <row r="2168" ht="26.25" customHeight="1">
      <c r="A2168" s="34" t="s">
        <v>4346</v>
      </c>
      <c r="B2168" s="35" t="s">
        <v>4347</v>
      </c>
      <c r="C2168" s="36">
        <v>3.0</v>
      </c>
      <c r="D2168" s="37">
        <v>59.0</v>
      </c>
      <c r="E2168" s="37">
        <v>2.0</v>
      </c>
      <c r="F2168" s="24" t="str">
        <f t="array" ref="F2168">"https://www.google.com/maps/search/?api=1&amp;query=" &amp; A2168 &amp; "," &amp; B2168</f>
        <v>https://www.google.com/maps/search/?api=1&amp;query=-30.89249451549760,-55.54564252261110</v>
      </c>
      <c r="G2168" s="25" t="str">
        <f t="array" ref="G2168">"https://earth.google.com/web/search/" &amp; A2168 &amp; "," &amp; B2168</f>
        <v>https://earth.google.com/web/search/-30.89249451549760,-55.54564252261110</v>
      </c>
      <c r="H2168" s="12"/>
      <c r="I2168" s="12"/>
      <c r="J2168" s="12"/>
      <c r="K2168" s="12"/>
      <c r="L2168" s="12"/>
      <c r="M2168" s="12"/>
      <c r="N2168" s="12"/>
      <c r="O2168" s="12"/>
      <c r="P2168" s="12"/>
      <c r="Q2168" s="12"/>
      <c r="R2168" s="12"/>
      <c r="S2168" s="12"/>
      <c r="T2168" s="12"/>
      <c r="U2168" s="12"/>
      <c r="V2168" s="12"/>
      <c r="W2168" s="12"/>
      <c r="X2168" s="12"/>
      <c r="Y2168" s="12"/>
      <c r="Z2168" s="12"/>
      <c r="AA2168" s="12"/>
    </row>
    <row r="2169" ht="26.25" customHeight="1">
      <c r="A2169" s="28" t="s">
        <v>4348</v>
      </c>
      <c r="B2169" s="29" t="s">
        <v>4349</v>
      </c>
      <c r="C2169" s="30">
        <v>3.0</v>
      </c>
      <c r="D2169" s="31">
        <v>59.0</v>
      </c>
      <c r="E2169" s="31">
        <v>3.0</v>
      </c>
      <c r="F2169" s="32" t="str">
        <f t="array" ref="F2169">"https://www.google.com/maps/search/?api=1&amp;query=" &amp; A2169 &amp; "," &amp; B2169</f>
        <v>https://www.google.com/maps/search/?api=1&amp;query=-30.89262348007540,-55.54541511109260</v>
      </c>
      <c r="G2169" s="33" t="str">
        <f t="array" ref="G2169">"https://earth.google.com/web/search/" &amp; A2169 &amp; "," &amp; B2169</f>
        <v>https://earth.google.com/web/search/-30.89262348007540,-55.54541511109260</v>
      </c>
      <c r="H2169" s="12"/>
      <c r="I2169" s="12"/>
      <c r="J2169" s="12"/>
      <c r="K2169" s="12"/>
      <c r="L2169" s="12"/>
      <c r="M2169" s="12"/>
      <c r="N2169" s="12"/>
      <c r="O2169" s="12"/>
      <c r="P2169" s="12"/>
      <c r="Q2169" s="12"/>
      <c r="R2169" s="12"/>
      <c r="S2169" s="12"/>
      <c r="T2169" s="12"/>
      <c r="U2169" s="12"/>
      <c r="V2169" s="12"/>
      <c r="W2169" s="12"/>
      <c r="X2169" s="12"/>
      <c r="Y2169" s="12"/>
      <c r="Z2169" s="12"/>
      <c r="AA2169" s="12"/>
    </row>
    <row r="2170" ht="26.25" customHeight="1">
      <c r="A2170" s="34" t="s">
        <v>4350</v>
      </c>
      <c r="B2170" s="35" t="s">
        <v>4351</v>
      </c>
      <c r="C2170" s="36">
        <v>3.0</v>
      </c>
      <c r="D2170" s="37">
        <v>59.0</v>
      </c>
      <c r="E2170" s="37">
        <v>4.0</v>
      </c>
      <c r="F2170" s="24" t="str">
        <f t="array" ref="F2170">"https://www.google.com/maps/search/?api=1&amp;query=" &amp; A2170 &amp; "," &amp; B2170</f>
        <v>https://www.google.com/maps/search/?api=1&amp;query=-3.08927135280893,-5.55453384490723</v>
      </c>
      <c r="G2170" s="25" t="str">
        <f t="array" ref="G2170">"https://earth.google.com/web/search/" &amp; A2170 &amp; "," &amp; B2170</f>
        <v>https://earth.google.com/web/search/-3.08927135280893,-5.55453384490723</v>
      </c>
      <c r="H2170" s="12"/>
      <c r="I2170" s="12"/>
      <c r="J2170" s="12"/>
      <c r="K2170" s="12"/>
      <c r="L2170" s="12"/>
      <c r="M2170" s="12"/>
      <c r="N2170" s="12"/>
      <c r="O2170" s="12"/>
      <c r="P2170" s="12"/>
      <c r="Q2170" s="12"/>
      <c r="R2170" s="12"/>
      <c r="S2170" s="12"/>
      <c r="T2170" s="12"/>
      <c r="U2170" s="12"/>
      <c r="V2170" s="12"/>
      <c r="W2170" s="12"/>
      <c r="X2170" s="12"/>
      <c r="Y2170" s="12"/>
      <c r="Z2170" s="12"/>
      <c r="AA2170" s="12"/>
    </row>
    <row r="2171" ht="26.25" customHeight="1">
      <c r="A2171" s="28" t="s">
        <v>4352</v>
      </c>
      <c r="B2171" s="29" t="s">
        <v>4353</v>
      </c>
      <c r="C2171" s="30">
        <v>3.0</v>
      </c>
      <c r="D2171" s="31">
        <v>59.0</v>
      </c>
      <c r="E2171" s="31">
        <v>5.0</v>
      </c>
      <c r="F2171" s="32" t="str">
        <f t="array" ref="F2171">"https://www.google.com/maps/search/?api=1&amp;query=" &amp; A2171 &amp; "," &amp; B2171</f>
        <v>https://www.google.com/maps/search/?api=1&amp;query=-30.89273984037220,-55.54526536903920</v>
      </c>
      <c r="G2171" s="33" t="str">
        <f t="array" ref="G2171">"https://earth.google.com/web/search/" &amp; A2171 &amp; "," &amp; B2171</f>
        <v>https://earth.google.com/web/search/-30.89273984037220,-55.54526536903920</v>
      </c>
      <c r="H2171" s="12"/>
      <c r="I2171" s="12"/>
      <c r="J2171" s="12"/>
      <c r="K2171" s="12"/>
      <c r="L2171" s="12"/>
      <c r="M2171" s="12"/>
      <c r="N2171" s="12"/>
      <c r="O2171" s="12"/>
      <c r="P2171" s="12"/>
      <c r="Q2171" s="12"/>
      <c r="R2171" s="12"/>
      <c r="S2171" s="12"/>
      <c r="T2171" s="12"/>
      <c r="U2171" s="12"/>
      <c r="V2171" s="12"/>
      <c r="W2171" s="12"/>
      <c r="X2171" s="12"/>
      <c r="Y2171" s="12"/>
      <c r="Z2171" s="12"/>
      <c r="AA2171" s="12"/>
    </row>
    <row r="2172" ht="26.25" customHeight="1">
      <c r="A2172" s="34" t="s">
        <v>4354</v>
      </c>
      <c r="B2172" s="35" t="s">
        <v>4355</v>
      </c>
      <c r="C2172" s="36">
        <v>3.0</v>
      </c>
      <c r="D2172" s="37">
        <v>59.0</v>
      </c>
      <c r="E2172" s="37">
        <v>6.0</v>
      </c>
      <c r="F2172" s="24" t="str">
        <f t="array" ref="F2172">"https://www.google.com/maps/search/?api=1&amp;query=" &amp; A2172 &amp; "," &amp; B2172</f>
        <v>https://www.google.com/maps/search/?api=1&amp;query=-30.89276827984980,-55.54519605303720</v>
      </c>
      <c r="G2172" s="25" t="str">
        <f t="array" ref="G2172">"https://earth.google.com/web/search/" &amp; A2172 &amp; "," &amp; B2172</f>
        <v>https://earth.google.com/web/search/-30.89276827984980,-55.54519605303720</v>
      </c>
      <c r="H2172" s="12"/>
      <c r="I2172" s="12"/>
      <c r="J2172" s="12"/>
      <c r="K2172" s="12"/>
      <c r="L2172" s="12"/>
      <c r="M2172" s="12"/>
      <c r="N2172" s="12"/>
      <c r="O2172" s="12"/>
      <c r="P2172" s="12"/>
      <c r="Q2172" s="12"/>
      <c r="R2172" s="12"/>
      <c r="S2172" s="12"/>
      <c r="T2172" s="12"/>
      <c r="U2172" s="12"/>
      <c r="V2172" s="12"/>
      <c r="W2172" s="12"/>
      <c r="X2172" s="12"/>
      <c r="Y2172" s="12"/>
      <c r="Z2172" s="12"/>
      <c r="AA2172" s="12"/>
    </row>
    <row r="2173" ht="26.25" customHeight="1">
      <c r="A2173" s="28" t="s">
        <v>4356</v>
      </c>
      <c r="B2173" s="29" t="s">
        <v>4357</v>
      </c>
      <c r="C2173" s="30">
        <v>3.0</v>
      </c>
      <c r="D2173" s="31">
        <v>59.0</v>
      </c>
      <c r="E2173" s="31">
        <v>7.0</v>
      </c>
      <c r="F2173" s="32" t="str">
        <f t="array" ref="F2173">"https://www.google.com/maps/search/?api=1&amp;query=" &amp; A2173 &amp; "," &amp; B2173</f>
        <v>https://www.google.com/maps/search/?api=1&amp;query=-30.89277978082680,-55.54512462582060</v>
      </c>
      <c r="G2173" s="33" t="str">
        <f t="array" ref="G2173">"https://earth.google.com/web/search/" &amp; A2173 &amp; "," &amp; B2173</f>
        <v>https://earth.google.com/web/search/-30.89277978082680,-55.54512462582060</v>
      </c>
      <c r="H2173" s="12"/>
      <c r="I2173" s="12"/>
      <c r="J2173" s="12"/>
      <c r="K2173" s="12"/>
      <c r="L2173" s="12"/>
      <c r="M2173" s="12"/>
      <c r="N2173" s="12"/>
      <c r="O2173" s="12"/>
      <c r="P2173" s="12"/>
      <c r="Q2173" s="12"/>
      <c r="R2173" s="12"/>
      <c r="S2173" s="12"/>
      <c r="T2173" s="12"/>
      <c r="U2173" s="12"/>
      <c r="V2173" s="12"/>
      <c r="W2173" s="12"/>
      <c r="X2173" s="12"/>
      <c r="Y2173" s="12"/>
      <c r="Z2173" s="12"/>
      <c r="AA2173" s="12"/>
    </row>
    <row r="2174" ht="26.25" customHeight="1">
      <c r="A2174" s="34" t="s">
        <v>4358</v>
      </c>
      <c r="B2174" s="35" t="s">
        <v>4359</v>
      </c>
      <c r="C2174" s="36">
        <v>3.0</v>
      </c>
      <c r="D2174" s="37">
        <v>59.0</v>
      </c>
      <c r="E2174" s="37">
        <v>8.0</v>
      </c>
      <c r="F2174" s="24" t="str">
        <f t="array" ref="F2174">"https://www.google.com/maps/search/?api=1&amp;query=" &amp; A2174 &amp; "," &amp; B2174</f>
        <v>https://www.google.com/maps/search/?api=1&amp;query=-3.08928187770613,-55.54504612847770</v>
      </c>
      <c r="G2174" s="25" t="str">
        <f t="array" ref="G2174">"https://earth.google.com/web/search/" &amp; A2174 &amp; "," &amp; B2174</f>
        <v>https://earth.google.com/web/search/-3.08928187770613,-55.54504612847770</v>
      </c>
      <c r="H2174" s="12"/>
      <c r="I2174" s="12"/>
      <c r="J2174" s="12"/>
      <c r="K2174" s="12"/>
      <c r="L2174" s="12"/>
      <c r="M2174" s="12"/>
      <c r="N2174" s="12"/>
      <c r="O2174" s="12"/>
      <c r="P2174" s="12"/>
      <c r="Q2174" s="12"/>
      <c r="R2174" s="12"/>
      <c r="S2174" s="12"/>
      <c r="T2174" s="12"/>
      <c r="U2174" s="12"/>
      <c r="V2174" s="12"/>
      <c r="W2174" s="12"/>
      <c r="X2174" s="12"/>
      <c r="Y2174" s="12"/>
      <c r="Z2174" s="12"/>
      <c r="AA2174" s="12"/>
    </row>
    <row r="2175" ht="26.25" customHeight="1">
      <c r="A2175" s="28" t="s">
        <v>4360</v>
      </c>
      <c r="B2175" s="29" t="s">
        <v>4361</v>
      </c>
      <c r="C2175" s="30">
        <v>3.0</v>
      </c>
      <c r="D2175" s="31">
        <v>59.0</v>
      </c>
      <c r="E2175" s="31">
        <v>9.0</v>
      </c>
      <c r="F2175" s="32" t="str">
        <f t="array" ref="F2175">"https://www.google.com/maps/search/?api=1&amp;query=" &amp; A2175 &amp; "," &amp; B2175</f>
        <v>https://www.google.com/maps/search/?api=1&amp;query=-30.89241610595250,-55.54464172575020</v>
      </c>
      <c r="G2175" s="33" t="str">
        <f t="array" ref="G2175">"https://earth.google.com/web/search/" &amp; A2175 &amp; "," &amp; B2175</f>
        <v>https://earth.google.com/web/search/-30.89241610595250,-55.54464172575020</v>
      </c>
      <c r="H2175" s="12"/>
      <c r="I2175" s="12"/>
      <c r="J2175" s="12"/>
      <c r="K2175" s="12"/>
      <c r="L2175" s="12"/>
      <c r="M2175" s="12"/>
      <c r="N2175" s="12"/>
      <c r="O2175" s="12"/>
      <c r="P2175" s="12"/>
      <c r="Q2175" s="12"/>
      <c r="R2175" s="12"/>
      <c r="S2175" s="12"/>
      <c r="T2175" s="12"/>
      <c r="U2175" s="12"/>
      <c r="V2175" s="12"/>
      <c r="W2175" s="12"/>
      <c r="X2175" s="12"/>
      <c r="Y2175" s="12"/>
      <c r="Z2175" s="12"/>
      <c r="AA2175" s="12"/>
    </row>
    <row r="2176" ht="26.25" customHeight="1">
      <c r="A2176" s="34" t="s">
        <v>4362</v>
      </c>
      <c r="B2176" s="35" t="s">
        <v>4363</v>
      </c>
      <c r="C2176" s="36">
        <v>3.0</v>
      </c>
      <c r="D2176" s="37">
        <v>59.0</v>
      </c>
      <c r="E2176" s="37">
        <v>10.0</v>
      </c>
      <c r="F2176" s="24" t="str">
        <f t="array" ref="F2176">"https://www.google.com/maps/search/?api=1&amp;query=" &amp; A2176 &amp; "," &amp; B2176</f>
        <v>https://www.google.com/maps/search/?api=1&amp;query=-30.89233803040620,-55.54459371275380</v>
      </c>
      <c r="G2176" s="25" t="str">
        <f t="array" ref="G2176">"https://earth.google.com/web/search/" &amp; A2176 &amp; "," &amp; B2176</f>
        <v>https://earth.google.com/web/search/-30.89233803040620,-55.54459371275380</v>
      </c>
      <c r="H2176" s="12"/>
      <c r="I2176" s="12"/>
      <c r="J2176" s="12"/>
      <c r="K2176" s="12"/>
      <c r="L2176" s="12"/>
      <c r="M2176" s="12"/>
      <c r="N2176" s="12"/>
      <c r="O2176" s="12"/>
      <c r="P2176" s="12"/>
      <c r="Q2176" s="12"/>
      <c r="R2176" s="12"/>
      <c r="S2176" s="12"/>
      <c r="T2176" s="12"/>
      <c r="U2176" s="12"/>
      <c r="V2176" s="12"/>
      <c r="W2176" s="12"/>
      <c r="X2176" s="12"/>
      <c r="Y2176" s="12"/>
      <c r="Z2176" s="12"/>
      <c r="AA2176" s="12"/>
    </row>
    <row r="2177" ht="26.25" customHeight="1">
      <c r="A2177" s="28" t="s">
        <v>4364</v>
      </c>
      <c r="B2177" s="29" t="s">
        <v>4365</v>
      </c>
      <c r="C2177" s="30">
        <v>3.0</v>
      </c>
      <c r="D2177" s="31">
        <v>59.0</v>
      </c>
      <c r="E2177" s="31">
        <v>11.0</v>
      </c>
      <c r="F2177" s="32" t="str">
        <f t="array" ref="F2177">"https://www.google.com/maps/search/?api=1&amp;query=" &amp; A2177 &amp; "," &amp; B2177</f>
        <v>https://www.google.com/maps/search/?api=1&amp;query=-30.89228949889630,-55.54455864372500</v>
      </c>
      <c r="G2177" s="33" t="str">
        <f t="array" ref="G2177">"https://earth.google.com/web/search/" &amp; A2177 &amp; "," &amp; B2177</f>
        <v>https://earth.google.com/web/search/-30.89228949889630,-55.54455864372500</v>
      </c>
      <c r="H2177" s="12"/>
      <c r="I2177" s="12"/>
      <c r="J2177" s="12"/>
      <c r="K2177" s="12"/>
      <c r="L2177" s="12"/>
      <c r="M2177" s="12"/>
      <c r="N2177" s="12"/>
      <c r="O2177" s="12"/>
      <c r="P2177" s="12"/>
      <c r="Q2177" s="12"/>
      <c r="R2177" s="12"/>
      <c r="S2177" s="12"/>
      <c r="T2177" s="12"/>
      <c r="U2177" s="12"/>
      <c r="V2177" s="12"/>
      <c r="W2177" s="12"/>
      <c r="X2177" s="12"/>
      <c r="Y2177" s="12"/>
      <c r="Z2177" s="12"/>
      <c r="AA2177" s="12"/>
    </row>
    <row r="2178" ht="26.25" customHeight="1">
      <c r="A2178" s="34" t="s">
        <v>4366</v>
      </c>
      <c r="B2178" s="35" t="s">
        <v>4367</v>
      </c>
      <c r="C2178" s="36">
        <v>3.0</v>
      </c>
      <c r="D2178" s="37">
        <v>59.0</v>
      </c>
      <c r="E2178" s="37">
        <v>12.0</v>
      </c>
      <c r="F2178" s="24" t="str">
        <f t="array" ref="F2178">"https://www.google.com/maps/search/?api=1&amp;query=" &amp; A2178 &amp; "," &amp; B2178</f>
        <v>https://www.google.com/maps/search/?api=1&amp;query=-30.89209466362260,-55.54554105360390</v>
      </c>
      <c r="G2178" s="25" t="str">
        <f t="array" ref="G2178">"https://earth.google.com/web/search/" &amp; A2178 &amp; "," &amp; B2178</f>
        <v>https://earth.google.com/web/search/-30.89209466362260,-55.54554105360390</v>
      </c>
      <c r="H2178" s="12"/>
      <c r="I2178" s="12"/>
      <c r="J2178" s="12"/>
      <c r="K2178" s="12"/>
      <c r="L2178" s="12"/>
      <c r="M2178" s="12"/>
      <c r="N2178" s="12"/>
      <c r="O2178" s="12"/>
      <c r="P2178" s="12"/>
      <c r="Q2178" s="12"/>
      <c r="R2178" s="12"/>
      <c r="S2178" s="12"/>
      <c r="T2178" s="12"/>
      <c r="U2178" s="12"/>
      <c r="V2178" s="12"/>
      <c r="W2178" s="12"/>
      <c r="X2178" s="12"/>
      <c r="Y2178" s="12"/>
      <c r="Z2178" s="12"/>
      <c r="AA2178" s="12"/>
    </row>
    <row r="2179" ht="26.25" customHeight="1">
      <c r="A2179" s="28" t="s">
        <v>4368</v>
      </c>
      <c r="B2179" s="29" t="s">
        <v>4369</v>
      </c>
      <c r="C2179" s="30">
        <v>3.0</v>
      </c>
      <c r="D2179" s="31">
        <v>60.0</v>
      </c>
      <c r="E2179" s="31">
        <v>1.0</v>
      </c>
      <c r="F2179" s="32" t="str">
        <f t="array" ref="F2179">"https://www.google.com/maps/search/?api=1&amp;query=" &amp; A2179 &amp; "," &amp; B2179</f>
        <v>https://www.google.com/maps/search/?api=1&amp;query=-3.08929742921227,-55.54487389111150</v>
      </c>
      <c r="G2179" s="33" t="str">
        <f t="array" ref="G2179">"https://earth.google.com/web/search/" &amp; A2179 &amp; "," &amp; B2179</f>
        <v>https://earth.google.com/web/search/-3.08929742921227,-55.54487389111150</v>
      </c>
      <c r="H2179" s="12"/>
      <c r="I2179" s="12"/>
      <c r="J2179" s="12"/>
      <c r="K2179" s="12"/>
      <c r="L2179" s="12"/>
      <c r="M2179" s="12"/>
      <c r="N2179" s="12"/>
      <c r="O2179" s="12"/>
      <c r="P2179" s="12"/>
      <c r="Q2179" s="12"/>
      <c r="R2179" s="12"/>
      <c r="S2179" s="12"/>
      <c r="T2179" s="12"/>
      <c r="U2179" s="12"/>
      <c r="V2179" s="12"/>
      <c r="W2179" s="12"/>
      <c r="X2179" s="12"/>
      <c r="Y2179" s="12"/>
      <c r="Z2179" s="12"/>
      <c r="AA2179" s="12"/>
    </row>
    <row r="2180" ht="26.25" customHeight="1">
      <c r="A2180" s="34" t="s">
        <v>4370</v>
      </c>
      <c r="B2180" s="35" t="s">
        <v>4371</v>
      </c>
      <c r="C2180" s="36">
        <v>3.0</v>
      </c>
      <c r="D2180" s="37">
        <v>60.0</v>
      </c>
      <c r="E2180" s="37">
        <v>2.0</v>
      </c>
      <c r="F2180" s="24" t="str">
        <f t="array" ref="F2180">"https://www.google.com/maps/search/?api=1&amp;query=" &amp; A2180 &amp; "," &amp; B2180</f>
        <v>https://www.google.com/maps/search/?api=1&amp;query=-3.08929856350526,-55.54479071226590</v>
      </c>
      <c r="G2180" s="25" t="str">
        <f t="array" ref="G2180">"https://earth.google.com/web/search/" &amp; A2180 &amp; "," &amp; B2180</f>
        <v>https://earth.google.com/web/search/-3.08929856350526,-55.54479071226590</v>
      </c>
      <c r="H2180" s="12"/>
      <c r="I2180" s="12"/>
      <c r="J2180" s="12"/>
      <c r="K2180" s="12"/>
      <c r="L2180" s="12"/>
      <c r="M2180" s="12"/>
      <c r="N2180" s="12"/>
      <c r="O2180" s="12"/>
      <c r="P2180" s="12"/>
      <c r="Q2180" s="12"/>
      <c r="R2180" s="12"/>
      <c r="S2180" s="12"/>
      <c r="T2180" s="12"/>
      <c r="U2180" s="12"/>
      <c r="V2180" s="12"/>
      <c r="W2180" s="12"/>
      <c r="X2180" s="12"/>
      <c r="Y2180" s="12"/>
      <c r="Z2180" s="12"/>
      <c r="AA2180" s="12"/>
    </row>
    <row r="2181" ht="26.25" customHeight="1">
      <c r="A2181" s="28" t="s">
        <v>4372</v>
      </c>
      <c r="B2181" s="29" t="s">
        <v>4373</v>
      </c>
      <c r="C2181" s="30">
        <v>3.0</v>
      </c>
      <c r="D2181" s="31">
        <v>60.0</v>
      </c>
      <c r="E2181" s="31">
        <v>3.0</v>
      </c>
      <c r="F2181" s="32" t="str">
        <f t="array" ref="F2181">"https://www.google.com/maps/search/?api=1&amp;query=" &amp; A2181 &amp; "," &amp; B2181</f>
        <v>https://www.google.com/maps/search/?api=1&amp;query=-30.89304763555190,-55.54470211510080</v>
      </c>
      <c r="G2181" s="33" t="str">
        <f t="array" ref="G2181">"https://earth.google.com/web/search/" &amp; A2181 &amp; "," &amp; B2181</f>
        <v>https://earth.google.com/web/search/-30.89304763555190,-55.54470211510080</v>
      </c>
      <c r="H2181" s="12"/>
      <c r="I2181" s="12"/>
      <c r="J2181" s="12"/>
      <c r="K2181" s="12"/>
      <c r="L2181" s="12"/>
      <c r="M2181" s="12"/>
      <c r="N2181" s="12"/>
      <c r="O2181" s="12"/>
      <c r="P2181" s="12"/>
      <c r="Q2181" s="12"/>
      <c r="R2181" s="12"/>
      <c r="S2181" s="12"/>
      <c r="T2181" s="12"/>
      <c r="U2181" s="12"/>
      <c r="V2181" s="12"/>
      <c r="W2181" s="12"/>
      <c r="X2181" s="12"/>
      <c r="Y2181" s="12"/>
      <c r="Z2181" s="12"/>
      <c r="AA2181" s="12"/>
    </row>
    <row r="2182" ht="26.25" customHeight="1">
      <c r="A2182" s="34" t="s">
        <v>4374</v>
      </c>
      <c r="B2182" s="35" t="s">
        <v>4375</v>
      </c>
      <c r="C2182" s="36">
        <v>3.0</v>
      </c>
      <c r="D2182" s="37">
        <v>60.0</v>
      </c>
      <c r="E2182" s="37">
        <v>4.0</v>
      </c>
      <c r="F2182" s="24" t="str">
        <f t="array" ref="F2182">"https://www.google.com/maps/search/?api=1&amp;query=" &amp; A2182 &amp; "," &amp; B2182</f>
        <v>https://www.google.com/maps/search/?api=1&amp;query=-30.89318266221070,-55.54437398605940</v>
      </c>
      <c r="G2182" s="25" t="str">
        <f t="array" ref="G2182">"https://earth.google.com/web/search/" &amp; A2182 &amp; "," &amp; B2182</f>
        <v>https://earth.google.com/web/search/-30.89318266221070,-55.54437398605940</v>
      </c>
      <c r="H2182" s="12"/>
      <c r="I2182" s="12"/>
      <c r="J2182" s="12"/>
      <c r="K2182" s="12"/>
      <c r="L2182" s="12"/>
      <c r="M2182" s="12"/>
      <c r="N2182" s="12"/>
      <c r="O2182" s="12"/>
      <c r="P2182" s="12"/>
      <c r="Q2182" s="12"/>
      <c r="R2182" s="12"/>
      <c r="S2182" s="12"/>
      <c r="T2182" s="12"/>
      <c r="U2182" s="12"/>
      <c r="V2182" s="12"/>
      <c r="W2182" s="12"/>
      <c r="X2182" s="12"/>
      <c r="Y2182" s="12"/>
      <c r="Z2182" s="12"/>
      <c r="AA2182" s="12"/>
    </row>
    <row r="2183" ht="26.25" customHeight="1">
      <c r="A2183" s="28" t="s">
        <v>4376</v>
      </c>
      <c r="B2183" s="29" t="s">
        <v>4377</v>
      </c>
      <c r="C2183" s="30">
        <v>3.0</v>
      </c>
      <c r="D2183" s="31">
        <v>60.0</v>
      </c>
      <c r="E2183" s="31">
        <v>5.0</v>
      </c>
      <c r="F2183" s="32" t="str">
        <f t="array" ref="F2183">"https://www.google.com/maps/search/?api=1&amp;query=" &amp; A2183 &amp; "," &amp; B2183</f>
        <v>https://www.google.com/maps/search/?api=1&amp;query=-30.89324923155960,-55.54427216740220</v>
      </c>
      <c r="G2183" s="33" t="str">
        <f t="array" ref="G2183">"https://earth.google.com/web/search/" &amp; A2183 &amp; "," &amp; B2183</f>
        <v>https://earth.google.com/web/search/-30.89324923155960,-55.54427216740220</v>
      </c>
      <c r="H2183" s="12"/>
      <c r="I2183" s="12"/>
      <c r="J2183" s="12"/>
      <c r="K2183" s="12"/>
      <c r="L2183" s="12"/>
      <c r="M2183" s="12"/>
      <c r="N2183" s="12"/>
      <c r="O2183" s="12"/>
      <c r="P2183" s="12"/>
      <c r="Q2183" s="12"/>
      <c r="R2183" s="12"/>
      <c r="S2183" s="12"/>
      <c r="T2183" s="12"/>
      <c r="U2183" s="12"/>
      <c r="V2183" s="12"/>
      <c r="W2183" s="12"/>
      <c r="X2183" s="12"/>
      <c r="Y2183" s="12"/>
      <c r="Z2183" s="12"/>
      <c r="AA2183" s="12"/>
    </row>
    <row r="2184" ht="26.25" customHeight="1">
      <c r="A2184" s="34" t="s">
        <v>4378</v>
      </c>
      <c r="B2184" s="35" t="s">
        <v>4379</v>
      </c>
      <c r="C2184" s="36">
        <v>3.0</v>
      </c>
      <c r="D2184" s="37">
        <v>60.0</v>
      </c>
      <c r="E2184" s="37">
        <v>6.0</v>
      </c>
      <c r="F2184" s="24" t="str">
        <f t="array" ref="F2184">"https://www.google.com/maps/search/?api=1&amp;query=" &amp; A2184 &amp; "," &amp; B2184</f>
        <v>https://www.google.com/maps/search/?api=1&amp;query=-30.89328578428570,-5.55441664017157</v>
      </c>
      <c r="G2184" s="25" t="str">
        <f t="array" ref="G2184">"https://earth.google.com/web/search/" &amp; A2184 &amp; "," &amp; B2184</f>
        <v>https://earth.google.com/web/search/-30.89328578428570,-5.55441664017157</v>
      </c>
      <c r="H2184" s="12"/>
      <c r="I2184" s="12"/>
      <c r="J2184" s="12"/>
      <c r="K2184" s="12"/>
      <c r="L2184" s="12"/>
      <c r="M2184" s="12"/>
      <c r="N2184" s="12"/>
      <c r="O2184" s="12"/>
      <c r="P2184" s="12"/>
      <c r="Q2184" s="12"/>
      <c r="R2184" s="12"/>
      <c r="S2184" s="12"/>
      <c r="T2184" s="12"/>
      <c r="U2184" s="12"/>
      <c r="V2184" s="12"/>
      <c r="W2184" s="12"/>
      <c r="X2184" s="12"/>
      <c r="Y2184" s="12"/>
      <c r="Z2184" s="12"/>
      <c r="AA2184" s="12"/>
    </row>
    <row r="2185" ht="26.25" customHeight="1">
      <c r="A2185" s="28" t="s">
        <v>4380</v>
      </c>
      <c r="B2185" s="29" t="s">
        <v>4381</v>
      </c>
      <c r="C2185" s="30">
        <v>3.0</v>
      </c>
      <c r="D2185" s="31">
        <v>60.0</v>
      </c>
      <c r="E2185" s="31">
        <v>7.0</v>
      </c>
      <c r="F2185" s="32" t="str">
        <f t="array" ref="F2185">"https://www.google.com/maps/search/?api=1&amp;query=" &amp; A2185 &amp; "," &amp; B2185</f>
        <v>https://www.google.com/maps/search/?api=1&amp;query=-30.89334678849650,-5.55440928935779</v>
      </c>
      <c r="G2185" s="33" t="str">
        <f t="array" ref="G2185">"https://earth.google.com/web/search/" &amp; A2185 &amp; "," &amp; B2185</f>
        <v>https://earth.google.com/web/search/-30.89334678849650,-5.55440928935779</v>
      </c>
      <c r="H2185" s="12"/>
      <c r="I2185" s="12"/>
      <c r="J2185" s="12"/>
      <c r="K2185" s="12"/>
      <c r="L2185" s="12"/>
      <c r="M2185" s="12"/>
      <c r="N2185" s="12"/>
      <c r="O2185" s="12"/>
      <c r="P2185" s="12"/>
      <c r="Q2185" s="12"/>
      <c r="R2185" s="12"/>
      <c r="S2185" s="12"/>
      <c r="T2185" s="12"/>
      <c r="U2185" s="12"/>
      <c r="V2185" s="12"/>
      <c r="W2185" s="12"/>
      <c r="X2185" s="12"/>
      <c r="Y2185" s="12"/>
      <c r="Z2185" s="12"/>
      <c r="AA2185" s="12"/>
    </row>
    <row r="2186" ht="26.25" customHeight="1">
      <c r="A2186" s="34" t="s">
        <v>4382</v>
      </c>
      <c r="B2186" s="35" t="s">
        <v>4383</v>
      </c>
      <c r="C2186" s="36">
        <v>3.0</v>
      </c>
      <c r="D2186" s="37">
        <v>60.0</v>
      </c>
      <c r="E2186" s="37">
        <v>8.0</v>
      </c>
      <c r="F2186" s="24" t="str">
        <f t="array" ref="F2186">"https://www.google.com/maps/search/?api=1&amp;query=" &amp; A2186 &amp; "," &amp; B2186</f>
        <v>https://www.google.com/maps/search/?api=1&amp;query=-30.89271754962610,-55.54357345910590</v>
      </c>
      <c r="G2186" s="25" t="str">
        <f t="array" ref="G2186">"https://earth.google.com/web/search/" &amp; A2186 &amp; "," &amp; B2186</f>
        <v>https://earth.google.com/web/search/-30.89271754962610,-55.54357345910590</v>
      </c>
      <c r="H2186" s="12"/>
      <c r="I2186" s="12"/>
      <c r="J2186" s="12"/>
      <c r="K2186" s="12"/>
      <c r="L2186" s="12"/>
      <c r="M2186" s="12"/>
      <c r="N2186" s="12"/>
      <c r="O2186" s="12"/>
      <c r="P2186" s="12"/>
      <c r="Q2186" s="12"/>
      <c r="R2186" s="12"/>
      <c r="S2186" s="12"/>
      <c r="T2186" s="12"/>
      <c r="U2186" s="12"/>
      <c r="V2186" s="12"/>
      <c r="W2186" s="12"/>
      <c r="X2186" s="12"/>
      <c r="Y2186" s="12"/>
      <c r="Z2186" s="12"/>
      <c r="AA2186" s="12"/>
    </row>
    <row r="2187" ht="26.25" customHeight="1">
      <c r="A2187" s="28" t="s">
        <v>4384</v>
      </c>
      <c r="B2187" s="29" t="s">
        <v>4385</v>
      </c>
      <c r="C2187" s="30">
        <v>3.0</v>
      </c>
      <c r="D2187" s="31">
        <v>60.0</v>
      </c>
      <c r="E2187" s="31">
        <v>9.0</v>
      </c>
      <c r="F2187" s="32" t="str">
        <f t="array" ref="F2187">"https://www.google.com/maps/search/?api=1&amp;query=" &amp; A2187 &amp; "," &amp; B2187</f>
        <v>https://www.google.com/maps/search/?api=1&amp;query=-30.89227492048100,-55.54442304397760</v>
      </c>
      <c r="G2187" s="33" t="str">
        <f t="array" ref="G2187">"https://earth.google.com/web/search/" &amp; A2187 &amp; "," &amp; B2187</f>
        <v>https://earth.google.com/web/search/-30.89227492048100,-55.54442304397760</v>
      </c>
      <c r="H2187" s="12"/>
      <c r="I2187" s="12"/>
      <c r="J2187" s="12"/>
      <c r="K2187" s="12"/>
      <c r="L2187" s="12"/>
      <c r="M2187" s="12"/>
      <c r="N2187" s="12"/>
      <c r="O2187" s="12"/>
      <c r="P2187" s="12"/>
      <c r="Q2187" s="12"/>
      <c r="R2187" s="12"/>
      <c r="S2187" s="12"/>
      <c r="T2187" s="12"/>
      <c r="U2187" s="12"/>
      <c r="V2187" s="12"/>
      <c r="W2187" s="12"/>
      <c r="X2187" s="12"/>
      <c r="Y2187" s="12"/>
      <c r="Z2187" s="12"/>
      <c r="AA2187" s="12"/>
    </row>
    <row r="2188" ht="26.25" customHeight="1">
      <c r="A2188" s="34" t="s">
        <v>4386</v>
      </c>
      <c r="B2188" s="35" t="s">
        <v>4387</v>
      </c>
      <c r="C2188" s="36">
        <v>3.0</v>
      </c>
      <c r="D2188" s="37">
        <v>60.0</v>
      </c>
      <c r="E2188" s="37">
        <v>10.0</v>
      </c>
      <c r="F2188" s="24" t="str">
        <f t="array" ref="F2188">"https://www.google.com/maps/search/?api=1&amp;query=" &amp; A2188 &amp; "," &amp; B2188</f>
        <v>https://www.google.com/maps/search/?api=1&amp;query=-30.89254767396620,-55.54463033732110</v>
      </c>
      <c r="G2188" s="25" t="str">
        <f t="array" ref="G2188">"https://earth.google.com/web/search/" &amp; A2188 &amp; "," &amp; B2188</f>
        <v>https://earth.google.com/web/search/-30.89254767396620,-55.54463033732110</v>
      </c>
      <c r="H2188" s="12"/>
      <c r="I2188" s="12"/>
      <c r="J2188" s="12"/>
      <c r="K2188" s="12"/>
      <c r="L2188" s="12"/>
      <c r="M2188" s="12"/>
      <c r="N2188" s="12"/>
      <c r="O2188" s="12"/>
      <c r="P2188" s="12"/>
      <c r="Q2188" s="12"/>
      <c r="R2188" s="12"/>
      <c r="S2188" s="12"/>
      <c r="T2188" s="12"/>
      <c r="U2188" s="12"/>
      <c r="V2188" s="12"/>
      <c r="W2188" s="12"/>
      <c r="X2188" s="12"/>
      <c r="Y2188" s="12"/>
      <c r="Z2188" s="12"/>
      <c r="AA2188" s="12"/>
    </row>
    <row r="2189" ht="26.25" customHeight="1">
      <c r="A2189" s="28" t="s">
        <v>4388</v>
      </c>
      <c r="B2189" s="29" t="s">
        <v>4389</v>
      </c>
      <c r="C2189" s="30">
        <v>3.0</v>
      </c>
      <c r="D2189" s="31">
        <v>60.0</v>
      </c>
      <c r="E2189" s="31">
        <v>11.0</v>
      </c>
      <c r="F2189" s="32" t="str">
        <f t="array" ref="F2189">"https://www.google.com/maps/search/?api=1&amp;query=" &amp; A2189 &amp; "," &amp; B2189</f>
        <v>https://www.google.com/maps/search/?api=1&amp;query=-30.89260526624830,-55.54469946693880</v>
      </c>
      <c r="G2189" s="33" t="str">
        <f t="array" ref="G2189">"https://earth.google.com/web/search/" &amp; A2189 &amp; "," &amp; B2189</f>
        <v>https://earth.google.com/web/search/-30.89260526624830,-55.54469946693880</v>
      </c>
      <c r="H2189" s="12"/>
      <c r="I2189" s="12"/>
      <c r="J2189" s="12"/>
      <c r="K2189" s="12"/>
      <c r="L2189" s="12"/>
      <c r="M2189" s="12"/>
      <c r="N2189" s="12"/>
      <c r="O2189" s="12"/>
      <c r="P2189" s="12"/>
      <c r="Q2189" s="12"/>
      <c r="R2189" s="12"/>
      <c r="S2189" s="12"/>
      <c r="T2189" s="12"/>
      <c r="U2189" s="12"/>
      <c r="V2189" s="12"/>
      <c r="W2189" s="12"/>
      <c r="X2189" s="12"/>
      <c r="Y2189" s="12"/>
      <c r="Z2189" s="12"/>
      <c r="AA2189" s="12"/>
    </row>
    <row r="2190" ht="26.25" customHeight="1">
      <c r="A2190" s="34" t="s">
        <v>4390</v>
      </c>
      <c r="B2190" s="35" t="s">
        <v>4391</v>
      </c>
      <c r="C2190" s="36">
        <v>3.0</v>
      </c>
      <c r="D2190" s="37">
        <v>60.0</v>
      </c>
      <c r="E2190" s="37">
        <v>12.0</v>
      </c>
      <c r="F2190" s="24" t="str">
        <f t="array" ref="F2190">"https://www.google.com/maps/search/?api=1&amp;query=" &amp; A2190 &amp; "," &amp; B2190</f>
        <v>https://www.google.com/maps/search/?api=1&amp;query=-30.89270508451050,-55.54468762051830</v>
      </c>
      <c r="G2190" s="25" t="str">
        <f t="array" ref="G2190">"https://earth.google.com/web/search/" &amp; A2190 &amp; "," &amp; B2190</f>
        <v>https://earth.google.com/web/search/-30.89270508451050,-55.54468762051830</v>
      </c>
      <c r="H2190" s="12"/>
      <c r="I2190" s="12"/>
      <c r="J2190" s="12"/>
      <c r="K2190" s="12"/>
      <c r="L2190" s="12"/>
      <c r="M2190" s="12"/>
      <c r="N2190" s="12"/>
      <c r="O2190" s="12"/>
      <c r="P2190" s="12"/>
      <c r="Q2190" s="12"/>
      <c r="R2190" s="12"/>
      <c r="S2190" s="12"/>
      <c r="T2190" s="12"/>
      <c r="U2190" s="12"/>
      <c r="V2190" s="12"/>
      <c r="W2190" s="12"/>
      <c r="X2190" s="12"/>
      <c r="Y2190" s="12"/>
      <c r="Z2190" s="12"/>
      <c r="AA2190" s="12"/>
    </row>
    <row r="2191" ht="26.25" customHeight="1">
      <c r="A2191" s="28" t="s">
        <v>4392</v>
      </c>
      <c r="B2191" s="29" t="s">
        <v>4393</v>
      </c>
      <c r="C2191" s="30">
        <v>3.0</v>
      </c>
      <c r="D2191" s="31">
        <v>60.0</v>
      </c>
      <c r="E2191" s="31">
        <v>13.0</v>
      </c>
      <c r="F2191" s="32" t="str">
        <f t="array" ref="F2191">"https://www.google.com/maps/search/?api=1&amp;query=" &amp; A2191 &amp; "," &amp; B2191</f>
        <v>https://www.google.com/maps/search/?api=1&amp;query=-30.89278969951860,-55.54475867741940</v>
      </c>
      <c r="G2191" s="33" t="str">
        <f t="array" ref="G2191">"https://earth.google.com/web/search/" &amp; A2191 &amp; "," &amp; B2191</f>
        <v>https://earth.google.com/web/search/-30.89278969951860,-55.54475867741940</v>
      </c>
      <c r="H2191" s="12"/>
      <c r="I2191" s="12"/>
      <c r="J2191" s="12"/>
      <c r="K2191" s="12"/>
      <c r="L2191" s="12"/>
      <c r="M2191" s="12"/>
      <c r="N2191" s="12"/>
      <c r="O2191" s="12"/>
      <c r="P2191" s="12"/>
      <c r="Q2191" s="12"/>
      <c r="R2191" s="12"/>
      <c r="S2191" s="12"/>
      <c r="T2191" s="12"/>
      <c r="U2191" s="12"/>
      <c r="V2191" s="12"/>
      <c r="W2191" s="12"/>
      <c r="X2191" s="12"/>
      <c r="Y2191" s="12"/>
      <c r="Z2191" s="12"/>
      <c r="AA2191" s="12"/>
    </row>
    <row r="2192" ht="26.25" customHeight="1">
      <c r="A2192" s="34" t="s">
        <v>4394</v>
      </c>
      <c r="B2192" s="35" t="s">
        <v>4395</v>
      </c>
      <c r="C2192" s="36">
        <v>3.0</v>
      </c>
      <c r="D2192" s="37">
        <v>60.0</v>
      </c>
      <c r="E2192" s="37">
        <v>14.0</v>
      </c>
      <c r="F2192" s="24" t="str">
        <f t="array" ref="F2192">"https://www.google.com/maps/search/?api=1&amp;query=" &amp; A2192 &amp; "," &amp; B2192</f>
        <v>https://www.google.com/maps/search/?api=1&amp;query=-30.89287407829320,-55.54483423309850</v>
      </c>
      <c r="G2192" s="25" t="str">
        <f t="array" ref="G2192">"https://earth.google.com/web/search/" &amp; A2192 &amp; "," &amp; B2192</f>
        <v>https://earth.google.com/web/search/-30.89287407829320,-55.54483423309850</v>
      </c>
      <c r="H2192" s="12"/>
      <c r="I2192" s="12"/>
      <c r="J2192" s="12"/>
      <c r="K2192" s="12"/>
      <c r="L2192" s="12"/>
      <c r="M2192" s="12"/>
      <c r="N2192" s="12"/>
      <c r="O2192" s="12"/>
      <c r="P2192" s="12"/>
      <c r="Q2192" s="12"/>
      <c r="R2192" s="12"/>
      <c r="S2192" s="12"/>
      <c r="T2192" s="12"/>
      <c r="U2192" s="12"/>
      <c r="V2192" s="12"/>
      <c r="W2192" s="12"/>
      <c r="X2192" s="12"/>
      <c r="Y2192" s="12"/>
      <c r="Z2192" s="12"/>
      <c r="AA2192" s="12"/>
    </row>
    <row r="2193" ht="26.25" customHeight="1">
      <c r="A2193" s="28" t="s">
        <v>4396</v>
      </c>
      <c r="B2193" s="29" t="s">
        <v>4397</v>
      </c>
      <c r="C2193" s="30">
        <v>3.0</v>
      </c>
      <c r="D2193" s="31">
        <v>61.0</v>
      </c>
      <c r="E2193" s="31">
        <v>1.0</v>
      </c>
      <c r="F2193" s="32" t="str">
        <f t="array" ref="F2193">"https://www.google.com/maps/search/?api=1&amp;query=" &amp; A2193 &amp; "," &amp; B2193</f>
        <v>https://www.google.com/maps/search/?api=1&amp;query=-30.89327272518930,-55.54385878864180</v>
      </c>
      <c r="G2193" s="33" t="str">
        <f t="array" ref="G2193">"https://earth.google.com/web/search/" &amp; A2193 &amp; "," &amp; B2193</f>
        <v>https://earth.google.com/web/search/-30.89327272518930,-55.54385878864180</v>
      </c>
      <c r="H2193" s="12"/>
      <c r="I2193" s="12"/>
      <c r="J2193" s="12"/>
      <c r="K2193" s="12"/>
      <c r="L2193" s="12"/>
      <c r="M2193" s="12"/>
      <c r="N2193" s="12"/>
      <c r="O2193" s="12"/>
      <c r="P2193" s="12"/>
      <c r="Q2193" s="12"/>
      <c r="R2193" s="12"/>
      <c r="S2193" s="12"/>
      <c r="T2193" s="12"/>
      <c r="U2193" s="12"/>
      <c r="V2193" s="12"/>
      <c r="W2193" s="12"/>
      <c r="X2193" s="12"/>
      <c r="Y2193" s="12"/>
      <c r="Z2193" s="12"/>
      <c r="AA2193" s="12"/>
    </row>
    <row r="2194" ht="26.25" customHeight="1">
      <c r="A2194" s="34" t="s">
        <v>4398</v>
      </c>
      <c r="B2194" s="35" t="s">
        <v>4399</v>
      </c>
      <c r="C2194" s="36">
        <v>3.0</v>
      </c>
      <c r="D2194" s="37">
        <v>61.0</v>
      </c>
      <c r="E2194" s="37">
        <v>2.0</v>
      </c>
      <c r="F2194" s="24" t="str">
        <f t="array" ref="F2194">"https://www.google.com/maps/search/?api=1&amp;query=" &amp; A2194 &amp; "," &amp; B2194</f>
        <v>https://www.google.com/maps/search/?api=1&amp;query=-30.89359817793230,-55.54360658419140</v>
      </c>
      <c r="G2194" s="25" t="str">
        <f t="array" ref="G2194">"https://earth.google.com/web/search/" &amp; A2194 &amp; "," &amp; B2194</f>
        <v>https://earth.google.com/web/search/-30.89359817793230,-55.54360658419140</v>
      </c>
      <c r="H2194" s="12"/>
      <c r="I2194" s="12"/>
      <c r="J2194" s="12"/>
      <c r="K2194" s="12"/>
      <c r="L2194" s="12"/>
      <c r="M2194" s="12"/>
      <c r="N2194" s="12"/>
      <c r="O2194" s="12"/>
      <c r="P2194" s="12"/>
      <c r="Q2194" s="12"/>
      <c r="R2194" s="12"/>
      <c r="S2194" s="12"/>
      <c r="T2194" s="12"/>
      <c r="U2194" s="12"/>
      <c r="V2194" s="12"/>
      <c r="W2194" s="12"/>
      <c r="X2194" s="12"/>
      <c r="Y2194" s="12"/>
      <c r="Z2194" s="12"/>
      <c r="AA2194" s="12"/>
    </row>
    <row r="2195" ht="26.25" customHeight="1">
      <c r="A2195" s="28" t="s">
        <v>4400</v>
      </c>
      <c r="B2195" s="29" t="s">
        <v>4401</v>
      </c>
      <c r="C2195" s="30">
        <v>3.0</v>
      </c>
      <c r="D2195" s="31">
        <v>61.0</v>
      </c>
      <c r="E2195" s="31">
        <v>3.0</v>
      </c>
      <c r="F2195" s="32" t="str">
        <f t="array" ref="F2195">"https://www.google.com/maps/search/?api=1&amp;query=" &amp; A2195 &amp; "," &amp; B2195</f>
        <v>https://www.google.com/maps/search/?api=1&amp;query=-30.89370236823780,-55.54340448967470</v>
      </c>
      <c r="G2195" s="33" t="str">
        <f t="array" ref="G2195">"https://earth.google.com/web/search/" &amp; A2195 &amp; "," &amp; B2195</f>
        <v>https://earth.google.com/web/search/-30.89370236823780,-55.54340448967470</v>
      </c>
      <c r="H2195" s="12"/>
      <c r="I2195" s="12"/>
      <c r="J2195" s="12"/>
      <c r="K2195" s="12"/>
      <c r="L2195" s="12"/>
      <c r="M2195" s="12"/>
      <c r="N2195" s="12"/>
      <c r="O2195" s="12"/>
      <c r="P2195" s="12"/>
      <c r="Q2195" s="12"/>
      <c r="R2195" s="12"/>
      <c r="S2195" s="12"/>
      <c r="T2195" s="12"/>
      <c r="U2195" s="12"/>
      <c r="V2195" s="12"/>
      <c r="W2195" s="12"/>
      <c r="X2195" s="12"/>
      <c r="Y2195" s="12"/>
      <c r="Z2195" s="12"/>
      <c r="AA2195" s="12"/>
    </row>
    <row r="2196" ht="26.25" customHeight="1">
      <c r="A2196" s="34" t="s">
        <v>4402</v>
      </c>
      <c r="B2196" s="35" t="s">
        <v>4403</v>
      </c>
      <c r="C2196" s="36">
        <v>3.0</v>
      </c>
      <c r="D2196" s="37">
        <v>61.0</v>
      </c>
      <c r="E2196" s="37">
        <v>4.0</v>
      </c>
      <c r="F2196" s="24" t="str">
        <f t="array" ref="F2196">"https://www.google.com/maps/search/?api=1&amp;query=" &amp; A2196 &amp; "," &amp; B2196</f>
        <v>https://www.google.com/maps/search/?api=1&amp;query=-30.89375933586840,-55.54311110480580</v>
      </c>
      <c r="G2196" s="25" t="str">
        <f t="array" ref="G2196">"https://earth.google.com/web/search/" &amp; A2196 &amp; "," &amp; B2196</f>
        <v>https://earth.google.com/web/search/-30.89375933586840,-55.54311110480580</v>
      </c>
      <c r="H2196" s="12"/>
      <c r="I2196" s="12"/>
      <c r="J2196" s="12"/>
      <c r="K2196" s="12"/>
      <c r="L2196" s="12"/>
      <c r="M2196" s="12"/>
      <c r="N2196" s="12"/>
      <c r="O2196" s="12"/>
      <c r="P2196" s="12"/>
      <c r="Q2196" s="12"/>
      <c r="R2196" s="12"/>
      <c r="S2196" s="12"/>
      <c r="T2196" s="12"/>
      <c r="U2196" s="12"/>
      <c r="V2196" s="12"/>
      <c r="W2196" s="12"/>
      <c r="X2196" s="12"/>
      <c r="Y2196" s="12"/>
      <c r="Z2196" s="12"/>
      <c r="AA2196" s="12"/>
    </row>
    <row r="2197" ht="26.25" customHeight="1">
      <c r="A2197" s="28" t="s">
        <v>4404</v>
      </c>
      <c r="B2197" s="29" t="s">
        <v>4405</v>
      </c>
      <c r="C2197" s="30">
        <v>3.0</v>
      </c>
      <c r="D2197" s="31">
        <v>61.0</v>
      </c>
      <c r="E2197" s="31">
        <v>5.0</v>
      </c>
      <c r="F2197" s="32" t="str">
        <f t="array" ref="F2197">"https://www.google.com/maps/search/?api=1&amp;query=" &amp; A2197 &amp; "," &amp; B2197</f>
        <v>https://www.google.com/maps/search/?api=1&amp;query=-30.89369565460740,-55.54306347085350</v>
      </c>
      <c r="G2197" s="33" t="str">
        <f t="array" ref="G2197">"https://earth.google.com/web/search/" &amp; A2197 &amp; "," &amp; B2197</f>
        <v>https://earth.google.com/web/search/-30.89369565460740,-55.54306347085350</v>
      </c>
      <c r="H2197" s="12"/>
      <c r="I2197" s="12"/>
      <c r="J2197" s="12"/>
      <c r="K2197" s="12"/>
      <c r="L2197" s="12"/>
      <c r="M2197" s="12"/>
      <c r="N2197" s="12"/>
      <c r="O2197" s="12"/>
      <c r="P2197" s="12"/>
      <c r="Q2197" s="12"/>
      <c r="R2197" s="12"/>
      <c r="S2197" s="12"/>
      <c r="T2197" s="12"/>
      <c r="U2197" s="12"/>
      <c r="V2197" s="12"/>
      <c r="W2197" s="12"/>
      <c r="X2197" s="12"/>
      <c r="Y2197" s="12"/>
      <c r="Z2197" s="12"/>
      <c r="AA2197" s="12"/>
    </row>
    <row r="2198" ht="26.25" customHeight="1">
      <c r="A2198" s="34" t="s">
        <v>4406</v>
      </c>
      <c r="B2198" s="35" t="s">
        <v>4407</v>
      </c>
      <c r="C2198" s="36">
        <v>3.0</v>
      </c>
      <c r="D2198" s="37">
        <v>61.0</v>
      </c>
      <c r="E2198" s="37">
        <v>6.0</v>
      </c>
      <c r="F2198" s="24" t="str">
        <f t="array" ref="F2198">"https://www.google.com/maps/search/?api=1&amp;query=" &amp; A2198 &amp; "," &amp; B2198</f>
        <v>https://www.google.com/maps/search/?api=1&amp;query=-30.89341239677540,-55.54286203404220</v>
      </c>
      <c r="G2198" s="25" t="str">
        <f t="array" ref="G2198">"https://earth.google.com/web/search/" &amp; A2198 &amp; "," &amp; B2198</f>
        <v>https://earth.google.com/web/search/-30.89341239677540,-55.54286203404220</v>
      </c>
      <c r="H2198" s="12"/>
      <c r="I2198" s="12"/>
      <c r="J2198" s="12"/>
      <c r="K2198" s="12"/>
      <c r="L2198" s="12"/>
      <c r="M2198" s="12"/>
      <c r="N2198" s="12"/>
      <c r="O2198" s="12"/>
      <c r="P2198" s="12"/>
      <c r="Q2198" s="12"/>
      <c r="R2198" s="12"/>
      <c r="S2198" s="12"/>
      <c r="T2198" s="12"/>
      <c r="U2198" s="12"/>
      <c r="V2198" s="12"/>
      <c r="W2198" s="12"/>
      <c r="X2198" s="12"/>
      <c r="Y2198" s="12"/>
      <c r="Z2198" s="12"/>
      <c r="AA2198" s="12"/>
    </row>
    <row r="2199" ht="26.25" customHeight="1">
      <c r="A2199" s="28" t="s">
        <v>4408</v>
      </c>
      <c r="B2199" s="29" t="s">
        <v>4409</v>
      </c>
      <c r="C2199" s="30">
        <v>3.0</v>
      </c>
      <c r="D2199" s="31">
        <v>62.0</v>
      </c>
      <c r="E2199" s="31">
        <v>1.0</v>
      </c>
      <c r="F2199" s="32" t="str">
        <f t="array" ref="F2199">"https://www.google.com/maps/search/?api=1&amp;query=" &amp; A2199 &amp; "," &amp; B2199</f>
        <v>https://www.google.com/maps/search/?api=1&amp;query=-30.89396683862810,-55.54294179146950</v>
      </c>
      <c r="G2199" s="33" t="str">
        <f t="array" ref="G2199">"https://earth.google.com/web/search/" &amp; A2199 &amp; "," &amp; B2199</f>
        <v>https://earth.google.com/web/search/-30.89396683862810,-55.54294179146950</v>
      </c>
      <c r="H2199" s="12"/>
      <c r="I2199" s="12"/>
      <c r="J2199" s="12"/>
      <c r="K2199" s="12"/>
      <c r="L2199" s="12"/>
      <c r="M2199" s="12"/>
      <c r="N2199" s="12"/>
      <c r="O2199" s="12"/>
      <c r="P2199" s="12"/>
      <c r="Q2199" s="12"/>
      <c r="R2199" s="12"/>
      <c r="S2199" s="12"/>
      <c r="T2199" s="12"/>
      <c r="U2199" s="12"/>
      <c r="V2199" s="12"/>
      <c r="W2199" s="12"/>
      <c r="X2199" s="12"/>
      <c r="Y2199" s="12"/>
      <c r="Z2199" s="12"/>
      <c r="AA2199" s="12"/>
    </row>
    <row r="2200" ht="26.25" customHeight="1">
      <c r="A2200" s="34" t="s">
        <v>4410</v>
      </c>
      <c r="B2200" s="35" t="s">
        <v>4411</v>
      </c>
      <c r="C2200" s="36">
        <v>3.0</v>
      </c>
      <c r="D2200" s="37">
        <v>62.0</v>
      </c>
      <c r="E2200" s="37">
        <v>2.0</v>
      </c>
      <c r="F2200" s="24" t="str">
        <f t="array" ref="F2200">"https://www.google.com/maps/search/?api=1&amp;query=" &amp; A2200 &amp; "," &amp; B2200</f>
        <v>https://www.google.com/maps/search/?api=1&amp;query=-30.89408521250080,-55.54269266314990</v>
      </c>
      <c r="G2200" s="25" t="str">
        <f t="array" ref="G2200">"https://earth.google.com/web/search/" &amp; A2200 &amp; "," &amp; B2200</f>
        <v>https://earth.google.com/web/search/-30.89408521250080,-55.54269266314990</v>
      </c>
      <c r="H2200" s="12"/>
      <c r="I2200" s="12"/>
      <c r="J2200" s="12"/>
      <c r="K2200" s="12"/>
      <c r="L2200" s="12"/>
      <c r="M2200" s="12"/>
      <c r="N2200" s="12"/>
      <c r="O2200" s="12"/>
      <c r="P2200" s="12"/>
      <c r="Q2200" s="12"/>
      <c r="R2200" s="12"/>
      <c r="S2200" s="12"/>
      <c r="T2200" s="12"/>
      <c r="U2200" s="12"/>
      <c r="V2200" s="12"/>
      <c r="W2200" s="12"/>
      <c r="X2200" s="12"/>
      <c r="Y2200" s="12"/>
      <c r="Z2200" s="12"/>
      <c r="AA2200" s="12"/>
    </row>
    <row r="2201" ht="26.25" customHeight="1">
      <c r="A2201" s="28" t="s">
        <v>4412</v>
      </c>
      <c r="B2201" s="29" t="s">
        <v>4413</v>
      </c>
      <c r="C2201" s="30">
        <v>3.0</v>
      </c>
      <c r="D2201" s="31">
        <v>62.0</v>
      </c>
      <c r="E2201" s="31">
        <v>3.0</v>
      </c>
      <c r="F2201" s="32" t="str">
        <f t="array" ref="F2201">"https://www.google.com/maps/search/?api=1&amp;query=" &amp; A2201 &amp; "," &amp; B2201</f>
        <v>https://www.google.com/maps/search/?api=1&amp;query=-30.89417908038900,-55.54249417696710</v>
      </c>
      <c r="G2201" s="33" t="str">
        <f t="array" ref="G2201">"https://earth.google.com/web/search/" &amp; A2201 &amp; "," &amp; B2201</f>
        <v>https://earth.google.com/web/search/-30.89417908038900,-55.54249417696710</v>
      </c>
      <c r="H2201" s="12"/>
      <c r="I2201" s="12"/>
      <c r="J2201" s="12"/>
      <c r="K2201" s="12"/>
      <c r="L2201" s="12"/>
      <c r="M2201" s="12"/>
      <c r="N2201" s="12"/>
      <c r="O2201" s="12"/>
      <c r="P2201" s="12"/>
      <c r="Q2201" s="12"/>
      <c r="R2201" s="12"/>
      <c r="S2201" s="12"/>
      <c r="T2201" s="12"/>
      <c r="U2201" s="12"/>
      <c r="V2201" s="12"/>
      <c r="W2201" s="12"/>
      <c r="X2201" s="12"/>
      <c r="Y2201" s="12"/>
      <c r="Z2201" s="12"/>
      <c r="AA2201" s="12"/>
    </row>
    <row r="2202" ht="26.25" customHeight="1">
      <c r="A2202" s="34" t="s">
        <v>4414</v>
      </c>
      <c r="B2202" s="35" t="s">
        <v>4415</v>
      </c>
      <c r="C2202" s="36">
        <v>3.0</v>
      </c>
      <c r="D2202" s="37">
        <v>62.0</v>
      </c>
      <c r="E2202" s="37">
        <v>4.0</v>
      </c>
      <c r="F2202" s="24" t="str">
        <f t="array" ref="F2202">"https://www.google.com/maps/search/?api=1&amp;query=" &amp; A2202 &amp; "," &amp; B2202</f>
        <v>https://www.google.com/maps/search/?api=1&amp;query=-30.89426483531770,-55.54236503285600</v>
      </c>
      <c r="G2202" s="25" t="str">
        <f t="array" ref="G2202">"https://earth.google.com/web/search/" &amp; A2202 &amp; "," &amp; B2202</f>
        <v>https://earth.google.com/web/search/-30.89426483531770,-55.54236503285600</v>
      </c>
      <c r="H2202" s="12"/>
      <c r="I2202" s="12"/>
      <c r="J2202" s="12"/>
      <c r="K2202" s="12"/>
      <c r="L2202" s="12"/>
      <c r="M2202" s="12"/>
      <c r="N2202" s="12"/>
      <c r="O2202" s="12"/>
      <c r="P2202" s="12"/>
      <c r="Q2202" s="12"/>
      <c r="R2202" s="12"/>
      <c r="S2202" s="12"/>
      <c r="T2202" s="12"/>
      <c r="U2202" s="12"/>
      <c r="V2202" s="12"/>
      <c r="W2202" s="12"/>
      <c r="X2202" s="12"/>
      <c r="Y2202" s="12"/>
      <c r="Z2202" s="12"/>
      <c r="AA2202" s="12"/>
    </row>
    <row r="2203" ht="26.25" customHeight="1">
      <c r="A2203" s="28" t="s">
        <v>4416</v>
      </c>
      <c r="B2203" s="29" t="s">
        <v>4417</v>
      </c>
      <c r="C2203" s="30">
        <v>3.0</v>
      </c>
      <c r="D2203" s="31">
        <v>62.0</v>
      </c>
      <c r="E2203" s="31">
        <v>5.0</v>
      </c>
      <c r="F2203" s="32" t="str">
        <f t="array" ref="F2203">"https://www.google.com/maps/search/?api=1&amp;query=" &amp; A2203 &amp; "," &amp; B2203</f>
        <v>https://www.google.com/maps/search/?api=1&amp;query=-30.89428700580100,-55.54222569473940</v>
      </c>
      <c r="G2203" s="33" t="str">
        <f t="array" ref="G2203">"https://earth.google.com/web/search/" &amp; A2203 &amp; "," &amp; B2203</f>
        <v>https://earth.google.com/web/search/-30.89428700580100,-55.54222569473940</v>
      </c>
      <c r="H2203" s="12"/>
      <c r="I2203" s="12"/>
      <c r="J2203" s="12"/>
      <c r="K2203" s="12"/>
      <c r="L2203" s="12"/>
      <c r="M2203" s="12"/>
      <c r="N2203" s="12"/>
      <c r="O2203" s="12"/>
      <c r="P2203" s="12"/>
      <c r="Q2203" s="12"/>
      <c r="R2203" s="12"/>
      <c r="S2203" s="12"/>
      <c r="T2203" s="12"/>
      <c r="U2203" s="12"/>
      <c r="V2203" s="12"/>
      <c r="W2203" s="12"/>
      <c r="X2203" s="12"/>
      <c r="Y2203" s="12"/>
      <c r="Z2203" s="12"/>
      <c r="AA2203" s="12"/>
    </row>
    <row r="2204" ht="26.25" customHeight="1">
      <c r="A2204" s="34" t="s">
        <v>4418</v>
      </c>
      <c r="B2204" s="35" t="s">
        <v>4419</v>
      </c>
      <c r="C2204" s="36">
        <v>3.0</v>
      </c>
      <c r="D2204" s="37">
        <v>62.0</v>
      </c>
      <c r="E2204" s="37">
        <v>6.0</v>
      </c>
      <c r="F2204" s="24" t="str">
        <f t="array" ref="F2204">"https://www.google.com/maps/search/?api=1&amp;query=" &amp; A2204 &amp; "," &amp; B2204</f>
        <v>https://www.google.com/maps/search/?api=1&amp;query=-30.89415157959550,-55.54210631990280</v>
      </c>
      <c r="G2204" s="25" t="str">
        <f t="array" ref="G2204">"https://earth.google.com/web/search/" &amp; A2204 &amp; "," &amp; B2204</f>
        <v>https://earth.google.com/web/search/-30.89415157959550,-55.54210631990280</v>
      </c>
      <c r="H2204" s="12"/>
      <c r="I2204" s="12"/>
      <c r="J2204" s="12"/>
      <c r="K2204" s="12"/>
      <c r="L2204" s="12"/>
      <c r="M2204" s="12"/>
      <c r="N2204" s="12"/>
      <c r="O2204" s="12"/>
      <c r="P2204" s="12"/>
      <c r="Q2204" s="12"/>
      <c r="R2204" s="12"/>
      <c r="S2204" s="12"/>
      <c r="T2204" s="12"/>
      <c r="U2204" s="12"/>
      <c r="V2204" s="12"/>
      <c r="W2204" s="12"/>
      <c r="X2204" s="12"/>
      <c r="Y2204" s="12"/>
      <c r="Z2204" s="12"/>
      <c r="AA2204" s="12"/>
    </row>
    <row r="2205" ht="26.25" customHeight="1">
      <c r="A2205" s="28" t="s">
        <v>4420</v>
      </c>
      <c r="B2205" s="29" t="s">
        <v>4421</v>
      </c>
      <c r="C2205" s="30">
        <v>3.0</v>
      </c>
      <c r="D2205" s="31">
        <v>62.0</v>
      </c>
      <c r="E2205" s="31">
        <v>7.0</v>
      </c>
      <c r="F2205" s="32" t="str">
        <f t="array" ref="F2205">"https://www.google.com/maps/search/?api=1&amp;query=" &amp; A2205 &amp; "," &amp; B2205</f>
        <v>https://www.google.com/maps/search/?api=1&amp;query=-30.89344827445200,-55.54273967249300</v>
      </c>
      <c r="G2205" s="33" t="str">
        <f t="array" ref="G2205">"https://earth.google.com/web/search/" &amp; A2205 &amp; "," &amp; B2205</f>
        <v>https://earth.google.com/web/search/-30.89344827445200,-55.54273967249300</v>
      </c>
      <c r="H2205" s="12"/>
      <c r="I2205" s="12"/>
      <c r="J2205" s="12"/>
      <c r="K2205" s="12"/>
      <c r="L2205" s="12"/>
      <c r="M2205" s="12"/>
      <c r="N2205" s="12"/>
      <c r="O2205" s="12"/>
      <c r="P2205" s="12"/>
      <c r="Q2205" s="12"/>
      <c r="R2205" s="12"/>
      <c r="S2205" s="12"/>
      <c r="T2205" s="12"/>
      <c r="U2205" s="12"/>
      <c r="V2205" s="12"/>
      <c r="W2205" s="12"/>
      <c r="X2205" s="12"/>
      <c r="Y2205" s="12"/>
      <c r="Z2205" s="12"/>
      <c r="AA2205" s="12"/>
    </row>
    <row r="2206" ht="26.25" customHeight="1">
      <c r="A2206" s="34" t="s">
        <v>4422</v>
      </c>
      <c r="B2206" s="35" t="s">
        <v>4423</v>
      </c>
      <c r="C2206" s="36">
        <v>3.0</v>
      </c>
      <c r="D2206" s="37">
        <v>62.0</v>
      </c>
      <c r="E2206" s="37">
        <v>8.0</v>
      </c>
      <c r="F2206" s="24" t="str">
        <f t="array" ref="F2206">"https://www.google.com/maps/search/?api=1&amp;query=" &amp; A2206 &amp; "," &amp; B2206</f>
        <v>https://www.google.com/maps/search/?api=1&amp;query=-3.08935241939333,-55.54281009243500</v>
      </c>
      <c r="G2206" s="25" t="str">
        <f t="array" ref="G2206">"https://earth.google.com/web/search/" &amp; A2206 &amp; "," &amp; B2206</f>
        <v>https://earth.google.com/web/search/-3.08935241939333,-55.54281009243500</v>
      </c>
      <c r="H2206" s="12"/>
      <c r="I2206" s="12"/>
      <c r="J2206" s="12"/>
      <c r="K2206" s="12"/>
      <c r="L2206" s="12"/>
      <c r="M2206" s="12"/>
      <c r="N2206" s="12"/>
      <c r="O2206" s="12"/>
      <c r="P2206" s="12"/>
      <c r="Q2206" s="12"/>
      <c r="R2206" s="12"/>
      <c r="S2206" s="12"/>
      <c r="T2206" s="12"/>
      <c r="U2206" s="12"/>
      <c r="V2206" s="12"/>
      <c r="W2206" s="12"/>
      <c r="X2206" s="12"/>
      <c r="Y2206" s="12"/>
      <c r="Z2206" s="12"/>
      <c r="AA2206" s="12"/>
    </row>
    <row r="2207" ht="26.25" customHeight="1">
      <c r="A2207" s="28" t="s">
        <v>4424</v>
      </c>
      <c r="B2207" s="29" t="s">
        <v>4425</v>
      </c>
      <c r="C2207" s="30">
        <v>3.0</v>
      </c>
      <c r="D2207" s="31">
        <v>62.0</v>
      </c>
      <c r="E2207" s="31">
        <v>9.0</v>
      </c>
      <c r="F2207" s="32" t="str">
        <f t="array" ref="F2207">"https://www.google.com/maps/search/?api=1&amp;query=" &amp; A2207 &amp; "," &amp; B2207</f>
        <v>https://www.google.com/maps/search/?api=1&amp;query=-30.89370063643900,-55.54293087366440</v>
      </c>
      <c r="G2207" s="33" t="str">
        <f t="array" ref="G2207">"https://earth.google.com/web/search/" &amp; A2207 &amp; "," &amp; B2207</f>
        <v>https://earth.google.com/web/search/-30.89370063643900,-55.54293087366440</v>
      </c>
      <c r="H2207" s="12"/>
      <c r="I2207" s="12"/>
      <c r="J2207" s="12"/>
      <c r="K2207" s="12"/>
      <c r="L2207" s="12"/>
      <c r="M2207" s="12"/>
      <c r="N2207" s="12"/>
      <c r="O2207" s="12"/>
      <c r="P2207" s="12"/>
      <c r="Q2207" s="12"/>
      <c r="R2207" s="12"/>
      <c r="S2207" s="12"/>
      <c r="T2207" s="12"/>
      <c r="U2207" s="12"/>
      <c r="V2207" s="12"/>
      <c r="W2207" s="12"/>
      <c r="X2207" s="12"/>
      <c r="Y2207" s="12"/>
      <c r="Z2207" s="12"/>
      <c r="AA2207" s="12"/>
    </row>
    <row r="2208" ht="26.25" customHeight="1">
      <c r="A2208" s="34" t="s">
        <v>4426</v>
      </c>
      <c r="B2208" s="35" t="s">
        <v>4427</v>
      </c>
      <c r="C2208" s="36">
        <v>3.0</v>
      </c>
      <c r="D2208" s="37">
        <v>62.0</v>
      </c>
      <c r="E2208" s="37">
        <v>10.0</v>
      </c>
      <c r="F2208" s="24" t="str">
        <f t="array" ref="F2208">"https://www.google.com/maps/search/?api=1&amp;query=" &amp; A2208 &amp; "," &amp; B2208</f>
        <v>https://www.google.com/maps/search/?api=1&amp;query=-30.89424875226890,-55.54218183258120</v>
      </c>
      <c r="G2208" s="25" t="str">
        <f t="array" ref="G2208">"https://earth.google.com/web/search/" &amp; A2208 &amp; "," &amp; B2208</f>
        <v>https://earth.google.com/web/search/-30.89424875226890,-55.54218183258120</v>
      </c>
      <c r="H2208" s="12"/>
      <c r="I2208" s="12"/>
      <c r="J2208" s="12"/>
      <c r="K2208" s="12"/>
      <c r="L2208" s="12"/>
      <c r="M2208" s="12"/>
      <c r="N2208" s="12"/>
      <c r="O2208" s="12"/>
      <c r="P2208" s="12"/>
      <c r="Q2208" s="12"/>
      <c r="R2208" s="12"/>
      <c r="S2208" s="12"/>
      <c r="T2208" s="12"/>
      <c r="U2208" s="12"/>
      <c r="V2208" s="12"/>
      <c r="W2208" s="12"/>
      <c r="X2208" s="12"/>
      <c r="Y2208" s="12"/>
      <c r="Z2208" s="12"/>
      <c r="AA2208" s="12"/>
    </row>
    <row r="2209" ht="26.25" customHeight="1">
      <c r="A2209" s="28" t="s">
        <v>4428</v>
      </c>
      <c r="B2209" s="29" t="s">
        <v>4429</v>
      </c>
      <c r="C2209" s="30">
        <v>3.0</v>
      </c>
      <c r="D2209" s="31">
        <v>63.0</v>
      </c>
      <c r="E2209" s="31">
        <v>1.0</v>
      </c>
      <c r="F2209" s="32" t="str">
        <f t="array" ref="F2209">"https://www.google.com/maps/search/?api=1&amp;query=" &amp; A2209 &amp; "," &amp; B2209</f>
        <v>https://www.google.com/maps/search/?api=1&amp;query=-30.89433489517050,-55.54211691915920</v>
      </c>
      <c r="G2209" s="33" t="str">
        <f t="array" ref="G2209">"https://earth.google.com/web/search/" &amp; A2209 &amp; "," &amp; B2209</f>
        <v>https://earth.google.com/web/search/-30.89433489517050,-55.54211691915920</v>
      </c>
      <c r="H2209" s="12"/>
      <c r="I2209" s="12"/>
      <c r="J2209" s="12"/>
      <c r="K2209" s="12"/>
      <c r="L2209" s="12"/>
      <c r="M2209" s="12"/>
      <c r="N2209" s="12"/>
      <c r="O2209" s="12"/>
      <c r="P2209" s="12"/>
      <c r="Q2209" s="12"/>
      <c r="R2209" s="12"/>
      <c r="S2209" s="12"/>
      <c r="T2209" s="12"/>
      <c r="U2209" s="12"/>
      <c r="V2209" s="12"/>
      <c r="W2209" s="12"/>
      <c r="X2209" s="12"/>
      <c r="Y2209" s="12"/>
      <c r="Z2209" s="12"/>
      <c r="AA2209" s="12"/>
    </row>
    <row r="2210" ht="26.25" customHeight="1">
      <c r="A2210" s="34" t="s">
        <v>4430</v>
      </c>
      <c r="B2210" s="35" t="s">
        <v>4431</v>
      </c>
      <c r="C2210" s="36">
        <v>3.0</v>
      </c>
      <c r="D2210" s="37">
        <v>63.0</v>
      </c>
      <c r="E2210" s="37">
        <v>2.0</v>
      </c>
      <c r="F2210" s="24" t="str">
        <f t="array" ref="F2210">"https://www.google.com/maps/search/?api=1&amp;query=" &amp; A2210 &amp; "," &amp; B2210</f>
        <v>https://www.google.com/maps/search/?api=1&amp;query=-30.89431406301300,-55.54200800316540</v>
      </c>
      <c r="G2210" s="25" t="str">
        <f t="array" ref="G2210">"https://earth.google.com/web/search/" &amp; A2210 &amp; "," &amp; B2210</f>
        <v>https://earth.google.com/web/search/-30.89431406301300,-55.54200800316540</v>
      </c>
      <c r="H2210" s="12"/>
      <c r="I2210" s="12"/>
      <c r="J2210" s="12"/>
      <c r="K2210" s="12"/>
      <c r="L2210" s="12"/>
      <c r="M2210" s="12"/>
      <c r="N2210" s="12"/>
      <c r="O2210" s="12"/>
      <c r="P2210" s="12"/>
      <c r="Q2210" s="12"/>
      <c r="R2210" s="12"/>
      <c r="S2210" s="12"/>
      <c r="T2210" s="12"/>
      <c r="U2210" s="12"/>
      <c r="V2210" s="12"/>
      <c r="W2210" s="12"/>
      <c r="X2210" s="12"/>
      <c r="Y2210" s="12"/>
      <c r="Z2210" s="12"/>
      <c r="AA2210" s="12"/>
    </row>
    <row r="2211" ht="26.25" customHeight="1">
      <c r="A2211" s="28" t="s">
        <v>4432</v>
      </c>
      <c r="B2211" s="29" t="s">
        <v>4433</v>
      </c>
      <c r="C2211" s="30">
        <v>3.0</v>
      </c>
      <c r="D2211" s="31">
        <v>63.0</v>
      </c>
      <c r="E2211" s="31">
        <v>3.0</v>
      </c>
      <c r="F2211" s="32" t="str">
        <f t="array" ref="F2211">"https://www.google.com/maps/search/?api=1&amp;query=" &amp; A2211 &amp; "," &amp; B2211</f>
        <v>https://www.google.com/maps/search/?api=1&amp;query=-30.89440546211720,-55.54191882949550</v>
      </c>
      <c r="G2211" s="33" t="str">
        <f t="array" ref="G2211">"https://earth.google.com/web/search/" &amp; A2211 &amp; "," &amp; B2211</f>
        <v>https://earth.google.com/web/search/-30.89440546211720,-55.54191882949550</v>
      </c>
      <c r="H2211" s="12"/>
      <c r="I2211" s="12"/>
      <c r="J2211" s="12"/>
      <c r="K2211" s="12"/>
      <c r="L2211" s="12"/>
      <c r="M2211" s="12"/>
      <c r="N2211" s="12"/>
      <c r="O2211" s="12"/>
      <c r="P2211" s="12"/>
      <c r="Q2211" s="12"/>
      <c r="R2211" s="12"/>
      <c r="S2211" s="12"/>
      <c r="T2211" s="12"/>
      <c r="U2211" s="12"/>
      <c r="V2211" s="12"/>
      <c r="W2211" s="12"/>
      <c r="X2211" s="12"/>
      <c r="Y2211" s="12"/>
      <c r="Z2211" s="12"/>
      <c r="AA2211" s="12"/>
    </row>
    <row r="2212" ht="26.25" customHeight="1">
      <c r="A2212" s="34" t="s">
        <v>4434</v>
      </c>
      <c r="B2212" s="35" t="s">
        <v>4435</v>
      </c>
      <c r="C2212" s="36">
        <v>3.0</v>
      </c>
      <c r="D2212" s="37">
        <v>63.0</v>
      </c>
      <c r="E2212" s="37">
        <v>4.0</v>
      </c>
      <c r="F2212" s="24" t="str">
        <f t="array" ref="F2212">"https://www.google.com/maps/search/?api=1&amp;query=" &amp; A2212 &amp; "," &amp; B2212</f>
        <v>https://www.google.com/maps/search/?api=1&amp;query=-30.89454343614440,-55.54173095386730</v>
      </c>
      <c r="G2212" s="25" t="str">
        <f t="array" ref="G2212">"https://earth.google.com/web/search/" &amp; A2212 &amp; "," &amp; B2212</f>
        <v>https://earth.google.com/web/search/-30.89454343614440,-55.54173095386730</v>
      </c>
      <c r="H2212" s="12"/>
      <c r="I2212" s="12"/>
      <c r="J2212" s="12"/>
      <c r="K2212" s="12"/>
      <c r="L2212" s="12"/>
      <c r="M2212" s="12"/>
      <c r="N2212" s="12"/>
      <c r="O2212" s="12"/>
      <c r="P2212" s="12"/>
      <c r="Q2212" s="12"/>
      <c r="R2212" s="12"/>
      <c r="S2212" s="12"/>
      <c r="T2212" s="12"/>
      <c r="U2212" s="12"/>
      <c r="V2212" s="12"/>
      <c r="W2212" s="12"/>
      <c r="X2212" s="12"/>
      <c r="Y2212" s="12"/>
      <c r="Z2212" s="12"/>
      <c r="AA2212" s="12"/>
    </row>
    <row r="2213" ht="26.25" customHeight="1">
      <c r="A2213" s="28" t="s">
        <v>4436</v>
      </c>
      <c r="B2213" s="29" t="s">
        <v>4437</v>
      </c>
      <c r="C2213" s="30">
        <v>3.0</v>
      </c>
      <c r="D2213" s="31">
        <v>63.0</v>
      </c>
      <c r="E2213" s="31">
        <v>5.0</v>
      </c>
      <c r="F2213" s="32" t="str">
        <f t="array" ref="F2213">"https://www.google.com/maps/search/?api=1&amp;query=" &amp; A2213 &amp; "," &amp; B2213</f>
        <v>https://www.google.com/maps/search/?api=1&amp;query=-30.89432222170540,-55.54189125144140</v>
      </c>
      <c r="G2213" s="33" t="str">
        <f t="array" ref="G2213">"https://earth.google.com/web/search/" &amp; A2213 &amp; "," &amp; B2213</f>
        <v>https://earth.google.com/web/search/-30.89432222170540,-55.54189125144140</v>
      </c>
      <c r="H2213" s="12"/>
      <c r="I2213" s="12"/>
      <c r="J2213" s="12"/>
      <c r="K2213" s="12"/>
      <c r="L2213" s="12"/>
      <c r="M2213" s="12"/>
      <c r="N2213" s="12"/>
      <c r="O2213" s="12"/>
      <c r="P2213" s="12"/>
      <c r="Q2213" s="12"/>
      <c r="R2213" s="12"/>
      <c r="S2213" s="12"/>
      <c r="T2213" s="12"/>
      <c r="U2213" s="12"/>
      <c r="V2213" s="12"/>
      <c r="W2213" s="12"/>
      <c r="X2213" s="12"/>
      <c r="Y2213" s="12"/>
      <c r="Z2213" s="12"/>
      <c r="AA2213" s="12"/>
    </row>
    <row r="2214" ht="26.25" customHeight="1">
      <c r="A2214" s="34" t="s">
        <v>4438</v>
      </c>
      <c r="B2214" s="35" t="s">
        <v>4439</v>
      </c>
      <c r="C2214" s="36">
        <v>3.0</v>
      </c>
      <c r="D2214" s="37">
        <v>63.0</v>
      </c>
      <c r="E2214" s="37">
        <v>6.0</v>
      </c>
      <c r="F2214" s="24" t="str">
        <f t="array" ref="F2214">"https://www.google.com/maps/search/?api=1&amp;query=" &amp; A2214 &amp; "," &amp; B2214</f>
        <v>https://www.google.com/maps/search/?api=1&amp;query=-30.89439024938000,-55.54180941222710</v>
      </c>
      <c r="G2214" s="25" t="str">
        <f t="array" ref="G2214">"https://earth.google.com/web/search/" &amp; A2214 &amp; "," &amp; B2214</f>
        <v>https://earth.google.com/web/search/-30.89439024938000,-55.54180941222710</v>
      </c>
      <c r="H2214" s="12"/>
      <c r="I2214" s="12"/>
      <c r="J2214" s="12"/>
      <c r="K2214" s="12"/>
      <c r="L2214" s="12"/>
      <c r="M2214" s="12"/>
      <c r="N2214" s="12"/>
      <c r="O2214" s="12"/>
      <c r="P2214" s="12"/>
      <c r="Q2214" s="12"/>
      <c r="R2214" s="12"/>
      <c r="S2214" s="12"/>
      <c r="T2214" s="12"/>
      <c r="U2214" s="12"/>
      <c r="V2214" s="12"/>
      <c r="W2214" s="12"/>
      <c r="X2214" s="12"/>
      <c r="Y2214" s="12"/>
      <c r="Z2214" s="12"/>
      <c r="AA2214" s="12"/>
    </row>
    <row r="2215" ht="26.25" customHeight="1">
      <c r="A2215" s="28" t="s">
        <v>4440</v>
      </c>
      <c r="B2215" s="29" t="s">
        <v>4441</v>
      </c>
      <c r="C2215" s="30">
        <v>3.0</v>
      </c>
      <c r="D2215" s="31">
        <v>63.0</v>
      </c>
      <c r="E2215" s="31">
        <v>7.0</v>
      </c>
      <c r="F2215" s="32" t="str">
        <f t="array" ref="F2215">"https://www.google.com/maps/search/?api=1&amp;query=" &amp; A2215 &amp; "," &amp; B2215</f>
        <v>https://www.google.com/maps/search/?api=1&amp;query=-30.89441886480440,-55.54168459454630</v>
      </c>
      <c r="G2215" s="33" t="str">
        <f t="array" ref="G2215">"https://earth.google.com/web/search/" &amp; A2215 &amp; "," &amp; B2215</f>
        <v>https://earth.google.com/web/search/-30.89441886480440,-55.54168459454630</v>
      </c>
      <c r="H2215" s="12"/>
      <c r="I2215" s="12"/>
      <c r="J2215" s="12"/>
      <c r="K2215" s="12"/>
      <c r="L2215" s="12"/>
      <c r="M2215" s="12"/>
      <c r="N2215" s="12"/>
      <c r="O2215" s="12"/>
      <c r="P2215" s="12"/>
      <c r="Q2215" s="12"/>
      <c r="R2215" s="12"/>
      <c r="S2215" s="12"/>
      <c r="T2215" s="12"/>
      <c r="U2215" s="12"/>
      <c r="V2215" s="12"/>
      <c r="W2215" s="12"/>
      <c r="X2215" s="12"/>
      <c r="Y2215" s="12"/>
      <c r="Z2215" s="12"/>
      <c r="AA2215" s="12"/>
    </row>
    <row r="2216" ht="26.25" customHeight="1">
      <c r="A2216" s="34" t="s">
        <v>4442</v>
      </c>
      <c r="B2216" s="35" t="s">
        <v>4443</v>
      </c>
      <c r="C2216" s="36">
        <v>3.0</v>
      </c>
      <c r="D2216" s="37">
        <v>63.0</v>
      </c>
      <c r="E2216" s="37">
        <v>8.0</v>
      </c>
      <c r="F2216" s="24" t="str">
        <f t="array" ref="F2216">"https://www.google.com/maps/search/?api=1&amp;query=" &amp; A2216 &amp; "," &amp; B2216</f>
        <v>https://www.google.com/maps/search/?api=1&amp;query=-30.89424743592920,-55.54192303717130</v>
      </c>
      <c r="G2216" s="25" t="str">
        <f t="array" ref="G2216">"https://earth.google.com/web/search/" &amp; A2216 &amp; "," &amp; B2216</f>
        <v>https://earth.google.com/web/search/-30.89424743592920,-55.54192303717130</v>
      </c>
      <c r="H2216" s="12"/>
      <c r="I2216" s="12"/>
      <c r="J2216" s="12"/>
      <c r="K2216" s="12"/>
      <c r="L2216" s="12"/>
      <c r="M2216" s="12"/>
      <c r="N2216" s="12"/>
      <c r="O2216" s="12"/>
      <c r="P2216" s="12"/>
      <c r="Q2216" s="12"/>
      <c r="R2216" s="12"/>
      <c r="S2216" s="12"/>
      <c r="T2216" s="12"/>
      <c r="U2216" s="12"/>
      <c r="V2216" s="12"/>
      <c r="W2216" s="12"/>
      <c r="X2216" s="12"/>
      <c r="Y2216" s="12"/>
      <c r="Z2216" s="12"/>
      <c r="AA2216" s="12"/>
    </row>
    <row r="2217" ht="26.25" customHeight="1">
      <c r="A2217" s="28" t="s">
        <v>4444</v>
      </c>
      <c r="B2217" s="29" t="s">
        <v>4445</v>
      </c>
      <c r="C2217" s="30">
        <v>3.0</v>
      </c>
      <c r="D2217" s="31">
        <v>63.0</v>
      </c>
      <c r="E2217" s="31">
        <v>9.0</v>
      </c>
      <c r="F2217" s="32" t="str">
        <f t="array" ref="F2217">"https://www.google.com/maps/search/?api=1&amp;query=" &amp; A2217 &amp; "," &amp; B2217</f>
        <v>https://www.google.com/maps/search/?api=1&amp;query=-30.89463059153130,-55.54144526935270</v>
      </c>
      <c r="G2217" s="33" t="str">
        <f t="array" ref="G2217">"https://earth.google.com/web/search/" &amp; A2217 &amp; "," &amp; B2217</f>
        <v>https://earth.google.com/web/search/-30.89463059153130,-55.54144526935270</v>
      </c>
      <c r="H2217" s="12"/>
      <c r="I2217" s="12"/>
      <c r="J2217" s="12"/>
      <c r="K2217" s="12"/>
      <c r="L2217" s="12"/>
      <c r="M2217" s="12"/>
      <c r="N2217" s="12"/>
      <c r="O2217" s="12"/>
      <c r="P2217" s="12"/>
      <c r="Q2217" s="12"/>
      <c r="R2217" s="12"/>
      <c r="S2217" s="12"/>
      <c r="T2217" s="12"/>
      <c r="U2217" s="12"/>
      <c r="V2217" s="12"/>
      <c r="W2217" s="12"/>
      <c r="X2217" s="12"/>
      <c r="Y2217" s="12"/>
      <c r="Z2217" s="12"/>
      <c r="AA2217" s="12"/>
    </row>
    <row r="2218" ht="26.25" customHeight="1">
      <c r="A2218" s="34" t="s">
        <v>4446</v>
      </c>
      <c r="B2218" s="35" t="s">
        <v>4447</v>
      </c>
      <c r="C2218" s="36">
        <v>3.0</v>
      </c>
      <c r="D2218" s="37">
        <v>63.0</v>
      </c>
      <c r="E2218" s="37">
        <v>10.0</v>
      </c>
      <c r="F2218" s="24" t="str">
        <f t="array" ref="F2218">"https://www.google.com/maps/search/?api=1&amp;query=" &amp; A2218 &amp; "," &amp; B2218</f>
        <v>https://www.google.com/maps/search/?api=1&amp;query=-30.89454738345660,-55.54128533908150</v>
      </c>
      <c r="G2218" s="25" t="str">
        <f t="array" ref="G2218">"https://earth.google.com/web/search/" &amp; A2218 &amp; "," &amp; B2218</f>
        <v>https://earth.google.com/web/search/-30.89454738345660,-55.54128533908150</v>
      </c>
      <c r="H2218" s="12"/>
      <c r="I2218" s="12"/>
      <c r="J2218" s="12"/>
      <c r="K2218" s="12"/>
      <c r="L2218" s="12"/>
      <c r="M2218" s="12"/>
      <c r="N2218" s="12"/>
      <c r="O2218" s="12"/>
      <c r="P2218" s="12"/>
      <c r="Q2218" s="12"/>
      <c r="R2218" s="12"/>
      <c r="S2218" s="12"/>
      <c r="T2218" s="12"/>
      <c r="U2218" s="12"/>
      <c r="V2218" s="12"/>
      <c r="W2218" s="12"/>
      <c r="X2218" s="12"/>
      <c r="Y2218" s="12"/>
      <c r="Z2218" s="12"/>
      <c r="AA2218" s="12"/>
    </row>
    <row r="2219" ht="26.25" customHeight="1">
      <c r="A2219" s="28" t="s">
        <v>4448</v>
      </c>
      <c r="B2219" s="29" t="s">
        <v>4449</v>
      </c>
      <c r="C2219" s="30">
        <v>3.0</v>
      </c>
      <c r="D2219" s="31">
        <v>63.0</v>
      </c>
      <c r="E2219" s="31">
        <v>11.0</v>
      </c>
      <c r="F2219" s="32" t="str">
        <f t="array" ref="F2219">"https://www.google.com/maps/search/?api=1&amp;query=" &amp; A2219 &amp; "," &amp; B2219</f>
        <v>https://www.google.com/maps/search/?api=1&amp;query=-30.89448067322100,-55.54164231115190</v>
      </c>
      <c r="G2219" s="33" t="str">
        <f t="array" ref="G2219">"https://earth.google.com/web/search/" &amp; A2219 &amp; "," &amp; B2219</f>
        <v>https://earth.google.com/web/search/-30.89448067322100,-55.54164231115190</v>
      </c>
      <c r="H2219" s="12"/>
      <c r="I2219" s="12"/>
      <c r="J2219" s="12"/>
      <c r="K2219" s="12"/>
      <c r="L2219" s="12"/>
      <c r="M2219" s="12"/>
      <c r="N2219" s="12"/>
      <c r="O2219" s="12"/>
      <c r="P2219" s="12"/>
      <c r="Q2219" s="12"/>
      <c r="R2219" s="12"/>
      <c r="S2219" s="12"/>
      <c r="T2219" s="12"/>
      <c r="U2219" s="12"/>
      <c r="V2219" s="12"/>
      <c r="W2219" s="12"/>
      <c r="X2219" s="12"/>
      <c r="Y2219" s="12"/>
      <c r="Z2219" s="12"/>
      <c r="AA2219" s="12"/>
    </row>
    <row r="2220" ht="26.25" customHeight="1">
      <c r="A2220" s="34" t="s">
        <v>4450</v>
      </c>
      <c r="B2220" s="35" t="s">
        <v>4451</v>
      </c>
      <c r="C2220" s="36">
        <v>3.0</v>
      </c>
      <c r="D2220" s="37">
        <v>63.0</v>
      </c>
      <c r="E2220" s="37">
        <v>12.0</v>
      </c>
      <c r="F2220" s="24" t="str">
        <f t="array" ref="F2220">"https://www.google.com/maps/search/?api=1&amp;query=" &amp; A2220 &amp; "," &amp; B2220</f>
        <v>https://www.google.com/maps/search/?api=1&amp;query=-30.89471175651060,-55.54139835570720</v>
      </c>
      <c r="G2220" s="25" t="str">
        <f t="array" ref="G2220">"https://earth.google.com/web/search/" &amp; A2220 &amp; "," &amp; B2220</f>
        <v>https://earth.google.com/web/search/-30.89471175651060,-55.54139835570720</v>
      </c>
      <c r="H2220" s="12"/>
      <c r="I2220" s="12"/>
      <c r="J2220" s="12"/>
      <c r="K2220" s="12"/>
      <c r="L2220" s="12"/>
      <c r="M2220" s="12"/>
      <c r="N2220" s="12"/>
      <c r="O2220" s="12"/>
      <c r="P2220" s="12"/>
      <c r="Q2220" s="12"/>
      <c r="R2220" s="12"/>
      <c r="S2220" s="12"/>
      <c r="T2220" s="12"/>
      <c r="U2220" s="12"/>
      <c r="V2220" s="12"/>
      <c r="W2220" s="12"/>
      <c r="X2220" s="12"/>
      <c r="Y2220" s="12"/>
      <c r="Z2220" s="12"/>
      <c r="AA2220" s="12"/>
    </row>
    <row r="2221" ht="26.25" customHeight="1">
      <c r="A2221" s="28" t="s">
        <v>4452</v>
      </c>
      <c r="B2221" s="29" t="s">
        <v>4453</v>
      </c>
      <c r="C2221" s="30">
        <v>3.0</v>
      </c>
      <c r="D2221" s="31">
        <v>63.0</v>
      </c>
      <c r="E2221" s="31">
        <v>13.0</v>
      </c>
      <c r="F2221" s="32" t="str">
        <f t="array" ref="F2221">"https://www.google.com/maps/search/?api=1&amp;query=" &amp; A2221 &amp; "," &amp; B2221</f>
        <v>https://www.google.com/maps/search/?api=1&amp;query=-30.89465409211090,-55.54133308712070</v>
      </c>
      <c r="G2221" s="33" t="str">
        <f t="array" ref="G2221">"https://earth.google.com/web/search/" &amp; A2221 &amp; "," &amp; B2221</f>
        <v>https://earth.google.com/web/search/-30.89465409211090,-55.54133308712070</v>
      </c>
      <c r="H2221" s="12"/>
      <c r="I2221" s="12"/>
      <c r="J2221" s="12"/>
      <c r="K2221" s="12"/>
      <c r="L2221" s="12"/>
      <c r="M2221" s="12"/>
      <c r="N2221" s="12"/>
      <c r="O2221" s="12"/>
      <c r="P2221" s="12"/>
      <c r="Q2221" s="12"/>
      <c r="R2221" s="12"/>
      <c r="S2221" s="12"/>
      <c r="T2221" s="12"/>
      <c r="U2221" s="12"/>
      <c r="V2221" s="12"/>
      <c r="W2221" s="12"/>
      <c r="X2221" s="12"/>
      <c r="Y2221" s="12"/>
      <c r="Z2221" s="12"/>
      <c r="AA2221" s="12"/>
    </row>
    <row r="2222" ht="26.25" customHeight="1">
      <c r="A2222" s="34" t="s">
        <v>4454</v>
      </c>
      <c r="B2222" s="35" t="s">
        <v>4455</v>
      </c>
      <c r="C2222" s="36">
        <v>3.0</v>
      </c>
      <c r="D2222" s="37">
        <v>63.0</v>
      </c>
      <c r="E2222" s="37">
        <v>14.0</v>
      </c>
      <c r="F2222" s="24" t="str">
        <f t="array" ref="F2222">"https://www.google.com/maps/search/?api=1&amp;query=" &amp; A2222 &amp; "," &amp; B2222</f>
        <v>https://www.google.com/maps/search/?api=1&amp;query=-30.89410414808650,-55.54195387774280</v>
      </c>
      <c r="G2222" s="25" t="str">
        <f t="array" ref="G2222">"https://earth.google.com/web/search/" &amp; A2222 &amp; "," &amp; B2222</f>
        <v>https://earth.google.com/web/search/-30.89410414808650,-55.54195387774280</v>
      </c>
      <c r="H2222" s="12"/>
      <c r="I2222" s="12"/>
      <c r="J2222" s="12"/>
      <c r="K2222" s="12"/>
      <c r="L2222" s="12"/>
      <c r="M2222" s="12"/>
      <c r="N2222" s="12"/>
      <c r="O2222" s="12"/>
      <c r="P2222" s="12"/>
      <c r="Q2222" s="12"/>
      <c r="R2222" s="12"/>
      <c r="S2222" s="12"/>
      <c r="T2222" s="12"/>
      <c r="U2222" s="12"/>
      <c r="V2222" s="12"/>
      <c r="W2222" s="12"/>
      <c r="X2222" s="12"/>
      <c r="Y2222" s="12"/>
      <c r="Z2222" s="12"/>
      <c r="AA2222" s="12"/>
    </row>
    <row r="2223" ht="26.25" customHeight="1">
      <c r="A2223" s="28" t="s">
        <v>4456</v>
      </c>
      <c r="B2223" s="29" t="s">
        <v>4457</v>
      </c>
      <c r="C2223" s="30">
        <v>3.0</v>
      </c>
      <c r="D2223" s="31">
        <v>63.0</v>
      </c>
      <c r="E2223" s="31">
        <v>15.0</v>
      </c>
      <c r="F2223" s="32" t="str">
        <f t="array" ref="F2223">"https://www.google.com/maps/search/?api=1&amp;query=" &amp; A2223 &amp; "," &amp; B2223</f>
        <v>https://www.google.com/maps/search/?api=1&amp;query=-30.89402537443720,-55.54186699106550</v>
      </c>
      <c r="G2223" s="33" t="str">
        <f t="array" ref="G2223">"https://earth.google.com/web/search/" &amp; A2223 &amp; "," &amp; B2223</f>
        <v>https://earth.google.com/web/search/-30.89402537443720,-55.54186699106550</v>
      </c>
      <c r="H2223" s="12"/>
      <c r="I2223" s="12"/>
      <c r="J2223" s="12"/>
      <c r="K2223" s="12"/>
      <c r="L2223" s="12"/>
      <c r="M2223" s="12"/>
      <c r="N2223" s="12"/>
      <c r="O2223" s="12"/>
      <c r="P2223" s="12"/>
      <c r="Q2223" s="12"/>
      <c r="R2223" s="12"/>
      <c r="S2223" s="12"/>
      <c r="T2223" s="12"/>
      <c r="U2223" s="12"/>
      <c r="V2223" s="12"/>
      <c r="W2223" s="12"/>
      <c r="X2223" s="12"/>
      <c r="Y2223" s="12"/>
      <c r="Z2223" s="12"/>
      <c r="AA2223" s="12"/>
    </row>
    <row r="2224" ht="26.25" customHeight="1">
      <c r="A2224" s="34" t="s">
        <v>4458</v>
      </c>
      <c r="B2224" s="35" t="s">
        <v>4459</v>
      </c>
      <c r="C2224" s="36">
        <v>3.0</v>
      </c>
      <c r="D2224" s="37">
        <v>63.0</v>
      </c>
      <c r="E2224" s="37">
        <v>16.0</v>
      </c>
      <c r="F2224" s="24" t="str">
        <f t="array" ref="F2224">"https://www.google.com/maps/search/?api=1&amp;query=" &amp; A2224 &amp; "," &amp; B2224</f>
        <v>https://www.google.com/maps/search/?api=1&amp;query=-30.89392304087330,-55.54179572767080</v>
      </c>
      <c r="G2224" s="25" t="str">
        <f t="array" ref="G2224">"https://earth.google.com/web/search/" &amp; A2224 &amp; "," &amp; B2224</f>
        <v>https://earth.google.com/web/search/-30.89392304087330,-55.54179572767080</v>
      </c>
      <c r="H2224" s="12"/>
      <c r="I2224" s="12"/>
      <c r="J2224" s="12"/>
      <c r="K2224" s="12"/>
      <c r="L2224" s="12"/>
      <c r="M2224" s="12"/>
      <c r="N2224" s="12"/>
      <c r="O2224" s="12"/>
      <c r="P2224" s="12"/>
      <c r="Q2224" s="12"/>
      <c r="R2224" s="12"/>
      <c r="S2224" s="12"/>
      <c r="T2224" s="12"/>
      <c r="U2224" s="12"/>
      <c r="V2224" s="12"/>
      <c r="W2224" s="12"/>
      <c r="X2224" s="12"/>
      <c r="Y2224" s="12"/>
      <c r="Z2224" s="12"/>
      <c r="AA2224" s="12"/>
    </row>
    <row r="2225" ht="26.25" customHeight="1">
      <c r="A2225" s="28" t="s">
        <v>4460</v>
      </c>
      <c r="B2225" s="29" t="s">
        <v>4461</v>
      </c>
      <c r="C2225" s="30">
        <v>3.0</v>
      </c>
      <c r="D2225" s="31">
        <v>63.0</v>
      </c>
      <c r="E2225" s="31">
        <v>17.0</v>
      </c>
      <c r="F2225" s="32" t="str">
        <f t="array" ref="F2225">"https://www.google.com/maps/search/?api=1&amp;query=" &amp; A2225 &amp; "," &amp; B2225</f>
        <v>https://www.google.com/maps/search/?api=1&amp;query=-30.89377785690220,-5.55416035506308</v>
      </c>
      <c r="G2225" s="33" t="str">
        <f t="array" ref="G2225">"https://earth.google.com/web/search/" &amp; A2225 &amp; "," &amp; B2225</f>
        <v>https://earth.google.com/web/search/-30.89377785690220,-5.55416035506308</v>
      </c>
      <c r="H2225" s="12"/>
      <c r="I2225" s="12"/>
      <c r="J2225" s="12"/>
      <c r="K2225" s="12"/>
      <c r="L2225" s="12"/>
      <c r="M2225" s="12"/>
      <c r="N2225" s="12"/>
      <c r="O2225" s="12"/>
      <c r="P2225" s="12"/>
      <c r="Q2225" s="12"/>
      <c r="R2225" s="12"/>
      <c r="S2225" s="12"/>
      <c r="T2225" s="12"/>
      <c r="U2225" s="12"/>
      <c r="V2225" s="12"/>
      <c r="W2225" s="12"/>
      <c r="X2225" s="12"/>
      <c r="Y2225" s="12"/>
      <c r="Z2225" s="12"/>
      <c r="AA2225" s="12"/>
    </row>
    <row r="2226" ht="26.25" customHeight="1">
      <c r="A2226" s="34" t="s">
        <v>4462</v>
      </c>
      <c r="B2226" s="35" t="s">
        <v>4463</v>
      </c>
      <c r="C2226" s="36">
        <v>3.0</v>
      </c>
      <c r="D2226" s="37">
        <v>63.0</v>
      </c>
      <c r="E2226" s="37">
        <v>18.0</v>
      </c>
      <c r="F2226" s="24" t="str">
        <f t="array" ref="F2226">"https://www.google.com/maps/search/?api=1&amp;query=" &amp; A2226 &amp; "," &amp; B2226</f>
        <v>https://www.google.com/maps/search/?api=1&amp;query=-30.89424359438240,-55.54097770254330</v>
      </c>
      <c r="G2226" s="25" t="str">
        <f t="array" ref="G2226">"https://earth.google.com/web/search/" &amp; A2226 &amp; "," &amp; B2226</f>
        <v>https://earth.google.com/web/search/-30.89424359438240,-55.54097770254330</v>
      </c>
      <c r="H2226" s="12"/>
      <c r="I2226" s="12"/>
      <c r="J2226" s="12"/>
      <c r="K2226" s="12"/>
      <c r="L2226" s="12"/>
      <c r="M2226" s="12"/>
      <c r="N2226" s="12"/>
      <c r="O2226" s="12"/>
      <c r="P2226" s="12"/>
      <c r="Q2226" s="12"/>
      <c r="R2226" s="12"/>
      <c r="S2226" s="12"/>
      <c r="T2226" s="12"/>
      <c r="U2226" s="12"/>
      <c r="V2226" s="12"/>
      <c r="W2226" s="12"/>
      <c r="X2226" s="12"/>
      <c r="Y2226" s="12"/>
      <c r="Z2226" s="12"/>
      <c r="AA2226" s="12"/>
    </row>
    <row r="2227" ht="26.25" customHeight="1">
      <c r="A2227" s="28" t="s">
        <v>4464</v>
      </c>
      <c r="B2227" s="29" t="s">
        <v>4465</v>
      </c>
      <c r="C2227" s="30">
        <v>3.0</v>
      </c>
      <c r="D2227" s="31">
        <v>63.0</v>
      </c>
      <c r="E2227" s="31">
        <v>19.0</v>
      </c>
      <c r="F2227" s="32" t="str">
        <f t="array" ref="F2227">"https://www.google.com/maps/search/?api=1&amp;query=" &amp; A2227 &amp; "," &amp; B2227</f>
        <v>https://www.google.com/maps/search/?api=1&amp;query=-30.89437488916890,-55.54116907329000</v>
      </c>
      <c r="G2227" s="33" t="str">
        <f t="array" ref="G2227">"https://earth.google.com/web/search/" &amp; A2227 &amp; "," &amp; B2227</f>
        <v>https://earth.google.com/web/search/-30.89437488916890,-55.54116907329000</v>
      </c>
      <c r="H2227" s="12"/>
      <c r="I2227" s="12"/>
      <c r="J2227" s="12"/>
      <c r="K2227" s="12"/>
      <c r="L2227" s="12"/>
      <c r="M2227" s="12"/>
      <c r="N2227" s="12"/>
      <c r="O2227" s="12"/>
      <c r="P2227" s="12"/>
      <c r="Q2227" s="12"/>
      <c r="R2227" s="12"/>
      <c r="S2227" s="12"/>
      <c r="T2227" s="12"/>
      <c r="U2227" s="12"/>
      <c r="V2227" s="12"/>
      <c r="W2227" s="12"/>
      <c r="X2227" s="12"/>
      <c r="Y2227" s="12"/>
      <c r="Z2227" s="12"/>
      <c r="AA2227" s="12"/>
    </row>
    <row r="2228" ht="26.25" customHeight="1">
      <c r="A2228" s="34" t="s">
        <v>4466</v>
      </c>
      <c r="B2228" s="35" t="s">
        <v>4467</v>
      </c>
      <c r="C2228" s="36">
        <v>3.0</v>
      </c>
      <c r="D2228" s="37">
        <v>63.0</v>
      </c>
      <c r="E2228" s="37">
        <v>20.0</v>
      </c>
      <c r="F2228" s="24" t="str">
        <f t="array" ref="F2228">"https://www.google.com/maps/search/?api=1&amp;query=" &amp; A2228 &amp; "," &amp; B2228</f>
        <v>https://www.google.com/maps/search/?api=1&amp;query=-30.89420032988790,-5.55411806529359</v>
      </c>
      <c r="G2228" s="25" t="str">
        <f t="array" ref="G2228">"https://earth.google.com/web/search/" &amp; A2228 &amp; "," &amp; B2228</f>
        <v>https://earth.google.com/web/search/-30.89420032988790,-5.55411806529359</v>
      </c>
      <c r="H2228" s="12"/>
      <c r="I2228" s="12"/>
      <c r="J2228" s="12"/>
      <c r="K2228" s="12"/>
      <c r="L2228" s="12"/>
      <c r="M2228" s="12"/>
      <c r="N2228" s="12"/>
      <c r="O2228" s="12"/>
      <c r="P2228" s="12"/>
      <c r="Q2228" s="12"/>
      <c r="R2228" s="12"/>
      <c r="S2228" s="12"/>
      <c r="T2228" s="12"/>
      <c r="U2228" s="12"/>
      <c r="V2228" s="12"/>
      <c r="W2228" s="12"/>
      <c r="X2228" s="12"/>
      <c r="Y2228" s="12"/>
      <c r="Z2228" s="12"/>
      <c r="AA2228" s="12"/>
    </row>
    <row r="2229" ht="26.25" customHeight="1">
      <c r="A2229" s="28" t="s">
        <v>4468</v>
      </c>
      <c r="B2229" s="29" t="s">
        <v>4469</v>
      </c>
      <c r="C2229" s="30">
        <v>3.0</v>
      </c>
      <c r="D2229" s="31">
        <v>63.0</v>
      </c>
      <c r="E2229" s="31">
        <v>21.0</v>
      </c>
      <c r="F2229" s="32" t="str">
        <f t="array" ref="F2229">"https://www.google.com/maps/search/?api=1&amp;query=" &amp; A2229 &amp; "," &amp; B2229</f>
        <v>https://www.google.com/maps/search/?api=1&amp;query=-30.89429133577030,-55.54131813979150</v>
      </c>
      <c r="G2229" s="33" t="str">
        <f t="array" ref="G2229">"https://earth.google.com/web/search/" &amp; A2229 &amp; "," &amp; B2229</f>
        <v>https://earth.google.com/web/search/-30.89429133577030,-55.54131813979150</v>
      </c>
      <c r="H2229" s="12"/>
      <c r="I2229" s="12"/>
      <c r="J2229" s="12"/>
      <c r="K2229" s="12"/>
      <c r="L2229" s="12"/>
      <c r="M2229" s="12"/>
      <c r="N2229" s="12"/>
      <c r="O2229" s="12"/>
      <c r="P2229" s="12"/>
      <c r="Q2229" s="12"/>
      <c r="R2229" s="12"/>
      <c r="S2229" s="12"/>
      <c r="T2229" s="12"/>
      <c r="U2229" s="12"/>
      <c r="V2229" s="12"/>
      <c r="W2229" s="12"/>
      <c r="X2229" s="12"/>
      <c r="Y2229" s="12"/>
      <c r="Z2229" s="12"/>
      <c r="AA2229" s="12"/>
    </row>
    <row r="2230" ht="26.25" customHeight="1">
      <c r="A2230" s="34" t="s">
        <v>4470</v>
      </c>
      <c r="B2230" s="35" t="s">
        <v>4471</v>
      </c>
      <c r="C2230" s="36">
        <v>3.0</v>
      </c>
      <c r="D2230" s="37">
        <v>63.0</v>
      </c>
      <c r="E2230" s="37">
        <v>22.0</v>
      </c>
      <c r="F2230" s="24" t="str">
        <f t="array" ref="F2230">"https://www.google.com/maps/search/?api=1&amp;query=" &amp; A2230 &amp; "," &amp; B2230</f>
        <v>https://www.google.com/maps/search/?api=1&amp;query=-30.89434342234820,-5.55414148386579</v>
      </c>
      <c r="G2230" s="25" t="str">
        <f t="array" ref="G2230">"https://earth.google.com/web/search/" &amp; A2230 &amp; "," &amp; B2230</f>
        <v>https://earth.google.com/web/search/-30.89434342234820,-5.55414148386579</v>
      </c>
      <c r="H2230" s="12"/>
      <c r="I2230" s="12"/>
      <c r="J2230" s="12"/>
      <c r="K2230" s="12"/>
      <c r="L2230" s="12"/>
      <c r="M2230" s="12"/>
      <c r="N2230" s="12"/>
      <c r="O2230" s="12"/>
      <c r="P2230" s="12"/>
      <c r="Q2230" s="12"/>
      <c r="R2230" s="12"/>
      <c r="S2230" s="12"/>
      <c r="T2230" s="12"/>
      <c r="U2230" s="12"/>
      <c r="V2230" s="12"/>
      <c r="W2230" s="12"/>
      <c r="X2230" s="12"/>
      <c r="Y2230" s="12"/>
      <c r="Z2230" s="12"/>
      <c r="AA2230" s="12"/>
    </row>
    <row r="2231" ht="26.25" customHeight="1">
      <c r="A2231" s="28" t="s">
        <v>4472</v>
      </c>
      <c r="B2231" s="29" t="s">
        <v>4473</v>
      </c>
      <c r="C2231" s="30">
        <v>3.0</v>
      </c>
      <c r="D2231" s="31">
        <v>63.0</v>
      </c>
      <c r="E2231" s="31">
        <v>23.0</v>
      </c>
      <c r="F2231" s="32" t="str">
        <f t="array" ref="F2231">"https://www.google.com/maps/search/?api=1&amp;query=" &amp; A2231 &amp; "," &amp; B2231</f>
        <v>https://www.google.com/maps/search/?api=1&amp;query=-30.89441622988650,-55.54148305731770</v>
      </c>
      <c r="G2231" s="33" t="str">
        <f t="array" ref="G2231">"https://earth.google.com/web/search/" &amp; A2231 &amp; "," &amp; B2231</f>
        <v>https://earth.google.com/web/search/-30.89441622988650,-55.54148305731770</v>
      </c>
      <c r="H2231" s="12"/>
      <c r="I2231" s="12"/>
      <c r="J2231" s="12"/>
      <c r="K2231" s="12"/>
      <c r="L2231" s="12"/>
      <c r="M2231" s="12"/>
      <c r="N2231" s="12"/>
      <c r="O2231" s="12"/>
      <c r="P2231" s="12"/>
      <c r="Q2231" s="12"/>
      <c r="R2231" s="12"/>
      <c r="S2231" s="12"/>
      <c r="T2231" s="12"/>
      <c r="U2231" s="12"/>
      <c r="V2231" s="12"/>
      <c r="W2231" s="12"/>
      <c r="X2231" s="12"/>
      <c r="Y2231" s="12"/>
      <c r="Z2231" s="12"/>
      <c r="AA2231" s="12"/>
    </row>
    <row r="2232" ht="26.25" customHeight="1">
      <c r="A2232" s="34" t="s">
        <v>4474</v>
      </c>
      <c r="B2232" s="35" t="s">
        <v>4475</v>
      </c>
      <c r="C2232" s="36">
        <v>3.0</v>
      </c>
      <c r="D2232" s="37">
        <v>63.0</v>
      </c>
      <c r="E2232" s="37">
        <v>24.0</v>
      </c>
      <c r="F2232" s="24" t="str">
        <f t="array" ref="F2232">"https://www.google.com/maps/search/?api=1&amp;query=" &amp; A2232 &amp; "," &amp; B2232</f>
        <v>https://www.google.com/maps/search/?api=1&amp;query=-30.89430821252870,-55.54168469839800</v>
      </c>
      <c r="G2232" s="25" t="str">
        <f t="array" ref="G2232">"https://earth.google.com/web/search/" &amp; A2232 &amp; "," &amp; B2232</f>
        <v>https://earth.google.com/web/search/-30.89430821252870,-55.54168469839800</v>
      </c>
      <c r="H2232" s="12"/>
      <c r="I2232" s="12"/>
      <c r="J2232" s="12"/>
      <c r="K2232" s="12"/>
      <c r="L2232" s="12"/>
      <c r="M2232" s="12"/>
      <c r="N2232" s="12"/>
      <c r="O2232" s="12"/>
      <c r="P2232" s="12"/>
      <c r="Q2232" s="12"/>
      <c r="R2232" s="12"/>
      <c r="S2232" s="12"/>
      <c r="T2232" s="12"/>
      <c r="U2232" s="12"/>
      <c r="V2232" s="12"/>
      <c r="W2232" s="12"/>
      <c r="X2232" s="12"/>
      <c r="Y2232" s="12"/>
      <c r="Z2232" s="12"/>
      <c r="AA2232" s="12"/>
    </row>
    <row r="2233" ht="26.25" customHeight="1">
      <c r="A2233" s="28" t="s">
        <v>4476</v>
      </c>
      <c r="B2233" s="29" t="s">
        <v>4477</v>
      </c>
      <c r="C2233" s="30">
        <v>3.0</v>
      </c>
      <c r="D2233" s="31">
        <v>63.0</v>
      </c>
      <c r="E2233" s="31">
        <v>25.0</v>
      </c>
      <c r="F2233" s="32" t="str">
        <f t="array" ref="F2233">"https://www.google.com/maps/search/?api=1&amp;query=" &amp; A2233 &amp; "," &amp; B2233</f>
        <v>https://www.google.com/maps/search/?api=1&amp;query=-30.89424750136490,-55.54158810640820</v>
      </c>
      <c r="G2233" s="33" t="str">
        <f t="array" ref="G2233">"https://earth.google.com/web/search/" &amp; A2233 &amp; "," &amp; B2233</f>
        <v>https://earth.google.com/web/search/-30.89424750136490,-55.54158810640820</v>
      </c>
      <c r="H2233" s="12"/>
      <c r="I2233" s="12"/>
      <c r="J2233" s="12"/>
      <c r="K2233" s="12"/>
      <c r="L2233" s="12"/>
      <c r="M2233" s="12"/>
      <c r="N2233" s="12"/>
      <c r="O2233" s="12"/>
      <c r="P2233" s="12"/>
      <c r="Q2233" s="12"/>
      <c r="R2233" s="12"/>
      <c r="S2233" s="12"/>
      <c r="T2233" s="12"/>
      <c r="U2233" s="12"/>
      <c r="V2233" s="12"/>
      <c r="W2233" s="12"/>
      <c r="X2233" s="12"/>
      <c r="Y2233" s="12"/>
      <c r="Z2233" s="12"/>
      <c r="AA2233" s="12"/>
    </row>
    <row r="2234" ht="26.25" customHeight="1">
      <c r="A2234" s="34" t="s">
        <v>4478</v>
      </c>
      <c r="B2234" s="35" t="s">
        <v>4479</v>
      </c>
      <c r="C2234" s="36">
        <v>3.0</v>
      </c>
      <c r="D2234" s="37">
        <v>63.0</v>
      </c>
      <c r="E2234" s="37">
        <v>26.0</v>
      </c>
      <c r="F2234" s="24" t="str">
        <f t="array" ref="F2234">"https://www.google.com/maps/search/?api=1&amp;query=" &amp; A2234 &amp; "," &amp; B2234</f>
        <v>https://www.google.com/maps/search/?api=1&amp;query=-30.89411384647880,-55.54152390512120</v>
      </c>
      <c r="G2234" s="25" t="str">
        <f t="array" ref="G2234">"https://earth.google.com/web/search/" &amp; A2234 &amp; "," &amp; B2234</f>
        <v>https://earth.google.com/web/search/-30.89411384647880,-55.54152390512120</v>
      </c>
      <c r="H2234" s="12"/>
      <c r="I2234" s="12"/>
      <c r="J2234" s="12"/>
      <c r="K2234" s="12"/>
      <c r="L2234" s="12"/>
      <c r="M2234" s="12"/>
      <c r="N2234" s="12"/>
      <c r="O2234" s="12"/>
      <c r="P2234" s="12"/>
      <c r="Q2234" s="12"/>
      <c r="R2234" s="12"/>
      <c r="S2234" s="12"/>
      <c r="T2234" s="12"/>
      <c r="U2234" s="12"/>
      <c r="V2234" s="12"/>
      <c r="W2234" s="12"/>
      <c r="X2234" s="12"/>
      <c r="Y2234" s="12"/>
      <c r="Z2234" s="12"/>
      <c r="AA2234" s="12"/>
    </row>
    <row r="2235" ht="26.25" customHeight="1">
      <c r="A2235" s="28" t="s">
        <v>4480</v>
      </c>
      <c r="B2235" s="29" t="s">
        <v>4481</v>
      </c>
      <c r="C2235" s="30">
        <v>3.0</v>
      </c>
      <c r="D2235" s="31">
        <v>63.0</v>
      </c>
      <c r="E2235" s="31">
        <v>27.0</v>
      </c>
      <c r="F2235" s="32" t="str">
        <f t="array" ref="F2235">"https://www.google.com/maps/search/?api=1&amp;query=" &amp; A2235 &amp; "," &amp; B2235</f>
        <v>https://www.google.com/maps/search/?api=1&amp;query=-30.89400185890860,-55.54165868143500</v>
      </c>
      <c r="G2235" s="33" t="str">
        <f t="array" ref="G2235">"https://earth.google.com/web/search/" &amp; A2235 &amp; "," &amp; B2235</f>
        <v>https://earth.google.com/web/search/-30.89400185890860,-55.54165868143500</v>
      </c>
      <c r="H2235" s="12"/>
      <c r="I2235" s="12"/>
      <c r="J2235" s="12"/>
      <c r="K2235" s="12"/>
      <c r="L2235" s="12"/>
      <c r="M2235" s="12"/>
      <c r="N2235" s="12"/>
      <c r="O2235" s="12"/>
      <c r="P2235" s="12"/>
      <c r="Q2235" s="12"/>
      <c r="R2235" s="12"/>
      <c r="S2235" s="12"/>
      <c r="T2235" s="12"/>
      <c r="U2235" s="12"/>
      <c r="V2235" s="12"/>
      <c r="W2235" s="12"/>
      <c r="X2235" s="12"/>
      <c r="Y2235" s="12"/>
      <c r="Z2235" s="12"/>
      <c r="AA2235" s="12"/>
    </row>
    <row r="2236" ht="26.25" customHeight="1">
      <c r="A2236" s="34" t="s">
        <v>4482</v>
      </c>
      <c r="B2236" s="35" t="s">
        <v>4483</v>
      </c>
      <c r="C2236" s="36">
        <v>3.0</v>
      </c>
      <c r="D2236" s="37">
        <v>63.0</v>
      </c>
      <c r="E2236" s="37">
        <v>28.0</v>
      </c>
      <c r="F2236" s="24" t="str">
        <f t="array" ref="F2236">"https://www.google.com/maps/search/?api=1&amp;query=" &amp; A2236 &amp; "," &amp; B2236</f>
        <v>https://www.google.com/maps/search/?api=1&amp;query=-30.89412655757910,-5.55416962554276</v>
      </c>
      <c r="G2236" s="25" t="str">
        <f t="array" ref="G2236">"https://earth.google.com/web/search/" &amp; A2236 &amp; "," &amp; B2236</f>
        <v>https://earth.google.com/web/search/-30.89412655757910,-5.55416962554276</v>
      </c>
      <c r="H2236" s="12"/>
      <c r="I2236" s="12"/>
      <c r="J2236" s="12"/>
      <c r="K2236" s="12"/>
      <c r="L2236" s="12"/>
      <c r="M2236" s="12"/>
      <c r="N2236" s="12"/>
      <c r="O2236" s="12"/>
      <c r="P2236" s="12"/>
      <c r="Q2236" s="12"/>
      <c r="R2236" s="12"/>
      <c r="S2236" s="12"/>
      <c r="T2236" s="12"/>
      <c r="U2236" s="12"/>
      <c r="V2236" s="12"/>
      <c r="W2236" s="12"/>
      <c r="X2236" s="12"/>
      <c r="Y2236" s="12"/>
      <c r="Z2236" s="12"/>
      <c r="AA2236" s="12"/>
    </row>
    <row r="2237" ht="26.25" customHeight="1">
      <c r="A2237" s="28" t="s">
        <v>4484</v>
      </c>
      <c r="B2237" s="29" t="s">
        <v>4485</v>
      </c>
      <c r="C2237" s="30">
        <v>3.0</v>
      </c>
      <c r="D2237" s="31">
        <v>63.0</v>
      </c>
      <c r="E2237" s="31">
        <v>29.0</v>
      </c>
      <c r="F2237" s="32" t="str">
        <f t="array" ref="F2237">"https://www.google.com/maps/search/?api=1&amp;query=" &amp; A2237 &amp; "," &amp; B2237</f>
        <v>https://www.google.com/maps/search/?api=1&amp;query=-30.89416499441900,-55.54179337899760</v>
      </c>
      <c r="G2237" s="33" t="str">
        <f t="array" ref="G2237">"https://earth.google.com/web/search/" &amp; A2237 &amp; "," &amp; B2237</f>
        <v>https://earth.google.com/web/search/-30.89416499441900,-55.54179337899760</v>
      </c>
      <c r="H2237" s="12"/>
      <c r="I2237" s="12"/>
      <c r="J2237" s="12"/>
      <c r="K2237" s="12"/>
      <c r="L2237" s="12"/>
      <c r="M2237" s="12"/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/>
    </row>
    <row r="2238" ht="26.25" customHeight="1">
      <c r="A2238" s="34" t="s">
        <v>4486</v>
      </c>
      <c r="B2238" s="35" t="s">
        <v>4487</v>
      </c>
      <c r="C2238" s="36">
        <v>3.0</v>
      </c>
      <c r="D2238" s="37">
        <v>63.0</v>
      </c>
      <c r="E2238" s="37">
        <v>30.0</v>
      </c>
      <c r="F2238" s="24" t="str">
        <f t="array" ref="F2238">"https://www.google.com/maps/search/?api=1&amp;query=" &amp; A2238 &amp; "," &amp; B2238</f>
        <v>https://www.google.com/maps/search/?api=1&amp;query=-30.89423625910040,-55.54172927269310</v>
      </c>
      <c r="G2238" s="25" t="str">
        <f t="array" ref="G2238">"https://earth.google.com/web/search/" &amp; A2238 &amp; "," &amp; B2238</f>
        <v>https://earth.google.com/web/search/-30.89423625910040,-55.54172927269310</v>
      </c>
      <c r="H2238" s="12"/>
      <c r="I2238" s="12"/>
      <c r="J2238" s="12"/>
      <c r="K2238" s="12"/>
      <c r="L2238" s="12"/>
      <c r="M2238" s="12"/>
      <c r="N2238" s="12"/>
      <c r="O2238" s="12"/>
      <c r="P2238" s="12"/>
      <c r="Q2238" s="12"/>
      <c r="R2238" s="12"/>
      <c r="S2238" s="12"/>
      <c r="T2238" s="12"/>
      <c r="U2238" s="12"/>
      <c r="V2238" s="12"/>
      <c r="W2238" s="12"/>
      <c r="X2238" s="12"/>
      <c r="Y2238" s="12"/>
      <c r="Z2238" s="12"/>
      <c r="AA2238" s="12"/>
    </row>
    <row r="2239" ht="26.25" customHeight="1">
      <c r="A2239" s="28" t="s">
        <v>4488</v>
      </c>
      <c r="B2239" s="29" t="s">
        <v>4489</v>
      </c>
      <c r="C2239" s="30">
        <v>3.0</v>
      </c>
      <c r="D2239" s="31">
        <v>63.0</v>
      </c>
      <c r="E2239" s="31">
        <v>31.0</v>
      </c>
      <c r="F2239" s="32" t="str">
        <f t="array" ref="F2239">"https://www.google.com/maps/search/?api=1&amp;query=" &amp; A2239 &amp; "," &amp; B2239</f>
        <v>https://www.google.com/maps/search/?api=1&amp;query=-30.89405528895330,-55.54087777088650</v>
      </c>
      <c r="G2239" s="33" t="str">
        <f t="array" ref="G2239">"https://earth.google.com/web/search/" &amp; A2239 &amp; "," &amp; B2239</f>
        <v>https://earth.google.com/web/search/-30.89405528895330,-55.54087777088650</v>
      </c>
      <c r="H2239" s="12"/>
      <c r="I2239" s="12"/>
      <c r="J2239" s="12"/>
      <c r="K2239" s="12"/>
      <c r="L2239" s="12"/>
      <c r="M2239" s="12"/>
      <c r="N2239" s="12"/>
      <c r="O2239" s="12"/>
      <c r="P2239" s="12"/>
      <c r="Q2239" s="12"/>
      <c r="R2239" s="12"/>
      <c r="S2239" s="12"/>
      <c r="T2239" s="12"/>
      <c r="U2239" s="12"/>
      <c r="V2239" s="12"/>
      <c r="W2239" s="12"/>
      <c r="X2239" s="12"/>
      <c r="Y2239" s="12"/>
      <c r="Z2239" s="12"/>
      <c r="AA2239" s="12"/>
    </row>
    <row r="2240" ht="26.25" customHeight="1">
      <c r="A2240" s="34" t="s">
        <v>4490</v>
      </c>
      <c r="B2240" s="35" t="s">
        <v>4491</v>
      </c>
      <c r="C2240" s="36">
        <v>3.0</v>
      </c>
      <c r="D2240" s="37">
        <v>64.0</v>
      </c>
      <c r="E2240" s="37">
        <v>1.0</v>
      </c>
      <c r="F2240" s="24" t="str">
        <f t="array" ref="F2240">"https://www.google.com/maps/search/?api=1&amp;query=" &amp; A2240 &amp; "," &amp; B2240</f>
        <v>https://www.google.com/maps/search/?api=1&amp;query=-30.89476508639960,-55.54114337812190</v>
      </c>
      <c r="G2240" s="25" t="str">
        <f t="array" ref="G2240">"https://earth.google.com/web/search/" &amp; A2240 &amp; "," &amp; B2240</f>
        <v>https://earth.google.com/web/search/-30.89476508639960,-55.54114337812190</v>
      </c>
      <c r="H2240" s="12"/>
      <c r="I2240" s="12"/>
      <c r="J2240" s="12"/>
      <c r="K2240" s="12"/>
      <c r="L2240" s="12"/>
      <c r="M2240" s="12"/>
      <c r="N2240" s="12"/>
      <c r="O2240" s="12"/>
      <c r="P2240" s="12"/>
      <c r="Q2240" s="12"/>
      <c r="R2240" s="12"/>
      <c r="S2240" s="12"/>
      <c r="T2240" s="12"/>
      <c r="U2240" s="12"/>
      <c r="V2240" s="12"/>
      <c r="W2240" s="12"/>
      <c r="X2240" s="12"/>
      <c r="Y2240" s="12"/>
      <c r="Z2240" s="12"/>
      <c r="AA2240" s="12"/>
    </row>
    <row r="2241" ht="26.25" customHeight="1">
      <c r="A2241" s="28" t="s">
        <v>4492</v>
      </c>
      <c r="B2241" s="29" t="s">
        <v>4493</v>
      </c>
      <c r="C2241" s="30">
        <v>3.0</v>
      </c>
      <c r="D2241" s="31">
        <v>64.0</v>
      </c>
      <c r="E2241" s="31">
        <v>2.0</v>
      </c>
      <c r="F2241" s="32" t="str">
        <f t="array" ref="F2241">"https://www.google.com/maps/search/?api=1&amp;query=" &amp; A2241 &amp; "," &amp; B2241</f>
        <v>https://www.google.com/maps/search/?api=1&amp;query=-30.89465102593520,-55.54110231208450</v>
      </c>
      <c r="G2241" s="33" t="str">
        <f t="array" ref="G2241">"https://earth.google.com/web/search/" &amp; A2241 &amp; "," &amp; B2241</f>
        <v>https://earth.google.com/web/search/-30.89465102593520,-55.54110231208450</v>
      </c>
      <c r="H2241" s="12"/>
      <c r="I2241" s="12"/>
      <c r="J2241" s="12"/>
      <c r="K2241" s="12"/>
      <c r="L2241" s="12"/>
      <c r="M2241" s="12"/>
      <c r="N2241" s="12"/>
      <c r="O2241" s="12"/>
      <c r="P2241" s="12"/>
      <c r="Q2241" s="12"/>
      <c r="R2241" s="12"/>
      <c r="S2241" s="12"/>
      <c r="T2241" s="12"/>
      <c r="U2241" s="12"/>
      <c r="V2241" s="12"/>
      <c r="W2241" s="12"/>
      <c r="X2241" s="12"/>
      <c r="Y2241" s="12"/>
      <c r="Z2241" s="12"/>
      <c r="AA2241" s="12"/>
    </row>
    <row r="2242" ht="26.25" customHeight="1">
      <c r="A2242" s="34" t="s">
        <v>4494</v>
      </c>
      <c r="B2242" s="35" t="s">
        <v>4495</v>
      </c>
      <c r="C2242" s="36">
        <v>3.0</v>
      </c>
      <c r="D2242" s="37">
        <v>64.0</v>
      </c>
      <c r="E2242" s="37">
        <v>3.0</v>
      </c>
      <c r="F2242" s="24" t="str">
        <f t="array" ref="F2242">"https://www.google.com/maps/search/?api=1&amp;query=" &amp; A2242 &amp; "," &amp; B2242</f>
        <v>https://www.google.com/maps/search/?api=1&amp;query=-30.89454383373180,-55.54102676900150</v>
      </c>
      <c r="G2242" s="25" t="str">
        <f t="array" ref="G2242">"https://earth.google.com/web/search/" &amp; A2242 &amp; "," &amp; B2242</f>
        <v>https://earth.google.com/web/search/-30.89454383373180,-55.54102676900150</v>
      </c>
      <c r="H2242" s="12"/>
      <c r="I2242" s="12"/>
      <c r="J2242" s="12"/>
      <c r="K2242" s="12"/>
      <c r="L2242" s="12"/>
      <c r="M2242" s="12"/>
      <c r="N2242" s="12"/>
      <c r="O2242" s="12"/>
      <c r="P2242" s="12"/>
      <c r="Q2242" s="12"/>
      <c r="R2242" s="12"/>
      <c r="S2242" s="12"/>
      <c r="T2242" s="12"/>
      <c r="U2242" s="12"/>
      <c r="V2242" s="12"/>
      <c r="W2242" s="12"/>
      <c r="X2242" s="12"/>
      <c r="Y2242" s="12"/>
      <c r="Z2242" s="12"/>
      <c r="AA2242" s="12"/>
    </row>
    <row r="2243" ht="26.25" customHeight="1">
      <c r="A2243" s="28" t="s">
        <v>4496</v>
      </c>
      <c r="B2243" s="29" t="s">
        <v>4497</v>
      </c>
      <c r="C2243" s="30">
        <v>3.0</v>
      </c>
      <c r="D2243" s="31">
        <v>64.0</v>
      </c>
      <c r="E2243" s="31">
        <v>4.0</v>
      </c>
      <c r="F2243" s="32" t="str">
        <f t="array" ref="F2243">"https://www.google.com/maps/search/?api=1&amp;query=" &amp; A2243 &amp; "," &amp; B2243</f>
        <v>https://www.google.com/maps/search/?api=1&amp;query=-30.89444500015430,-55.54094106592300</v>
      </c>
      <c r="G2243" s="33" t="str">
        <f t="array" ref="G2243">"https://earth.google.com/web/search/" &amp; A2243 &amp; "," &amp; B2243</f>
        <v>https://earth.google.com/web/search/-30.89444500015430,-55.54094106592300</v>
      </c>
      <c r="H2243" s="12"/>
      <c r="I2243" s="12"/>
      <c r="J2243" s="12"/>
      <c r="K2243" s="12"/>
      <c r="L2243" s="12"/>
      <c r="M2243" s="12"/>
      <c r="N2243" s="12"/>
      <c r="O2243" s="12"/>
      <c r="P2243" s="12"/>
      <c r="Q2243" s="12"/>
      <c r="R2243" s="12"/>
      <c r="S2243" s="12"/>
      <c r="T2243" s="12"/>
      <c r="U2243" s="12"/>
      <c r="V2243" s="12"/>
      <c r="W2243" s="12"/>
      <c r="X2243" s="12"/>
      <c r="Y2243" s="12"/>
      <c r="Z2243" s="12"/>
      <c r="AA2243" s="12"/>
    </row>
    <row r="2244" ht="26.25" customHeight="1">
      <c r="A2244" s="34" t="s">
        <v>4498</v>
      </c>
      <c r="B2244" s="35" t="s">
        <v>4499</v>
      </c>
      <c r="C2244" s="36">
        <v>3.0</v>
      </c>
      <c r="D2244" s="37">
        <v>64.0</v>
      </c>
      <c r="E2244" s="37">
        <v>5.0</v>
      </c>
      <c r="F2244" s="24" t="str">
        <f t="array" ref="F2244">"https://www.google.com/maps/search/?api=1&amp;query=" &amp; A2244 &amp; "," &amp; B2244</f>
        <v>https://www.google.com/maps/search/?api=1&amp;query=-30.89426079400840,-0.05554082989701</v>
      </c>
      <c r="G2244" s="25" t="str">
        <f t="array" ref="G2244">"https://earth.google.com/web/search/" &amp; A2244 &amp; "," &amp; B2244</f>
        <v>https://earth.google.com/web/search/-30.89426079400840,-0.05554082989701</v>
      </c>
      <c r="H2244" s="12"/>
      <c r="I2244" s="12"/>
      <c r="J2244" s="12"/>
      <c r="K2244" s="12"/>
      <c r="L2244" s="12"/>
      <c r="M2244" s="12"/>
      <c r="N2244" s="12"/>
      <c r="O2244" s="12"/>
      <c r="P2244" s="12"/>
      <c r="Q2244" s="12"/>
      <c r="R2244" s="12"/>
      <c r="S2244" s="12"/>
      <c r="T2244" s="12"/>
      <c r="U2244" s="12"/>
      <c r="V2244" s="12"/>
      <c r="W2244" s="12"/>
      <c r="X2244" s="12"/>
      <c r="Y2244" s="12"/>
      <c r="Z2244" s="12"/>
      <c r="AA2244" s="12"/>
    </row>
    <row r="2245" ht="26.25" customHeight="1">
      <c r="A2245" s="28" t="s">
        <v>4500</v>
      </c>
      <c r="B2245" s="29" t="s">
        <v>4501</v>
      </c>
      <c r="C2245" s="30">
        <v>3.0</v>
      </c>
      <c r="D2245" s="31">
        <v>64.0</v>
      </c>
      <c r="E2245" s="31">
        <v>6.0</v>
      </c>
      <c r="F2245" s="32" t="str">
        <f t="array" ref="F2245">"https://www.google.com/maps/search/?api=1&amp;query=" &amp; A2245 &amp; "," &amp; B2245</f>
        <v>https://www.google.com/maps/search/?api=1&amp;query=-30.89415222121990,-55.54074081131910</v>
      </c>
      <c r="G2245" s="33" t="str">
        <f t="array" ref="G2245">"https://earth.google.com/web/search/" &amp; A2245 &amp; "," &amp; B2245</f>
        <v>https://earth.google.com/web/search/-30.89415222121990,-55.54074081131910</v>
      </c>
      <c r="H2245" s="12"/>
      <c r="I2245" s="12"/>
      <c r="J2245" s="12"/>
      <c r="K2245" s="12"/>
      <c r="L2245" s="12"/>
      <c r="M2245" s="12"/>
      <c r="N2245" s="12"/>
      <c r="O2245" s="12"/>
      <c r="P2245" s="12"/>
      <c r="Q2245" s="12"/>
      <c r="R2245" s="12"/>
      <c r="S2245" s="12"/>
      <c r="T2245" s="12"/>
      <c r="U2245" s="12"/>
      <c r="V2245" s="12"/>
      <c r="W2245" s="12"/>
      <c r="X2245" s="12"/>
      <c r="Y2245" s="12"/>
      <c r="Z2245" s="12"/>
      <c r="AA2245" s="12"/>
    </row>
    <row r="2246" ht="26.25" customHeight="1">
      <c r="A2246" s="34" t="s">
        <v>4502</v>
      </c>
      <c r="B2246" s="35" t="s">
        <v>4503</v>
      </c>
      <c r="C2246" s="36">
        <v>3.0</v>
      </c>
      <c r="D2246" s="37">
        <v>64.0</v>
      </c>
      <c r="E2246" s="37">
        <v>7.0</v>
      </c>
      <c r="F2246" s="24" t="str">
        <f t="array" ref="F2246">"https://www.google.com/maps/search/?api=1&amp;query=" &amp; A2246 &amp; "," &amp; B2246</f>
        <v>https://www.google.com/maps/search/?api=1&amp;query=-30.89490561207770,-55.54014890665730</v>
      </c>
      <c r="G2246" s="25" t="str">
        <f t="array" ref="G2246">"https://earth.google.com/web/search/" &amp; A2246 &amp; "," &amp; B2246</f>
        <v>https://earth.google.com/web/search/-30.89490561207770,-55.54014890665730</v>
      </c>
      <c r="H2246" s="12"/>
      <c r="I2246" s="12"/>
      <c r="J2246" s="12"/>
      <c r="K2246" s="12"/>
      <c r="L2246" s="12"/>
      <c r="M2246" s="12"/>
      <c r="N2246" s="12"/>
      <c r="O2246" s="12"/>
      <c r="P2246" s="12"/>
      <c r="Q2246" s="12"/>
      <c r="R2246" s="12"/>
      <c r="S2246" s="12"/>
      <c r="T2246" s="12"/>
      <c r="U2246" s="12"/>
      <c r="V2246" s="12"/>
      <c r="W2246" s="12"/>
      <c r="X2246" s="12"/>
      <c r="Y2246" s="12"/>
      <c r="Z2246" s="12"/>
      <c r="AA2246" s="12"/>
    </row>
    <row r="2247" ht="26.25" customHeight="1">
      <c r="A2247" s="28" t="s">
        <v>4504</v>
      </c>
      <c r="B2247" s="29" t="s">
        <v>4505</v>
      </c>
      <c r="C2247" s="30">
        <v>3.0</v>
      </c>
      <c r="D2247" s="31">
        <v>64.0</v>
      </c>
      <c r="E2247" s="31">
        <v>8.0</v>
      </c>
      <c r="F2247" s="32" t="str">
        <f t="array" ref="F2247">"https://www.google.com/maps/search/?api=1&amp;query=" &amp; A2247 &amp; "," &amp; B2247</f>
        <v>https://www.google.com/maps/search/?api=1&amp;query=-30.89510699941600,-55.54069542910800</v>
      </c>
      <c r="G2247" s="33" t="str">
        <f t="array" ref="G2247">"https://earth.google.com/web/search/" &amp; A2247 &amp; "," &amp; B2247</f>
        <v>https://earth.google.com/web/search/-30.89510699941600,-55.54069542910800</v>
      </c>
      <c r="H2247" s="12"/>
      <c r="I2247" s="12"/>
      <c r="J2247" s="12"/>
      <c r="K2247" s="12"/>
      <c r="L2247" s="12"/>
      <c r="M2247" s="12"/>
      <c r="N2247" s="12"/>
      <c r="O2247" s="12"/>
      <c r="P2247" s="12"/>
      <c r="Q2247" s="12"/>
      <c r="R2247" s="12"/>
      <c r="S2247" s="12"/>
      <c r="T2247" s="12"/>
      <c r="U2247" s="12"/>
      <c r="V2247" s="12"/>
      <c r="W2247" s="12"/>
      <c r="X2247" s="12"/>
      <c r="Y2247" s="12"/>
      <c r="Z2247" s="12"/>
      <c r="AA2247" s="12"/>
    </row>
    <row r="2248" ht="26.25" customHeight="1">
      <c r="A2248" s="34" t="s">
        <v>4506</v>
      </c>
      <c r="B2248" s="35" t="s">
        <v>4507</v>
      </c>
      <c r="C2248" s="36">
        <v>3.0</v>
      </c>
      <c r="D2248" s="37">
        <v>80.0</v>
      </c>
      <c r="E2248" s="37">
        <v>1.0</v>
      </c>
      <c r="F2248" s="24" t="str">
        <f t="array" ref="F2248">"https://www.google.com/maps/search/?api=1&amp;query=" &amp; A2248 &amp; "," &amp; B2248</f>
        <v>https://www.google.com/maps/search/?api=1&amp;query=-30.89560301702520,-55.54178433430800</v>
      </c>
      <c r="G2248" s="25" t="str">
        <f t="array" ref="G2248">"https://earth.google.com/web/search/" &amp; A2248 &amp; "," &amp; B2248</f>
        <v>https://earth.google.com/web/search/-30.89560301702520,-55.54178433430800</v>
      </c>
      <c r="H2248" s="12"/>
      <c r="I2248" s="12"/>
      <c r="J2248" s="12"/>
      <c r="K2248" s="12"/>
      <c r="L2248" s="12"/>
      <c r="M2248" s="12"/>
      <c r="N2248" s="12"/>
      <c r="O2248" s="12"/>
      <c r="P2248" s="12"/>
      <c r="Q2248" s="12"/>
      <c r="R2248" s="12"/>
      <c r="S2248" s="12"/>
      <c r="T2248" s="12"/>
      <c r="U2248" s="12"/>
      <c r="V2248" s="12"/>
      <c r="W2248" s="12"/>
      <c r="X2248" s="12"/>
      <c r="Y2248" s="12"/>
      <c r="Z2248" s="12"/>
      <c r="AA2248" s="12"/>
    </row>
    <row r="2249" ht="26.25" customHeight="1">
      <c r="A2249" s="28" t="s">
        <v>4508</v>
      </c>
      <c r="B2249" s="29" t="s">
        <v>4509</v>
      </c>
      <c r="C2249" s="30">
        <v>3.0</v>
      </c>
      <c r="D2249" s="31">
        <v>80.0</v>
      </c>
      <c r="E2249" s="31">
        <v>2.0</v>
      </c>
      <c r="F2249" s="32" t="str">
        <f t="array" ref="F2249">"https://www.google.com/maps/search/?api=1&amp;query=" &amp; A2249 &amp; "," &amp; B2249</f>
        <v>https://www.google.com/maps/search/?api=1&amp;query=-30.89538789908220,-55.54163618174870</v>
      </c>
      <c r="G2249" s="33" t="str">
        <f t="array" ref="G2249">"https://earth.google.com/web/search/" &amp; A2249 &amp; "," &amp; B2249</f>
        <v>https://earth.google.com/web/search/-30.89538789908220,-55.54163618174870</v>
      </c>
      <c r="H2249" s="12"/>
      <c r="I2249" s="12"/>
      <c r="J2249" s="12"/>
      <c r="K2249" s="12"/>
      <c r="L2249" s="12"/>
      <c r="M2249" s="12"/>
      <c r="N2249" s="12"/>
      <c r="O2249" s="12"/>
      <c r="P2249" s="12"/>
      <c r="Q2249" s="12"/>
      <c r="R2249" s="12"/>
      <c r="S2249" s="12"/>
      <c r="T2249" s="12"/>
      <c r="U2249" s="12"/>
      <c r="V2249" s="12"/>
      <c r="W2249" s="12"/>
      <c r="X2249" s="12"/>
      <c r="Y2249" s="12"/>
      <c r="Z2249" s="12"/>
      <c r="AA2249" s="12"/>
    </row>
    <row r="2250" ht="26.25" customHeight="1">
      <c r="A2250" s="34" t="s">
        <v>4510</v>
      </c>
      <c r="B2250" s="35" t="s">
        <v>4511</v>
      </c>
      <c r="C2250" s="36">
        <v>3.0</v>
      </c>
      <c r="D2250" s="37">
        <v>80.0</v>
      </c>
      <c r="E2250" s="37">
        <v>3.0</v>
      </c>
      <c r="F2250" s="24" t="str">
        <f t="array" ref="F2250">"https://www.google.com/maps/search/?api=1&amp;query=" &amp; A2250 &amp; "," &amp; B2250</f>
        <v>https://www.google.com/maps/search/?api=1&amp;query=-30.89527059537660,-55.54155423725780</v>
      </c>
      <c r="G2250" s="25" t="str">
        <f t="array" ref="G2250">"https://earth.google.com/web/search/" &amp; A2250 &amp; "," &amp; B2250</f>
        <v>https://earth.google.com/web/search/-30.89527059537660,-55.54155423725780</v>
      </c>
      <c r="H2250" s="12"/>
      <c r="I2250" s="12"/>
      <c r="J2250" s="12"/>
      <c r="K2250" s="12"/>
      <c r="L2250" s="12"/>
      <c r="M2250" s="12"/>
      <c r="N2250" s="12"/>
      <c r="O2250" s="12"/>
      <c r="P2250" s="12"/>
      <c r="Q2250" s="12"/>
      <c r="R2250" s="12"/>
      <c r="S2250" s="12"/>
      <c r="T2250" s="12"/>
      <c r="U2250" s="12"/>
      <c r="V2250" s="12"/>
      <c r="W2250" s="12"/>
      <c r="X2250" s="12"/>
      <c r="Y2250" s="12"/>
      <c r="Z2250" s="12"/>
      <c r="AA2250" s="12"/>
    </row>
    <row r="2251" ht="26.25" customHeight="1">
      <c r="A2251" s="28" t="s">
        <v>4512</v>
      </c>
      <c r="B2251" s="29" t="s">
        <v>4513</v>
      </c>
      <c r="C2251" s="30">
        <v>3.0</v>
      </c>
      <c r="D2251" s="31">
        <v>80.0</v>
      </c>
      <c r="E2251" s="31">
        <v>4.0</v>
      </c>
      <c r="F2251" s="32" t="str">
        <f t="array" ref="F2251">"https://www.google.com/maps/search/?api=1&amp;query=" &amp; A2251 &amp; "," &amp; B2251</f>
        <v>https://www.google.com/maps/search/?api=1&amp;query=-30.89501880146260,-5.55413844595622</v>
      </c>
      <c r="G2251" s="33" t="str">
        <f t="array" ref="G2251">"https://earth.google.com/web/search/" &amp; A2251 &amp; "," &amp; B2251</f>
        <v>https://earth.google.com/web/search/-30.89501880146260,-5.55413844595622</v>
      </c>
      <c r="H2251" s="12"/>
      <c r="I2251" s="12"/>
      <c r="J2251" s="12"/>
      <c r="K2251" s="12"/>
      <c r="L2251" s="12"/>
      <c r="M2251" s="12"/>
      <c r="N2251" s="12"/>
      <c r="O2251" s="12"/>
      <c r="P2251" s="12"/>
      <c r="Q2251" s="12"/>
      <c r="R2251" s="12"/>
      <c r="S2251" s="12"/>
      <c r="T2251" s="12"/>
      <c r="U2251" s="12"/>
      <c r="V2251" s="12"/>
      <c r="W2251" s="12"/>
      <c r="X2251" s="12"/>
      <c r="Y2251" s="12"/>
      <c r="Z2251" s="12"/>
      <c r="AA2251" s="12"/>
    </row>
    <row r="2252" ht="26.25" customHeight="1">
      <c r="A2252" s="34" t="s">
        <v>4514</v>
      </c>
      <c r="B2252" s="35" t="s">
        <v>4515</v>
      </c>
      <c r="C2252" s="36">
        <v>3.0</v>
      </c>
      <c r="D2252" s="37">
        <v>80.0</v>
      </c>
      <c r="E2252" s="37">
        <v>5.0</v>
      </c>
      <c r="F2252" s="24" t="str">
        <f t="array" ref="F2252">"https://www.google.com/maps/search/?api=1&amp;query=" &amp; A2252 &amp; "," &amp; B2252</f>
        <v>https://www.google.com/maps/search/?api=1&amp;query=-3.08949611087488,-55.54134644168600</v>
      </c>
      <c r="G2252" s="25" t="str">
        <f t="array" ref="G2252">"https://earth.google.com/web/search/" &amp; A2252 &amp; "," &amp; B2252</f>
        <v>https://earth.google.com/web/search/-3.08949611087488,-55.54134644168600</v>
      </c>
      <c r="H2252" s="12"/>
      <c r="I2252" s="12"/>
      <c r="J2252" s="12"/>
      <c r="K2252" s="12"/>
      <c r="L2252" s="12"/>
      <c r="M2252" s="12"/>
      <c r="N2252" s="12"/>
      <c r="O2252" s="12"/>
      <c r="P2252" s="12"/>
      <c r="Q2252" s="12"/>
      <c r="R2252" s="12"/>
      <c r="S2252" s="12"/>
      <c r="T2252" s="12"/>
      <c r="U2252" s="12"/>
      <c r="V2252" s="12"/>
      <c r="W2252" s="12"/>
      <c r="X2252" s="12"/>
      <c r="Y2252" s="12"/>
      <c r="Z2252" s="12"/>
      <c r="AA2252" s="12"/>
    </row>
    <row r="2253" ht="26.25" customHeight="1">
      <c r="A2253" s="28" t="s">
        <v>4516</v>
      </c>
      <c r="B2253" s="29" t="s">
        <v>4517</v>
      </c>
      <c r="C2253" s="30">
        <v>3.0</v>
      </c>
      <c r="D2253" s="31">
        <v>80.0</v>
      </c>
      <c r="E2253" s="31">
        <v>6.0</v>
      </c>
      <c r="F2253" s="32" t="str">
        <f t="array" ref="F2253">"https://www.google.com/maps/search/?api=1&amp;query=" &amp; A2253 &amp; "," &amp; B2253</f>
        <v>https://www.google.com/maps/search/?api=1&amp;query=-30.89495868949890,-55.54127502422710</v>
      </c>
      <c r="G2253" s="33" t="str">
        <f t="array" ref="G2253">"https://earth.google.com/web/search/" &amp; A2253 &amp; "," &amp; B2253</f>
        <v>https://earth.google.com/web/search/-30.89495868949890,-55.54127502422710</v>
      </c>
      <c r="H2253" s="12"/>
      <c r="I2253" s="12"/>
      <c r="J2253" s="12"/>
      <c r="K2253" s="12"/>
      <c r="L2253" s="12"/>
      <c r="M2253" s="12"/>
      <c r="N2253" s="12"/>
      <c r="O2253" s="12"/>
      <c r="P2253" s="12"/>
      <c r="Q2253" s="12"/>
      <c r="R2253" s="12"/>
      <c r="S2253" s="12"/>
      <c r="T2253" s="12"/>
      <c r="U2253" s="12"/>
      <c r="V2253" s="12"/>
      <c r="W2253" s="12"/>
      <c r="X2253" s="12"/>
      <c r="Y2253" s="12"/>
      <c r="Z2253" s="12"/>
      <c r="AA2253" s="12"/>
    </row>
    <row r="2254" ht="26.25" customHeight="1">
      <c r="A2254" s="34" t="s">
        <v>4518</v>
      </c>
      <c r="B2254" s="35" t="s">
        <v>4519</v>
      </c>
      <c r="C2254" s="36">
        <v>3.0</v>
      </c>
      <c r="D2254" s="37">
        <v>80.0</v>
      </c>
      <c r="E2254" s="37">
        <v>7.0</v>
      </c>
      <c r="F2254" s="24" t="str">
        <f t="array" ref="F2254">"https://www.google.com/maps/search/?api=1&amp;query=" &amp; A2254 &amp; "," &amp; B2254</f>
        <v>https://www.google.com/maps/search/?api=1&amp;query=-30.89575881720000,-55.54077191457060</v>
      </c>
      <c r="G2254" s="25" t="str">
        <f t="array" ref="G2254">"https://earth.google.com/web/search/" &amp; A2254 &amp; "," &amp; B2254</f>
        <v>https://earth.google.com/web/search/-30.89575881720000,-55.54077191457060</v>
      </c>
      <c r="H2254" s="12"/>
      <c r="I2254" s="12"/>
      <c r="J2254" s="12"/>
      <c r="K2254" s="12"/>
      <c r="L2254" s="12"/>
      <c r="M2254" s="12"/>
      <c r="N2254" s="12"/>
      <c r="O2254" s="12"/>
      <c r="P2254" s="12"/>
      <c r="Q2254" s="12"/>
      <c r="R2254" s="12"/>
      <c r="S2254" s="12"/>
      <c r="T2254" s="12"/>
      <c r="U2254" s="12"/>
      <c r="V2254" s="12"/>
      <c r="W2254" s="12"/>
      <c r="X2254" s="12"/>
      <c r="Y2254" s="12"/>
      <c r="Z2254" s="12"/>
      <c r="AA2254" s="12"/>
    </row>
    <row r="2255" ht="26.25" customHeight="1">
      <c r="A2255" s="28" t="s">
        <v>4520</v>
      </c>
      <c r="B2255" s="29" t="s">
        <v>4521</v>
      </c>
      <c r="C2255" s="30">
        <v>3.0</v>
      </c>
      <c r="D2255" s="31">
        <v>80.0</v>
      </c>
      <c r="E2255" s="31">
        <v>8.0</v>
      </c>
      <c r="F2255" s="32" t="str">
        <f t="array" ref="F2255">"https://www.google.com/maps/search/?api=1&amp;query=" &amp; A2255 &amp; "," &amp; B2255</f>
        <v>https://www.google.com/maps/search/?api=1&amp;query=-30.89581104865650,-55.54081763237350</v>
      </c>
      <c r="G2255" s="33" t="str">
        <f t="array" ref="G2255">"https://earth.google.com/web/search/" &amp; A2255 &amp; "," &amp; B2255</f>
        <v>https://earth.google.com/web/search/-30.89581104865650,-55.54081763237350</v>
      </c>
      <c r="H2255" s="12"/>
      <c r="I2255" s="12"/>
      <c r="J2255" s="12"/>
      <c r="K2255" s="12"/>
      <c r="L2255" s="12"/>
      <c r="M2255" s="12"/>
      <c r="N2255" s="12"/>
      <c r="O2255" s="12"/>
      <c r="P2255" s="12"/>
      <c r="Q2255" s="12"/>
      <c r="R2255" s="12"/>
      <c r="S2255" s="12"/>
      <c r="T2255" s="12"/>
      <c r="U2255" s="12"/>
      <c r="V2255" s="12"/>
      <c r="W2255" s="12"/>
      <c r="X2255" s="12"/>
      <c r="Y2255" s="12"/>
      <c r="Z2255" s="12"/>
      <c r="AA2255" s="12"/>
    </row>
    <row r="2256" ht="26.25" customHeight="1">
      <c r="A2256" s="34" t="s">
        <v>4522</v>
      </c>
      <c r="B2256" s="35" t="s">
        <v>4523</v>
      </c>
      <c r="C2256" s="36">
        <v>3.0</v>
      </c>
      <c r="D2256" s="37">
        <v>80.0</v>
      </c>
      <c r="E2256" s="37">
        <v>9.0</v>
      </c>
      <c r="F2256" s="24" t="str">
        <f t="array" ref="F2256">"https://www.google.com/maps/search/?api=1&amp;query=" &amp; A2256 &amp; "," &amp; B2256</f>
        <v>https://www.google.com/maps/search/?api=1&amp;query=-30.89595663519340,-55.54114933612680</v>
      </c>
      <c r="G2256" s="25" t="str">
        <f t="array" ref="G2256">"https://earth.google.com/web/search/" &amp; A2256 &amp; "," &amp; B2256</f>
        <v>https://earth.google.com/web/search/-30.89595663519340,-55.54114933612680</v>
      </c>
      <c r="H2256" s="12"/>
      <c r="I2256" s="12"/>
      <c r="J2256" s="12"/>
      <c r="K2256" s="12"/>
      <c r="L2256" s="12"/>
      <c r="M2256" s="12"/>
      <c r="N2256" s="12"/>
      <c r="O2256" s="12"/>
      <c r="P2256" s="12"/>
      <c r="Q2256" s="12"/>
      <c r="R2256" s="12"/>
      <c r="S2256" s="12"/>
      <c r="T2256" s="12"/>
      <c r="U2256" s="12"/>
      <c r="V2256" s="12"/>
      <c r="W2256" s="12"/>
      <c r="X2256" s="12"/>
      <c r="Y2256" s="12"/>
      <c r="Z2256" s="12"/>
      <c r="AA2256" s="12"/>
    </row>
    <row r="2257" ht="26.25" customHeight="1">
      <c r="A2257" s="28" t="s">
        <v>4524</v>
      </c>
      <c r="B2257" s="29" t="s">
        <v>4525</v>
      </c>
      <c r="C2257" s="30">
        <v>3.0</v>
      </c>
      <c r="D2257" s="31">
        <v>80.0</v>
      </c>
      <c r="E2257" s="31">
        <v>10.0</v>
      </c>
      <c r="F2257" s="32" t="str">
        <f t="array" ref="F2257">"https://www.google.com/maps/search/?api=1&amp;query=" &amp; A2257 &amp; "," &amp; B2257</f>
        <v>https://www.google.com/maps/search/?api=1&amp;query=-30.89589906276500,-55.54124507358820</v>
      </c>
      <c r="G2257" s="33" t="str">
        <f t="array" ref="G2257">"https://earth.google.com/web/search/" &amp; A2257 &amp; "," &amp; B2257</f>
        <v>https://earth.google.com/web/search/-30.89589906276500,-55.54124507358820</v>
      </c>
      <c r="H2257" s="12"/>
      <c r="I2257" s="12"/>
      <c r="J2257" s="12"/>
      <c r="K2257" s="12"/>
      <c r="L2257" s="12"/>
      <c r="M2257" s="12"/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/>
    </row>
    <row r="2258" ht="26.25" customHeight="1">
      <c r="A2258" s="34" t="s">
        <v>4526</v>
      </c>
      <c r="B2258" s="35" t="s">
        <v>4527</v>
      </c>
      <c r="C2258" s="36">
        <v>3.0</v>
      </c>
      <c r="D2258" s="37">
        <v>80.0</v>
      </c>
      <c r="E2258" s="37">
        <v>11.0</v>
      </c>
      <c r="F2258" s="24" t="str">
        <f t="array" ref="F2258">"https://www.google.com/maps/search/?api=1&amp;query=" &amp; A2258 &amp; "," &amp; B2258</f>
        <v>https://www.google.com/maps/search/?api=1&amp;query=-30.89586595238800,-5.55413129970007</v>
      </c>
      <c r="G2258" s="25" t="str">
        <f t="array" ref="G2258">"https://earth.google.com/web/search/" &amp; A2258 &amp; "," &amp; B2258</f>
        <v>https://earth.google.com/web/search/-30.89586595238800,-5.55413129970007</v>
      </c>
      <c r="H2258" s="12"/>
      <c r="I2258" s="12"/>
      <c r="J2258" s="12"/>
      <c r="K2258" s="12"/>
      <c r="L2258" s="12"/>
      <c r="M2258" s="12"/>
      <c r="N2258" s="12"/>
      <c r="O2258" s="12"/>
      <c r="P2258" s="12"/>
      <c r="Q2258" s="12"/>
      <c r="R2258" s="12"/>
      <c r="S2258" s="12"/>
      <c r="T2258" s="12"/>
      <c r="U2258" s="12"/>
      <c r="V2258" s="12"/>
      <c r="W2258" s="12"/>
      <c r="X2258" s="12"/>
      <c r="Y2258" s="12"/>
      <c r="Z2258" s="12"/>
      <c r="AA2258" s="12"/>
    </row>
    <row r="2259" ht="26.25" customHeight="1">
      <c r="A2259" s="28" t="s">
        <v>4528</v>
      </c>
      <c r="B2259" s="29" t="s">
        <v>4529</v>
      </c>
      <c r="C2259" s="30">
        <v>3.0</v>
      </c>
      <c r="D2259" s="31">
        <v>80.0</v>
      </c>
      <c r="E2259" s="31">
        <v>12.0</v>
      </c>
      <c r="F2259" s="32" t="str">
        <f t="array" ref="F2259">"https://www.google.com/maps/search/?api=1&amp;query=" &amp; A2259 &amp; "," &amp; B2259</f>
        <v>https://www.google.com/maps/search/?api=1&amp;query=-3.08957700787755,-55.54148657813610</v>
      </c>
      <c r="G2259" s="33" t="str">
        <f t="array" ref="G2259">"https://earth.google.com/web/search/" &amp; A2259 &amp; "," &amp; B2259</f>
        <v>https://earth.google.com/web/search/-3.08957700787755,-55.54148657813610</v>
      </c>
      <c r="H2259" s="12"/>
      <c r="I2259" s="12"/>
      <c r="J2259" s="12"/>
      <c r="K2259" s="12"/>
      <c r="L2259" s="12"/>
      <c r="M2259" s="12"/>
      <c r="N2259" s="12"/>
      <c r="O2259" s="12"/>
      <c r="P2259" s="12"/>
      <c r="Q2259" s="12"/>
      <c r="R2259" s="12"/>
      <c r="S2259" s="12"/>
      <c r="T2259" s="12"/>
      <c r="U2259" s="12"/>
      <c r="V2259" s="12"/>
      <c r="W2259" s="12"/>
      <c r="X2259" s="12"/>
      <c r="Y2259" s="12"/>
      <c r="Z2259" s="12"/>
      <c r="AA2259" s="12"/>
    </row>
    <row r="2260" ht="26.25" customHeight="1">
      <c r="A2260" s="34" t="s">
        <v>4530</v>
      </c>
      <c r="B2260" s="35" t="s">
        <v>4531</v>
      </c>
      <c r="C2260" s="36">
        <v>3.0</v>
      </c>
      <c r="D2260" s="37">
        <v>80.0</v>
      </c>
      <c r="E2260" s="37">
        <v>13.0</v>
      </c>
      <c r="F2260" s="24" t="str">
        <f t="array" ref="F2260">"https://www.google.com/maps/search/?api=1&amp;query=" &amp; A2260 &amp; "," &amp; B2260</f>
        <v>https://www.google.com/maps/search/?api=1&amp;query=-3.08956728501289,-55.54168615766680</v>
      </c>
      <c r="G2260" s="25" t="str">
        <f t="array" ref="G2260">"https://earth.google.com/web/search/" &amp; A2260 &amp; "," &amp; B2260</f>
        <v>https://earth.google.com/web/search/-3.08956728501289,-55.54168615766680</v>
      </c>
      <c r="H2260" s="12"/>
      <c r="I2260" s="12"/>
      <c r="J2260" s="12"/>
      <c r="K2260" s="12"/>
      <c r="L2260" s="12"/>
      <c r="M2260" s="12"/>
      <c r="N2260" s="12"/>
      <c r="O2260" s="12"/>
      <c r="P2260" s="12"/>
      <c r="Q2260" s="12"/>
      <c r="R2260" s="12"/>
      <c r="S2260" s="12"/>
      <c r="T2260" s="12"/>
      <c r="U2260" s="12"/>
      <c r="V2260" s="12"/>
      <c r="W2260" s="12"/>
      <c r="X2260" s="12"/>
      <c r="Y2260" s="12"/>
      <c r="Z2260" s="12"/>
      <c r="AA2260" s="12"/>
    </row>
    <row r="2261" ht="26.25" customHeight="1">
      <c r="A2261" s="28" t="s">
        <v>4532</v>
      </c>
      <c r="B2261" s="29" t="s">
        <v>4533</v>
      </c>
      <c r="C2261" s="30">
        <v>3.0</v>
      </c>
      <c r="D2261" s="31">
        <v>81.0</v>
      </c>
      <c r="E2261" s="31">
        <v>1.0</v>
      </c>
      <c r="F2261" s="32" t="str">
        <f t="array" ref="F2261">"https://www.google.com/maps/search/?api=1&amp;query=" &amp; A2261 &amp; "," &amp; B2261</f>
        <v>https://www.google.com/maps/search/?api=1&amp;query=-30.89536887863350,-55.54227997272090</v>
      </c>
      <c r="G2261" s="33" t="str">
        <f t="array" ref="G2261">"https://earth.google.com/web/search/" &amp; A2261 &amp; "," &amp; B2261</f>
        <v>https://earth.google.com/web/search/-30.89536887863350,-55.54227997272090</v>
      </c>
      <c r="H2261" s="12"/>
      <c r="I2261" s="12"/>
      <c r="J2261" s="12"/>
      <c r="K2261" s="12"/>
      <c r="L2261" s="12"/>
      <c r="M2261" s="12"/>
      <c r="N2261" s="12"/>
      <c r="O2261" s="12"/>
      <c r="P2261" s="12"/>
      <c r="Q2261" s="12"/>
      <c r="R2261" s="12"/>
      <c r="S2261" s="12"/>
      <c r="T2261" s="12"/>
      <c r="U2261" s="12"/>
      <c r="V2261" s="12"/>
      <c r="W2261" s="12"/>
      <c r="X2261" s="12"/>
      <c r="Y2261" s="12"/>
      <c r="Z2261" s="12"/>
      <c r="AA2261" s="12"/>
    </row>
    <row r="2262" ht="26.25" customHeight="1">
      <c r="A2262" s="34" t="s">
        <v>4534</v>
      </c>
      <c r="B2262" s="35" t="s">
        <v>4535</v>
      </c>
      <c r="C2262" s="36">
        <v>3.0</v>
      </c>
      <c r="D2262" s="37">
        <v>81.0</v>
      </c>
      <c r="E2262" s="37">
        <v>2.0</v>
      </c>
      <c r="F2262" s="24" t="str">
        <f t="array" ref="F2262">"https://www.google.com/maps/search/?api=1&amp;query=" &amp; A2262 &amp; "," &amp; B2262</f>
        <v>https://www.google.com/maps/search/?api=1&amp;query=-30.89549710331830,-55.54207305495600</v>
      </c>
      <c r="G2262" s="25" t="str">
        <f t="array" ref="G2262">"https://earth.google.com/web/search/" &amp; A2262 &amp; "," &amp; B2262</f>
        <v>https://earth.google.com/web/search/-30.89549710331830,-55.54207305495600</v>
      </c>
      <c r="H2262" s="12"/>
      <c r="I2262" s="12"/>
      <c r="J2262" s="12"/>
      <c r="K2262" s="12"/>
      <c r="L2262" s="12"/>
      <c r="M2262" s="12"/>
      <c r="N2262" s="12"/>
      <c r="O2262" s="12"/>
      <c r="P2262" s="12"/>
      <c r="Q2262" s="12"/>
      <c r="R2262" s="12"/>
      <c r="S2262" s="12"/>
      <c r="T2262" s="12"/>
      <c r="U2262" s="12"/>
      <c r="V2262" s="12"/>
      <c r="W2262" s="12"/>
      <c r="X2262" s="12"/>
      <c r="Y2262" s="12"/>
      <c r="Z2262" s="12"/>
      <c r="AA2262" s="12"/>
    </row>
    <row r="2263" ht="26.25" customHeight="1">
      <c r="A2263" s="28" t="s">
        <v>4536</v>
      </c>
      <c r="B2263" s="29" t="s">
        <v>4537</v>
      </c>
      <c r="C2263" s="30">
        <v>3.0</v>
      </c>
      <c r="D2263" s="31">
        <v>81.0</v>
      </c>
      <c r="E2263" s="31">
        <v>3.0</v>
      </c>
      <c r="F2263" s="32" t="str">
        <f t="array" ref="F2263">"https://www.google.com/maps/search/?api=1&amp;query=" &amp; A2263 &amp; "," &amp; B2263</f>
        <v>https://www.google.com/maps/search/?api=1&amp;query=-30.89550321872650,-55.54183357589590</v>
      </c>
      <c r="G2263" s="33" t="str">
        <f t="array" ref="G2263">"https://earth.google.com/web/search/" &amp; A2263 &amp; "," &amp; B2263</f>
        <v>https://earth.google.com/web/search/-30.89550321872650,-55.54183357589590</v>
      </c>
      <c r="H2263" s="12"/>
      <c r="I2263" s="12"/>
      <c r="J2263" s="12"/>
      <c r="K2263" s="12"/>
      <c r="L2263" s="12"/>
      <c r="M2263" s="12"/>
      <c r="N2263" s="12"/>
      <c r="O2263" s="12"/>
      <c r="P2263" s="12"/>
      <c r="Q2263" s="12"/>
      <c r="R2263" s="12"/>
      <c r="S2263" s="12"/>
      <c r="T2263" s="12"/>
      <c r="U2263" s="12"/>
      <c r="V2263" s="12"/>
      <c r="W2263" s="12"/>
      <c r="X2263" s="12"/>
      <c r="Y2263" s="12"/>
      <c r="Z2263" s="12"/>
      <c r="AA2263" s="12"/>
    </row>
    <row r="2264" ht="26.25" customHeight="1">
      <c r="A2264" s="34" t="s">
        <v>4538</v>
      </c>
      <c r="B2264" s="35" t="s">
        <v>4539</v>
      </c>
      <c r="C2264" s="36">
        <v>3.0</v>
      </c>
      <c r="D2264" s="37">
        <v>81.0</v>
      </c>
      <c r="E2264" s="37">
        <v>4.0</v>
      </c>
      <c r="F2264" s="24" t="str">
        <f t="array" ref="F2264">"https://www.google.com/maps/search/?api=1&amp;query=" &amp; A2264 &amp; "," &amp; B2264</f>
        <v>https://www.google.com/maps/search/?api=1&amp;query=-30.89472613218580,-55.54164394367020</v>
      </c>
      <c r="G2264" s="25" t="str">
        <f t="array" ref="G2264">"https://earth.google.com/web/search/" &amp; A2264 &amp; "," &amp; B2264</f>
        <v>https://earth.google.com/web/search/-30.89472613218580,-55.54164394367020</v>
      </c>
      <c r="H2264" s="12"/>
      <c r="I2264" s="12"/>
      <c r="J2264" s="12"/>
      <c r="K2264" s="12"/>
      <c r="L2264" s="12"/>
      <c r="M2264" s="12"/>
      <c r="N2264" s="12"/>
      <c r="O2264" s="12"/>
      <c r="P2264" s="12"/>
      <c r="Q2264" s="12"/>
      <c r="R2264" s="12"/>
      <c r="S2264" s="12"/>
      <c r="T2264" s="12"/>
      <c r="U2264" s="12"/>
      <c r="V2264" s="12"/>
      <c r="W2264" s="12"/>
      <c r="X2264" s="12"/>
      <c r="Y2264" s="12"/>
      <c r="Z2264" s="12"/>
      <c r="AA2264" s="12"/>
    </row>
    <row r="2265" ht="26.25" customHeight="1">
      <c r="A2265" s="28" t="s">
        <v>4540</v>
      </c>
      <c r="B2265" s="29" t="s">
        <v>4541</v>
      </c>
      <c r="C2265" s="30">
        <v>3.0</v>
      </c>
      <c r="D2265" s="31">
        <v>81.0</v>
      </c>
      <c r="E2265" s="31">
        <v>5.0</v>
      </c>
      <c r="F2265" s="32" t="str">
        <f t="array" ref="F2265">"https://www.google.com/maps/search/?api=1&amp;query=" &amp; A2265 &amp; "," &amp; B2265</f>
        <v>https://www.google.com/maps/search/?api=1&amp;query=-30.89475769419830,-55.54245608441920</v>
      </c>
      <c r="G2265" s="33" t="str">
        <f t="array" ref="G2265">"https://earth.google.com/web/search/" &amp; A2265 &amp; "," &amp; B2265</f>
        <v>https://earth.google.com/web/search/-30.89475769419830,-55.54245608441920</v>
      </c>
      <c r="H2265" s="12"/>
      <c r="I2265" s="12"/>
      <c r="J2265" s="12"/>
      <c r="K2265" s="12"/>
      <c r="L2265" s="12"/>
      <c r="M2265" s="12"/>
      <c r="N2265" s="12"/>
      <c r="O2265" s="12"/>
      <c r="P2265" s="12"/>
      <c r="Q2265" s="12"/>
      <c r="R2265" s="12"/>
      <c r="S2265" s="12"/>
      <c r="T2265" s="12"/>
      <c r="U2265" s="12"/>
      <c r="V2265" s="12"/>
      <c r="W2265" s="12"/>
      <c r="X2265" s="12"/>
      <c r="Y2265" s="12"/>
      <c r="Z2265" s="12"/>
      <c r="AA2265" s="12"/>
    </row>
    <row r="2266" ht="26.25" customHeight="1">
      <c r="A2266" s="34" t="s">
        <v>4542</v>
      </c>
      <c r="B2266" s="35" t="s">
        <v>4543</v>
      </c>
      <c r="C2266" s="36">
        <v>3.0</v>
      </c>
      <c r="D2266" s="37">
        <v>82.0</v>
      </c>
      <c r="E2266" s="37">
        <v>1.0</v>
      </c>
      <c r="F2266" s="24" t="str">
        <f t="array" ref="F2266">"https://www.google.com/maps/search/?api=1&amp;query=" &amp; A2266 &amp; "," &amp; B2266</f>
        <v>https://www.google.com/maps/search/?api=1&amp;query=-30.89467717682620,-55.54358543921520</v>
      </c>
      <c r="G2266" s="25" t="str">
        <f t="array" ref="G2266">"https://earth.google.com/web/search/" &amp; A2266 &amp; "," &amp; B2266</f>
        <v>https://earth.google.com/web/search/-30.89467717682620,-55.54358543921520</v>
      </c>
      <c r="H2266" s="12"/>
      <c r="I2266" s="12"/>
      <c r="J2266" s="12"/>
      <c r="K2266" s="12"/>
      <c r="L2266" s="12"/>
      <c r="M2266" s="12"/>
      <c r="N2266" s="12"/>
      <c r="O2266" s="12"/>
      <c r="P2266" s="12"/>
      <c r="Q2266" s="12"/>
      <c r="R2266" s="12"/>
      <c r="S2266" s="12"/>
      <c r="T2266" s="12"/>
      <c r="U2266" s="12"/>
      <c r="V2266" s="12"/>
      <c r="W2266" s="12"/>
      <c r="X2266" s="12"/>
      <c r="Y2266" s="12"/>
      <c r="Z2266" s="12"/>
      <c r="AA2266" s="12"/>
    </row>
    <row r="2267" ht="26.25" customHeight="1">
      <c r="A2267" s="28" t="s">
        <v>4544</v>
      </c>
      <c r="B2267" s="29" t="s">
        <v>4545</v>
      </c>
      <c r="C2267" s="30">
        <v>3.0</v>
      </c>
      <c r="D2267" s="31">
        <v>82.0</v>
      </c>
      <c r="E2267" s="31">
        <v>2.0</v>
      </c>
      <c r="F2267" s="32" t="str">
        <f t="array" ref="F2267">"https://www.google.com/maps/search/?api=1&amp;query=" &amp; A2267 &amp; "," &amp; B2267</f>
        <v>https://www.google.com/maps/search/?api=1&amp;query=-30.89481154564870,-55.54337115707490</v>
      </c>
      <c r="G2267" s="33" t="str">
        <f t="array" ref="G2267">"https://earth.google.com/web/search/" &amp; A2267 &amp; "," &amp; B2267</f>
        <v>https://earth.google.com/web/search/-30.89481154564870,-55.54337115707490</v>
      </c>
      <c r="H2267" s="12"/>
      <c r="I2267" s="12"/>
      <c r="J2267" s="12"/>
      <c r="K2267" s="12"/>
      <c r="L2267" s="12"/>
      <c r="M2267" s="12"/>
      <c r="N2267" s="12"/>
      <c r="O2267" s="12"/>
      <c r="P2267" s="12"/>
      <c r="Q2267" s="12"/>
      <c r="R2267" s="12"/>
      <c r="S2267" s="12"/>
      <c r="T2267" s="12"/>
      <c r="U2267" s="12"/>
      <c r="V2267" s="12"/>
      <c r="W2267" s="12"/>
      <c r="X2267" s="12"/>
      <c r="Y2267" s="12"/>
      <c r="Z2267" s="12"/>
      <c r="AA2267" s="12"/>
    </row>
    <row r="2268" ht="26.25" customHeight="1">
      <c r="A2268" s="34" t="s">
        <v>4546</v>
      </c>
      <c r="B2268" s="35" t="s">
        <v>4547</v>
      </c>
      <c r="C2268" s="36">
        <v>3.0</v>
      </c>
      <c r="D2268" s="37">
        <v>82.0</v>
      </c>
      <c r="E2268" s="37">
        <v>3.0</v>
      </c>
      <c r="F2268" s="24" t="str">
        <f t="array" ref="F2268">"https://www.google.com/maps/search/?api=1&amp;query=" &amp; A2268 &amp; "," &amp; B2268</f>
        <v>https://www.google.com/maps/search/?api=1&amp;query=-30.89486060999480,-55.54321592040840</v>
      </c>
      <c r="G2268" s="25" t="str">
        <f t="array" ref="G2268">"https://earth.google.com/web/search/" &amp; A2268 &amp; "," &amp; B2268</f>
        <v>https://earth.google.com/web/search/-30.89486060999480,-55.54321592040840</v>
      </c>
      <c r="H2268" s="12"/>
      <c r="I2268" s="12"/>
      <c r="J2268" s="12"/>
      <c r="K2268" s="12"/>
      <c r="L2268" s="12"/>
      <c r="M2268" s="12"/>
      <c r="N2268" s="12"/>
      <c r="O2268" s="12"/>
      <c r="P2268" s="12"/>
      <c r="Q2268" s="12"/>
      <c r="R2268" s="12"/>
      <c r="S2268" s="12"/>
      <c r="T2268" s="12"/>
      <c r="U2268" s="12"/>
      <c r="V2268" s="12"/>
      <c r="W2268" s="12"/>
      <c r="X2268" s="12"/>
      <c r="Y2268" s="12"/>
      <c r="Z2268" s="12"/>
      <c r="AA2268" s="12"/>
    </row>
    <row r="2269" ht="26.25" customHeight="1">
      <c r="A2269" s="28" t="s">
        <v>4548</v>
      </c>
      <c r="B2269" s="29" t="s">
        <v>4549</v>
      </c>
      <c r="C2269" s="30">
        <v>3.0</v>
      </c>
      <c r="D2269" s="31">
        <v>82.0</v>
      </c>
      <c r="E2269" s="31">
        <v>4.0</v>
      </c>
      <c r="F2269" s="32" t="str">
        <f t="array" ref="F2269">"https://www.google.com/maps/search/?api=1&amp;query=" &amp; A2269 &amp; "," &amp; B2269</f>
        <v>https://www.google.com/maps/search/?api=1&amp;query=-30.89505555560700,-55.54275160682870</v>
      </c>
      <c r="G2269" s="33" t="str">
        <f t="array" ref="G2269">"https://earth.google.com/web/search/" &amp; A2269 &amp; "," &amp; B2269</f>
        <v>https://earth.google.com/web/search/-30.89505555560700,-55.54275160682870</v>
      </c>
      <c r="H2269" s="12"/>
      <c r="I2269" s="12"/>
      <c r="J2269" s="12"/>
      <c r="K2269" s="12"/>
      <c r="L2269" s="12"/>
      <c r="M2269" s="12"/>
      <c r="N2269" s="12"/>
      <c r="O2269" s="12"/>
      <c r="P2269" s="12"/>
      <c r="Q2269" s="12"/>
      <c r="R2269" s="12"/>
      <c r="S2269" s="12"/>
      <c r="T2269" s="12"/>
      <c r="U2269" s="12"/>
      <c r="V2269" s="12"/>
      <c r="W2269" s="12"/>
      <c r="X2269" s="12"/>
      <c r="Y2269" s="12"/>
      <c r="Z2269" s="12"/>
      <c r="AA2269" s="12"/>
    </row>
    <row r="2270" ht="26.25" customHeight="1">
      <c r="A2270" s="34" t="s">
        <v>4550</v>
      </c>
      <c r="B2270" s="35" t="s">
        <v>4551</v>
      </c>
      <c r="C2270" s="36">
        <v>3.0</v>
      </c>
      <c r="D2270" s="37">
        <v>82.0</v>
      </c>
      <c r="E2270" s="37">
        <v>5.0</v>
      </c>
      <c r="F2270" s="24" t="str">
        <f t="array" ref="F2270">"https://www.google.com/maps/search/?api=1&amp;query=" &amp; A2270 &amp; "," &amp; B2270</f>
        <v>https://www.google.com/maps/search/?api=1&amp;query=-30.89434277185280,-55.54239698438300</v>
      </c>
      <c r="G2270" s="25" t="str">
        <f t="array" ref="G2270">"https://earth.google.com/web/search/" &amp; A2270 &amp; "," &amp; B2270</f>
        <v>https://earth.google.com/web/search/-30.89434277185280,-55.54239698438300</v>
      </c>
      <c r="H2270" s="12"/>
      <c r="I2270" s="12"/>
      <c r="J2270" s="12"/>
      <c r="K2270" s="12"/>
      <c r="L2270" s="12"/>
      <c r="M2270" s="12"/>
      <c r="N2270" s="12"/>
      <c r="O2270" s="12"/>
      <c r="P2270" s="12"/>
      <c r="Q2270" s="12"/>
      <c r="R2270" s="12"/>
      <c r="S2270" s="12"/>
      <c r="T2270" s="12"/>
      <c r="U2270" s="12"/>
      <c r="V2270" s="12"/>
      <c r="W2270" s="12"/>
      <c r="X2270" s="12"/>
      <c r="Y2270" s="12"/>
      <c r="Z2270" s="12"/>
      <c r="AA2270" s="12"/>
    </row>
    <row r="2271" ht="26.25" customHeight="1">
      <c r="A2271" s="28" t="s">
        <v>4552</v>
      </c>
      <c r="B2271" s="29" t="s">
        <v>4553</v>
      </c>
      <c r="C2271" s="30">
        <v>3.0</v>
      </c>
      <c r="D2271" s="31">
        <v>82.0</v>
      </c>
      <c r="E2271" s="31">
        <v>6.0</v>
      </c>
      <c r="F2271" s="32" t="str">
        <f t="array" ref="F2271">"https://www.google.com/maps/search/?api=1&amp;query=" &amp; A2271 &amp; "," &amp; B2271</f>
        <v>https://www.google.com/maps/search/?api=1&amp;query=-30.89425783735200,-55.54253610099380</v>
      </c>
      <c r="G2271" s="33" t="str">
        <f t="array" ref="G2271">"https://earth.google.com/web/search/" &amp; A2271 &amp; "," &amp; B2271</f>
        <v>https://earth.google.com/web/search/-30.89425783735200,-55.54253610099380</v>
      </c>
      <c r="H2271" s="12"/>
      <c r="I2271" s="12"/>
      <c r="J2271" s="12"/>
      <c r="K2271" s="12"/>
      <c r="L2271" s="12"/>
      <c r="M2271" s="12"/>
      <c r="N2271" s="12"/>
      <c r="O2271" s="12"/>
      <c r="P2271" s="12"/>
      <c r="Q2271" s="12"/>
      <c r="R2271" s="12"/>
      <c r="S2271" s="12"/>
      <c r="T2271" s="12"/>
      <c r="U2271" s="12"/>
      <c r="V2271" s="12"/>
      <c r="W2271" s="12"/>
      <c r="X2271" s="12"/>
      <c r="Y2271" s="12"/>
      <c r="Z2271" s="12"/>
      <c r="AA2271" s="12"/>
    </row>
    <row r="2272" ht="26.25" customHeight="1">
      <c r="A2272" s="34" t="s">
        <v>4554</v>
      </c>
      <c r="B2272" s="35" t="s">
        <v>4555</v>
      </c>
      <c r="C2272" s="36">
        <v>3.0</v>
      </c>
      <c r="D2272" s="37">
        <v>82.0</v>
      </c>
      <c r="E2272" s="37">
        <v>7.0</v>
      </c>
      <c r="F2272" s="24" t="str">
        <f t="array" ref="F2272">"https://www.google.com/maps/search/?api=1&amp;query=" &amp; A2272 &amp; "," &amp; B2272</f>
        <v>https://www.google.com/maps/search/?api=1&amp;query=-30.89420158164190,-55.54325895276720</v>
      </c>
      <c r="G2272" s="25" t="str">
        <f t="array" ref="G2272">"https://earth.google.com/web/search/" &amp; A2272 &amp; "," &amp; B2272</f>
        <v>https://earth.google.com/web/search/-30.89420158164190,-55.54325895276720</v>
      </c>
      <c r="H2272" s="12"/>
      <c r="I2272" s="12"/>
      <c r="J2272" s="12"/>
      <c r="K2272" s="12"/>
      <c r="L2272" s="12"/>
      <c r="M2272" s="12"/>
      <c r="N2272" s="12"/>
      <c r="O2272" s="12"/>
      <c r="P2272" s="12"/>
      <c r="Q2272" s="12"/>
      <c r="R2272" s="12"/>
      <c r="S2272" s="12"/>
      <c r="T2272" s="12"/>
      <c r="U2272" s="12"/>
      <c r="V2272" s="12"/>
      <c r="W2272" s="12"/>
      <c r="X2272" s="12"/>
      <c r="Y2272" s="12"/>
      <c r="Z2272" s="12"/>
      <c r="AA2272" s="12"/>
    </row>
    <row r="2273" ht="26.25" customHeight="1">
      <c r="A2273" s="28" t="s">
        <v>4556</v>
      </c>
      <c r="B2273" s="29" t="s">
        <v>4557</v>
      </c>
      <c r="C2273" s="30">
        <v>3.0</v>
      </c>
      <c r="D2273" s="31">
        <v>82.0</v>
      </c>
      <c r="E2273" s="31">
        <v>8.0</v>
      </c>
      <c r="F2273" s="32" t="str">
        <f t="array" ref="F2273">"https://www.google.com/maps/search/?api=1&amp;query=" &amp; A2273 &amp; "," &amp; B2273</f>
        <v>https://www.google.com/maps/search/?api=1&amp;query=-30.89444929147970,-55.54343980721800</v>
      </c>
      <c r="G2273" s="33" t="str">
        <f t="array" ref="G2273">"https://earth.google.com/web/search/" &amp; A2273 &amp; "," &amp; B2273</f>
        <v>https://earth.google.com/web/search/-30.89444929147970,-55.54343980721800</v>
      </c>
      <c r="H2273" s="12"/>
      <c r="I2273" s="12"/>
      <c r="J2273" s="12"/>
      <c r="K2273" s="12"/>
      <c r="L2273" s="12"/>
      <c r="M2273" s="12"/>
      <c r="N2273" s="12"/>
      <c r="O2273" s="12"/>
      <c r="P2273" s="12"/>
      <c r="Q2273" s="12"/>
      <c r="R2273" s="12"/>
      <c r="S2273" s="12"/>
      <c r="T2273" s="12"/>
      <c r="U2273" s="12"/>
      <c r="V2273" s="12"/>
      <c r="W2273" s="12"/>
      <c r="X2273" s="12"/>
      <c r="Y2273" s="12"/>
      <c r="Z2273" s="12"/>
      <c r="AA2273" s="12"/>
    </row>
    <row r="2274" ht="26.25" customHeight="1">
      <c r="A2274" s="34" t="s">
        <v>4558</v>
      </c>
      <c r="B2274" s="35" t="s">
        <v>4559</v>
      </c>
      <c r="C2274" s="36">
        <v>3.0</v>
      </c>
      <c r="D2274" s="37">
        <v>83.0</v>
      </c>
      <c r="E2274" s="37">
        <v>1.0</v>
      </c>
      <c r="F2274" s="24" t="str">
        <f t="array" ref="F2274">"https://www.google.com/maps/search/?api=1&amp;query=" &amp; A2274 &amp; "," &amp; B2274</f>
        <v>https://www.google.com/maps/search/?api=1&amp;query=-30.89423067925640,-55.54446702831900</v>
      </c>
      <c r="G2274" s="25" t="str">
        <f t="array" ref="G2274">"https://earth.google.com/web/search/" &amp; A2274 &amp; "," &amp; B2274</f>
        <v>https://earth.google.com/web/search/-30.89423067925640,-55.54446702831900</v>
      </c>
      <c r="H2274" s="12"/>
      <c r="I2274" s="12"/>
      <c r="J2274" s="12"/>
      <c r="K2274" s="12"/>
      <c r="L2274" s="12"/>
      <c r="M2274" s="12"/>
      <c r="N2274" s="12"/>
      <c r="O2274" s="12"/>
      <c r="P2274" s="12"/>
      <c r="Q2274" s="12"/>
      <c r="R2274" s="12"/>
      <c r="S2274" s="12"/>
      <c r="T2274" s="12"/>
      <c r="U2274" s="12"/>
      <c r="V2274" s="12"/>
      <c r="W2274" s="12"/>
      <c r="X2274" s="12"/>
      <c r="Y2274" s="12"/>
      <c r="Z2274" s="12"/>
      <c r="AA2274" s="12"/>
    </row>
    <row r="2275" ht="26.25" customHeight="1">
      <c r="A2275" s="28" t="s">
        <v>4560</v>
      </c>
      <c r="B2275" s="29" t="s">
        <v>4561</v>
      </c>
      <c r="C2275" s="30">
        <v>3.0</v>
      </c>
      <c r="D2275" s="31">
        <v>83.0</v>
      </c>
      <c r="E2275" s="31">
        <v>2.0</v>
      </c>
      <c r="F2275" s="32" t="str">
        <f t="array" ref="F2275">"https://www.google.com/maps/search/?api=1&amp;query=" &amp; A2275 &amp; "," &amp; B2275</f>
        <v>https://www.google.com/maps/search/?api=1&amp;query=-30.89424908624190,-55.54436616312430</v>
      </c>
      <c r="G2275" s="33" t="str">
        <f t="array" ref="G2275">"https://earth.google.com/web/search/" &amp; A2275 &amp; "," &amp; B2275</f>
        <v>https://earth.google.com/web/search/-30.89424908624190,-55.54436616312430</v>
      </c>
      <c r="H2275" s="12"/>
      <c r="I2275" s="12"/>
      <c r="J2275" s="12"/>
      <c r="K2275" s="12"/>
      <c r="L2275" s="12"/>
      <c r="M2275" s="12"/>
      <c r="N2275" s="12"/>
      <c r="O2275" s="12"/>
      <c r="P2275" s="12"/>
      <c r="Q2275" s="12"/>
      <c r="R2275" s="12"/>
      <c r="S2275" s="12"/>
      <c r="T2275" s="12"/>
      <c r="U2275" s="12"/>
      <c r="V2275" s="12"/>
      <c r="W2275" s="12"/>
      <c r="X2275" s="12"/>
      <c r="Y2275" s="12"/>
      <c r="Z2275" s="12"/>
      <c r="AA2275" s="12"/>
    </row>
    <row r="2276" ht="26.25" customHeight="1">
      <c r="A2276" s="34" t="s">
        <v>4562</v>
      </c>
      <c r="B2276" s="35" t="s">
        <v>4563</v>
      </c>
      <c r="C2276" s="36">
        <v>3.0</v>
      </c>
      <c r="D2276" s="37">
        <v>83.0</v>
      </c>
      <c r="E2276" s="37">
        <v>3.0</v>
      </c>
      <c r="F2276" s="24" t="str">
        <f t="array" ref="F2276">"https://www.google.com/maps/search/?api=1&amp;query=" &amp; A2276 &amp; "," &amp; B2276</f>
        <v>https://www.google.com/maps/search/?api=1&amp;query=-30.89435501432310,-5.55441910024464</v>
      </c>
      <c r="G2276" s="25" t="str">
        <f t="array" ref="G2276">"https://earth.google.com/web/search/" &amp; A2276 &amp; "," &amp; B2276</f>
        <v>https://earth.google.com/web/search/-30.89435501432310,-5.55441910024464</v>
      </c>
      <c r="H2276" s="12"/>
      <c r="I2276" s="12"/>
      <c r="J2276" s="12"/>
      <c r="K2276" s="12"/>
      <c r="L2276" s="12"/>
      <c r="M2276" s="12"/>
      <c r="N2276" s="12"/>
      <c r="O2276" s="12"/>
      <c r="P2276" s="12"/>
      <c r="Q2276" s="12"/>
      <c r="R2276" s="12"/>
      <c r="S2276" s="12"/>
      <c r="T2276" s="12"/>
      <c r="U2276" s="12"/>
      <c r="V2276" s="12"/>
      <c r="W2276" s="12"/>
      <c r="X2276" s="12"/>
      <c r="Y2276" s="12"/>
      <c r="Z2276" s="12"/>
      <c r="AA2276" s="12"/>
    </row>
    <row r="2277" ht="26.25" customHeight="1">
      <c r="A2277" s="28" t="s">
        <v>4564</v>
      </c>
      <c r="B2277" s="29" t="s">
        <v>4565</v>
      </c>
      <c r="C2277" s="30">
        <v>3.0</v>
      </c>
      <c r="D2277" s="31">
        <v>83.0</v>
      </c>
      <c r="E2277" s="31">
        <v>4.0</v>
      </c>
      <c r="F2277" s="32" t="str">
        <f t="array" ref="F2277">"https://www.google.com/maps/search/?api=1&amp;query=" &amp; A2277 &amp; "," &amp; B2277</f>
        <v>https://www.google.com/maps/search/?api=1&amp;query=-30.89402323308320,-55.54329456020230</v>
      </c>
      <c r="G2277" s="33" t="str">
        <f t="array" ref="G2277">"https://earth.google.com/web/search/" &amp; A2277 &amp; "," &amp; B2277</f>
        <v>https://earth.google.com/web/search/-30.89402323308320,-55.54329456020230</v>
      </c>
      <c r="H2277" s="12"/>
      <c r="I2277" s="12"/>
      <c r="J2277" s="12"/>
      <c r="K2277" s="12"/>
      <c r="L2277" s="12"/>
      <c r="M2277" s="12"/>
      <c r="N2277" s="12"/>
      <c r="O2277" s="12"/>
      <c r="P2277" s="12"/>
      <c r="Q2277" s="12"/>
      <c r="R2277" s="12"/>
      <c r="S2277" s="12"/>
      <c r="T2277" s="12"/>
      <c r="U2277" s="12"/>
      <c r="V2277" s="12"/>
      <c r="W2277" s="12"/>
      <c r="X2277" s="12"/>
      <c r="Y2277" s="12"/>
      <c r="Z2277" s="12"/>
      <c r="AA2277" s="12"/>
    </row>
    <row r="2278" ht="26.25" customHeight="1">
      <c r="A2278" s="34" t="s">
        <v>4566</v>
      </c>
      <c r="B2278" s="35" t="s">
        <v>4567</v>
      </c>
      <c r="C2278" s="36">
        <v>3.0</v>
      </c>
      <c r="D2278" s="37">
        <v>83.0</v>
      </c>
      <c r="E2278" s="37">
        <v>5.0</v>
      </c>
      <c r="F2278" s="24" t="str">
        <f t="array" ref="F2278">"https://www.google.com/maps/search/?api=1&amp;query=" &amp; A2278 &amp; "," &amp; B2278</f>
        <v>https://www.google.com/maps/search/?api=1&amp;query=-30.89397513802750,-55.54324785087640</v>
      </c>
      <c r="G2278" s="25" t="str">
        <f t="array" ref="G2278">"https://earth.google.com/web/search/" &amp; A2278 &amp; "," &amp; B2278</f>
        <v>https://earth.google.com/web/search/-30.89397513802750,-55.54324785087640</v>
      </c>
      <c r="H2278" s="12"/>
      <c r="I2278" s="12"/>
      <c r="J2278" s="12"/>
      <c r="K2278" s="12"/>
      <c r="L2278" s="12"/>
      <c r="M2278" s="12"/>
      <c r="N2278" s="12"/>
      <c r="O2278" s="12"/>
      <c r="P2278" s="12"/>
      <c r="Q2278" s="12"/>
      <c r="R2278" s="12"/>
      <c r="S2278" s="12"/>
      <c r="T2278" s="12"/>
      <c r="U2278" s="12"/>
      <c r="V2278" s="12"/>
      <c r="W2278" s="12"/>
      <c r="X2278" s="12"/>
      <c r="Y2278" s="12"/>
      <c r="Z2278" s="12"/>
      <c r="AA2278" s="12"/>
    </row>
    <row r="2279" ht="26.25" customHeight="1">
      <c r="A2279" s="28" t="s">
        <v>4568</v>
      </c>
      <c r="B2279" s="29" t="s">
        <v>4569</v>
      </c>
      <c r="C2279" s="30">
        <v>3.0</v>
      </c>
      <c r="D2279" s="31">
        <v>83.0</v>
      </c>
      <c r="E2279" s="31">
        <v>6.0</v>
      </c>
      <c r="F2279" s="32" t="str">
        <f t="array" ref="F2279">"https://www.google.com/maps/search/?api=1&amp;query=" &amp; A2279 &amp; "," &amp; B2279</f>
        <v>https://www.google.com/maps/search/?api=1&amp;query=-30.89392328271000,-55.54321269223610</v>
      </c>
      <c r="G2279" s="33" t="str">
        <f t="array" ref="G2279">"https://earth.google.com/web/search/" &amp; A2279 &amp; "," &amp; B2279</f>
        <v>https://earth.google.com/web/search/-30.89392328271000,-55.54321269223610</v>
      </c>
      <c r="H2279" s="12"/>
      <c r="I2279" s="12"/>
      <c r="J2279" s="12"/>
      <c r="K2279" s="12"/>
      <c r="L2279" s="12"/>
      <c r="M2279" s="12"/>
      <c r="N2279" s="12"/>
      <c r="O2279" s="12"/>
      <c r="P2279" s="12"/>
      <c r="Q2279" s="12"/>
      <c r="R2279" s="12"/>
      <c r="S2279" s="12"/>
      <c r="T2279" s="12"/>
      <c r="U2279" s="12"/>
      <c r="V2279" s="12"/>
      <c r="W2279" s="12"/>
      <c r="X2279" s="12"/>
      <c r="Y2279" s="12"/>
      <c r="Z2279" s="12"/>
      <c r="AA2279" s="12"/>
    </row>
    <row r="2280" ht="26.25" customHeight="1">
      <c r="A2280" s="34" t="s">
        <v>4570</v>
      </c>
      <c r="B2280" s="35" t="s">
        <v>4571</v>
      </c>
      <c r="C2280" s="36">
        <v>3.0</v>
      </c>
      <c r="D2280" s="37">
        <v>83.0</v>
      </c>
      <c r="E2280" s="37">
        <v>7.0</v>
      </c>
      <c r="F2280" s="24" t="str">
        <f t="array" ref="F2280">"https://www.google.com/maps/search/?api=1&amp;query=" &amp; A2280 &amp; "," &amp; B2280</f>
        <v>https://www.google.com/maps/search/?api=1&amp;query=-30.89381156925640,-55.54337377968560</v>
      </c>
      <c r="G2280" s="25" t="str">
        <f t="array" ref="G2280">"https://earth.google.com/web/search/" &amp; A2280 &amp; "," &amp; B2280</f>
        <v>https://earth.google.com/web/search/-30.89381156925640,-55.54337377968560</v>
      </c>
      <c r="H2280" s="12"/>
      <c r="I2280" s="12"/>
      <c r="J2280" s="12"/>
      <c r="K2280" s="12"/>
      <c r="L2280" s="12"/>
      <c r="M2280" s="12"/>
      <c r="N2280" s="12"/>
      <c r="O2280" s="12"/>
      <c r="P2280" s="12"/>
      <c r="Q2280" s="12"/>
      <c r="R2280" s="12"/>
      <c r="S2280" s="12"/>
      <c r="T2280" s="12"/>
      <c r="U2280" s="12"/>
      <c r="V2280" s="12"/>
      <c r="W2280" s="12"/>
      <c r="X2280" s="12"/>
      <c r="Y2280" s="12"/>
      <c r="Z2280" s="12"/>
      <c r="AA2280" s="12"/>
    </row>
    <row r="2281" ht="26.25" customHeight="1">
      <c r="A2281" s="28" t="s">
        <v>4572</v>
      </c>
      <c r="B2281" s="29" t="s">
        <v>4573</v>
      </c>
      <c r="C2281" s="30">
        <v>3.0</v>
      </c>
      <c r="D2281" s="31">
        <v>83.0</v>
      </c>
      <c r="E2281" s="31">
        <v>8.0</v>
      </c>
      <c r="F2281" s="32" t="str">
        <f t="array" ref="F2281">"https://www.google.com/maps/search/?api=1&amp;query=" &amp; A2281 &amp; "," &amp; B2281</f>
        <v>https://www.google.com/maps/search/?api=1&amp;query=-0.30893661141965,-55.54368197434710</v>
      </c>
      <c r="G2281" s="33" t="str">
        <f t="array" ref="G2281">"https://earth.google.com/web/search/" &amp; A2281 &amp; "," &amp; B2281</f>
        <v>https://earth.google.com/web/search/-0.30893661141965,-55.54368197434710</v>
      </c>
      <c r="H2281" s="12"/>
      <c r="I2281" s="12"/>
      <c r="J2281" s="12"/>
      <c r="K2281" s="12"/>
      <c r="L2281" s="12"/>
      <c r="M2281" s="12"/>
      <c r="N2281" s="12"/>
      <c r="O2281" s="12"/>
      <c r="P2281" s="12"/>
      <c r="Q2281" s="12"/>
      <c r="R2281" s="12"/>
      <c r="S2281" s="12"/>
      <c r="T2281" s="12"/>
      <c r="U2281" s="12"/>
      <c r="V2281" s="12"/>
      <c r="W2281" s="12"/>
      <c r="X2281" s="12"/>
      <c r="Y2281" s="12"/>
      <c r="Z2281" s="12"/>
      <c r="AA2281" s="12"/>
    </row>
    <row r="2282" ht="26.25" customHeight="1">
      <c r="A2282" s="34" t="s">
        <v>4574</v>
      </c>
      <c r="B2282" s="35" t="s">
        <v>4575</v>
      </c>
      <c r="C2282" s="36">
        <v>3.0</v>
      </c>
      <c r="D2282" s="37">
        <v>83.0</v>
      </c>
      <c r="E2282" s="37">
        <v>9.0</v>
      </c>
      <c r="F2282" s="24" t="str">
        <f t="array" ref="F2282">"https://www.google.com/maps/search/?api=1&amp;query=" &amp; A2282 &amp; "," &amp; B2282</f>
        <v>https://www.google.com/maps/search/?api=1&amp;query=-30.89361140521940,-55.54376997728800</v>
      </c>
      <c r="G2282" s="25" t="str">
        <f t="array" ref="G2282">"https://earth.google.com/web/search/" &amp; A2282 &amp; "," &amp; B2282</f>
        <v>https://earth.google.com/web/search/-30.89361140521940,-55.54376997728800</v>
      </c>
      <c r="H2282" s="12"/>
      <c r="I2282" s="12"/>
      <c r="J2282" s="12"/>
      <c r="K2282" s="12"/>
      <c r="L2282" s="12"/>
      <c r="M2282" s="12"/>
      <c r="N2282" s="12"/>
      <c r="O2282" s="12"/>
      <c r="P2282" s="12"/>
      <c r="Q2282" s="12"/>
      <c r="R2282" s="12"/>
      <c r="S2282" s="12"/>
      <c r="T2282" s="12"/>
      <c r="U2282" s="12"/>
      <c r="V2282" s="12"/>
      <c r="W2282" s="12"/>
      <c r="X2282" s="12"/>
      <c r="Y2282" s="12"/>
      <c r="Z2282" s="12"/>
      <c r="AA2282" s="12"/>
    </row>
    <row r="2283" ht="26.25" customHeight="1">
      <c r="A2283" s="28" t="s">
        <v>4576</v>
      </c>
      <c r="B2283" s="29" t="s">
        <v>4577</v>
      </c>
      <c r="C2283" s="30">
        <v>3.0</v>
      </c>
      <c r="D2283" s="31">
        <v>83.0</v>
      </c>
      <c r="E2283" s="31">
        <v>10.0</v>
      </c>
      <c r="F2283" s="32" t="str">
        <f t="array" ref="F2283">"https://www.google.com/maps/search/?api=1&amp;query=" &amp; A2283 &amp; "," &amp; B2283</f>
        <v>https://www.google.com/maps/search/?api=1&amp;query=-3.08935173511006,-55.54390670241990</v>
      </c>
      <c r="G2283" s="33" t="str">
        <f t="array" ref="G2283">"https://earth.google.com/web/search/" &amp; A2283 &amp; "," &amp; B2283</f>
        <v>https://earth.google.com/web/search/-3.08935173511006,-55.54390670241990</v>
      </c>
      <c r="H2283" s="12"/>
      <c r="I2283" s="12"/>
      <c r="J2283" s="12"/>
      <c r="K2283" s="12"/>
      <c r="L2283" s="12"/>
      <c r="M2283" s="12"/>
      <c r="N2283" s="12"/>
      <c r="O2283" s="12"/>
      <c r="P2283" s="12"/>
      <c r="Q2283" s="12"/>
      <c r="R2283" s="12"/>
      <c r="S2283" s="12"/>
      <c r="T2283" s="12"/>
      <c r="U2283" s="12"/>
      <c r="V2283" s="12"/>
      <c r="W2283" s="12"/>
      <c r="X2283" s="12"/>
      <c r="Y2283" s="12"/>
      <c r="Z2283" s="12"/>
      <c r="AA2283" s="12"/>
    </row>
    <row r="2284" ht="26.25" customHeight="1">
      <c r="A2284" s="34" t="s">
        <v>4578</v>
      </c>
      <c r="B2284" s="35" t="s">
        <v>4579</v>
      </c>
      <c r="C2284" s="36">
        <v>3.0</v>
      </c>
      <c r="D2284" s="37">
        <v>83.0</v>
      </c>
      <c r="E2284" s="37">
        <v>11.0</v>
      </c>
      <c r="F2284" s="24" t="str">
        <f t="array" ref="F2284">"https://www.google.com/maps/search/?api=1&amp;query=" &amp; A2284 &amp; "," &amp; B2284</f>
        <v>https://www.google.com/maps/search/?api=1&amp;query=-30.89364814678320,-5.55441530934955</v>
      </c>
      <c r="G2284" s="25" t="str">
        <f t="array" ref="G2284">"https://earth.google.com/web/search/" &amp; A2284 &amp; "," &amp; B2284</f>
        <v>https://earth.google.com/web/search/-30.89364814678320,-5.55441530934955</v>
      </c>
      <c r="H2284" s="12"/>
      <c r="I2284" s="12"/>
      <c r="J2284" s="12"/>
      <c r="K2284" s="12"/>
      <c r="L2284" s="12"/>
      <c r="M2284" s="12"/>
      <c r="N2284" s="12"/>
      <c r="O2284" s="12"/>
      <c r="P2284" s="12"/>
      <c r="Q2284" s="12"/>
      <c r="R2284" s="12"/>
      <c r="S2284" s="12"/>
      <c r="T2284" s="12"/>
      <c r="U2284" s="12"/>
      <c r="V2284" s="12"/>
      <c r="W2284" s="12"/>
      <c r="X2284" s="12"/>
      <c r="Y2284" s="12"/>
      <c r="Z2284" s="12"/>
      <c r="AA2284" s="12"/>
    </row>
    <row r="2285" ht="26.25" customHeight="1">
      <c r="A2285" s="28" t="s">
        <v>4580</v>
      </c>
      <c r="B2285" s="29" t="s">
        <v>4581</v>
      </c>
      <c r="C2285" s="30">
        <v>3.0</v>
      </c>
      <c r="D2285" s="31">
        <v>84.0</v>
      </c>
      <c r="E2285" s="31">
        <v>1.0</v>
      </c>
      <c r="F2285" s="32" t="str">
        <f t="array" ref="F2285">"https://www.google.com/maps/search/?api=1&amp;query=" &amp; A2285 &amp; "," &amp; B2285</f>
        <v>https://www.google.com/maps/search/?api=1&amp;query=-30.89375207341650,-55.54433865622930</v>
      </c>
      <c r="G2285" s="33" t="str">
        <f t="array" ref="G2285">"https://earth.google.com/web/search/" &amp; A2285 &amp; "," &amp; B2285</f>
        <v>https://earth.google.com/web/search/-30.89375207341650,-55.54433865622930</v>
      </c>
      <c r="H2285" s="12"/>
      <c r="I2285" s="12"/>
      <c r="J2285" s="12"/>
      <c r="K2285" s="12"/>
      <c r="L2285" s="12"/>
      <c r="M2285" s="12"/>
      <c r="N2285" s="12"/>
      <c r="O2285" s="12"/>
      <c r="P2285" s="12"/>
      <c r="Q2285" s="12"/>
      <c r="R2285" s="12"/>
      <c r="S2285" s="12"/>
      <c r="T2285" s="12"/>
      <c r="U2285" s="12"/>
      <c r="V2285" s="12"/>
      <c r="W2285" s="12"/>
      <c r="X2285" s="12"/>
      <c r="Y2285" s="12"/>
      <c r="Z2285" s="12"/>
      <c r="AA2285" s="12"/>
    </row>
    <row r="2286" ht="26.25" customHeight="1">
      <c r="A2286" s="34" t="s">
        <v>4582</v>
      </c>
      <c r="B2286" s="35" t="s">
        <v>4583</v>
      </c>
      <c r="C2286" s="36">
        <v>3.0</v>
      </c>
      <c r="D2286" s="37">
        <v>84.0</v>
      </c>
      <c r="E2286" s="37">
        <v>2.0</v>
      </c>
      <c r="F2286" s="24" t="str">
        <f t="array" ref="F2286">"https://www.google.com/maps/search/?api=1&amp;query=" &amp; A2286 &amp; "," &amp; B2286</f>
        <v>https://www.google.com/maps/search/?api=1&amp;query=-30.89320157457690,-55.54454511727560</v>
      </c>
      <c r="G2286" s="25" t="str">
        <f t="array" ref="G2286">"https://earth.google.com/web/search/" &amp; A2286 &amp; "," &amp; B2286</f>
        <v>https://earth.google.com/web/search/-30.89320157457690,-55.54454511727560</v>
      </c>
      <c r="H2286" s="12"/>
      <c r="I2286" s="12"/>
      <c r="J2286" s="12"/>
      <c r="K2286" s="12"/>
      <c r="L2286" s="12"/>
      <c r="M2286" s="12"/>
      <c r="N2286" s="12"/>
      <c r="O2286" s="12"/>
      <c r="P2286" s="12"/>
      <c r="Q2286" s="12"/>
      <c r="R2286" s="12"/>
      <c r="S2286" s="12"/>
      <c r="T2286" s="12"/>
      <c r="U2286" s="12"/>
      <c r="V2286" s="12"/>
      <c r="W2286" s="12"/>
      <c r="X2286" s="12"/>
      <c r="Y2286" s="12"/>
      <c r="Z2286" s="12"/>
      <c r="AA2286" s="12"/>
    </row>
    <row r="2287" ht="26.25" customHeight="1">
      <c r="A2287" s="28" t="s">
        <v>4584</v>
      </c>
      <c r="B2287" s="29" t="s">
        <v>4585</v>
      </c>
      <c r="C2287" s="30">
        <v>3.0</v>
      </c>
      <c r="D2287" s="31">
        <v>84.0</v>
      </c>
      <c r="E2287" s="31">
        <v>3.0</v>
      </c>
      <c r="F2287" s="32" t="str">
        <f t="array" ref="F2287">"https://www.google.com/maps/search/?api=1&amp;query=" &amp; A2287 &amp; "," &amp; B2287</f>
        <v>https://www.google.com/maps/search/?api=1&amp;query=-30.89315139162530,-55.54463004202420</v>
      </c>
      <c r="G2287" s="33" t="str">
        <f t="array" ref="G2287">"https://earth.google.com/web/search/" &amp; A2287 &amp; "," &amp; B2287</f>
        <v>https://earth.google.com/web/search/-30.89315139162530,-55.54463004202420</v>
      </c>
      <c r="H2287" s="12"/>
      <c r="I2287" s="12"/>
      <c r="J2287" s="12"/>
      <c r="K2287" s="12"/>
      <c r="L2287" s="12"/>
      <c r="M2287" s="12"/>
      <c r="N2287" s="12"/>
      <c r="O2287" s="12"/>
      <c r="P2287" s="12"/>
      <c r="Q2287" s="12"/>
      <c r="R2287" s="12"/>
      <c r="S2287" s="12"/>
      <c r="T2287" s="12"/>
      <c r="U2287" s="12"/>
      <c r="V2287" s="12"/>
      <c r="W2287" s="12"/>
      <c r="X2287" s="12"/>
      <c r="Y2287" s="12"/>
      <c r="Z2287" s="12"/>
      <c r="AA2287" s="12"/>
    </row>
    <row r="2288" ht="26.25" customHeight="1">
      <c r="A2288" s="34" t="s">
        <v>4586</v>
      </c>
      <c r="B2288" s="35" t="s">
        <v>4587</v>
      </c>
      <c r="C2288" s="36">
        <v>3.0</v>
      </c>
      <c r="D2288" s="37">
        <v>84.0</v>
      </c>
      <c r="E2288" s="37">
        <v>4.0</v>
      </c>
      <c r="F2288" s="24" t="str">
        <f t="array" ref="F2288">"https://www.google.com/maps/search/?api=1&amp;query=" &amp; A2288 &amp; "," &amp; B2288</f>
        <v>https://www.google.com/maps/search/?api=1&amp;query=-3.08930879747369,-55.54478988288620</v>
      </c>
      <c r="G2288" s="25" t="str">
        <f t="array" ref="G2288">"https://earth.google.com/web/search/" &amp; A2288 &amp; "," &amp; B2288</f>
        <v>https://earth.google.com/web/search/-3.08930879747369,-55.54478988288620</v>
      </c>
      <c r="H2288" s="12"/>
      <c r="I2288" s="12"/>
      <c r="J2288" s="12"/>
      <c r="K2288" s="12"/>
      <c r="L2288" s="12"/>
      <c r="M2288" s="12"/>
      <c r="N2288" s="12"/>
      <c r="O2288" s="12"/>
      <c r="P2288" s="12"/>
      <c r="Q2288" s="12"/>
      <c r="R2288" s="12"/>
      <c r="S2288" s="12"/>
      <c r="T2288" s="12"/>
      <c r="U2288" s="12"/>
      <c r="V2288" s="12"/>
      <c r="W2288" s="12"/>
      <c r="X2288" s="12"/>
      <c r="Y2288" s="12"/>
      <c r="Z2288" s="12"/>
      <c r="AA2288" s="12"/>
    </row>
    <row r="2289" ht="26.25" customHeight="1">
      <c r="A2289" s="28" t="s">
        <v>4588</v>
      </c>
      <c r="B2289" s="29" t="s">
        <v>4589</v>
      </c>
      <c r="C2289" s="30">
        <v>3.0</v>
      </c>
      <c r="D2289" s="31">
        <v>84.0</v>
      </c>
      <c r="E2289" s="31">
        <v>5.0</v>
      </c>
      <c r="F2289" s="32" t="str">
        <f t="array" ref="F2289">"https://www.google.com/maps/search/?api=1&amp;query=" &amp; A2289 &amp; "," &amp; B2289</f>
        <v>https://www.google.com/maps/search/?api=1&amp;query=-30.89340847494530,-55.54523900248320</v>
      </c>
      <c r="G2289" s="33" t="str">
        <f t="array" ref="G2289">"https://earth.google.com/web/search/" &amp; A2289 &amp; "," &amp; B2289</f>
        <v>https://earth.google.com/web/search/-30.89340847494530,-55.54523900248320</v>
      </c>
      <c r="H2289" s="12"/>
      <c r="I2289" s="12"/>
      <c r="J2289" s="12"/>
      <c r="K2289" s="12"/>
      <c r="L2289" s="12"/>
      <c r="M2289" s="12"/>
      <c r="N2289" s="12"/>
      <c r="O2289" s="12"/>
      <c r="P2289" s="12"/>
      <c r="Q2289" s="12"/>
      <c r="R2289" s="12"/>
      <c r="S2289" s="12"/>
      <c r="T2289" s="12"/>
      <c r="U2289" s="12"/>
      <c r="V2289" s="12"/>
      <c r="W2289" s="12"/>
      <c r="X2289" s="12"/>
      <c r="Y2289" s="12"/>
      <c r="Z2289" s="12"/>
      <c r="AA2289" s="12"/>
    </row>
    <row r="2290" ht="26.25" customHeight="1">
      <c r="A2290" s="34" t="s">
        <v>4590</v>
      </c>
      <c r="B2290" s="35" t="s">
        <v>4591</v>
      </c>
      <c r="C2290" s="36">
        <v>3.0</v>
      </c>
      <c r="D2290" s="37">
        <v>84.0</v>
      </c>
      <c r="E2290" s="37">
        <v>6.0</v>
      </c>
      <c r="F2290" s="24" t="str">
        <f t="array" ref="F2290">"https://www.google.com/maps/search/?api=1&amp;query=" &amp; A2290 &amp; "," &amp; B2290</f>
        <v>https://www.google.com/maps/search/?api=1&amp;query=-30.89347741102080,-55.54526920581230</v>
      </c>
      <c r="G2290" s="25" t="str">
        <f t="array" ref="G2290">"https://earth.google.com/web/search/" &amp; A2290 &amp; "," &amp; B2290</f>
        <v>https://earth.google.com/web/search/-30.89347741102080,-55.54526920581230</v>
      </c>
      <c r="H2290" s="12"/>
      <c r="I2290" s="12"/>
      <c r="J2290" s="12"/>
      <c r="K2290" s="12"/>
      <c r="L2290" s="12"/>
      <c r="M2290" s="12"/>
      <c r="N2290" s="12"/>
      <c r="O2290" s="12"/>
      <c r="P2290" s="12"/>
      <c r="Q2290" s="12"/>
      <c r="R2290" s="12"/>
      <c r="S2290" s="12"/>
      <c r="T2290" s="12"/>
      <c r="U2290" s="12"/>
      <c r="V2290" s="12"/>
      <c r="W2290" s="12"/>
      <c r="X2290" s="12"/>
      <c r="Y2290" s="12"/>
      <c r="Z2290" s="12"/>
      <c r="AA2290" s="12"/>
    </row>
    <row r="2291" ht="26.25" customHeight="1">
      <c r="A2291" s="28" t="s">
        <v>4592</v>
      </c>
      <c r="B2291" s="29" t="s">
        <v>4593</v>
      </c>
      <c r="C2291" s="30">
        <v>3.0</v>
      </c>
      <c r="D2291" s="31">
        <v>84.0</v>
      </c>
      <c r="E2291" s="31">
        <v>7.0</v>
      </c>
      <c r="F2291" s="32" t="str">
        <f t="array" ref="F2291">"https://www.google.com/maps/search/?api=1&amp;query=" &amp; A2291 &amp; "," &amp; B2291</f>
        <v>https://www.google.com/maps/search/?api=1&amp;query=-30.89366814826290,-55.54540021251130</v>
      </c>
      <c r="G2291" s="33" t="str">
        <f t="array" ref="G2291">"https://earth.google.com/web/search/" &amp; A2291 &amp; "," &amp; B2291</f>
        <v>https://earth.google.com/web/search/-30.89366814826290,-55.54540021251130</v>
      </c>
      <c r="H2291" s="12"/>
      <c r="I2291" s="12"/>
      <c r="J2291" s="12"/>
      <c r="K2291" s="12"/>
      <c r="L2291" s="12"/>
      <c r="M2291" s="12"/>
      <c r="N2291" s="12"/>
      <c r="O2291" s="12"/>
      <c r="P2291" s="12"/>
      <c r="Q2291" s="12"/>
      <c r="R2291" s="12"/>
      <c r="S2291" s="12"/>
      <c r="T2291" s="12"/>
      <c r="U2291" s="12"/>
      <c r="V2291" s="12"/>
      <c r="W2291" s="12"/>
      <c r="X2291" s="12"/>
      <c r="Y2291" s="12"/>
      <c r="Z2291" s="12"/>
      <c r="AA2291" s="12"/>
    </row>
    <row r="2292" ht="26.25" customHeight="1">
      <c r="A2292" s="34" t="s">
        <v>4594</v>
      </c>
      <c r="B2292" s="35" t="s">
        <v>4595</v>
      </c>
      <c r="C2292" s="36">
        <v>3.0</v>
      </c>
      <c r="D2292" s="37">
        <v>85.0</v>
      </c>
      <c r="E2292" s="37">
        <v>1.0</v>
      </c>
      <c r="F2292" s="24" t="str">
        <f t="array" ref="F2292">"https://www.google.com/maps/search/?api=1&amp;query=" &amp; A2292 &amp; "," &amp; B2292</f>
        <v>https://www.google.com/maps/search/?api=1&amp;query=-30.89337839356240,-55.54605050129700</v>
      </c>
      <c r="G2292" s="25" t="str">
        <f t="array" ref="G2292">"https://earth.google.com/web/search/" &amp; A2292 &amp; "," &amp; B2292</f>
        <v>https://earth.google.com/web/search/-30.89337839356240,-55.54605050129700</v>
      </c>
      <c r="H2292" s="12"/>
      <c r="I2292" s="12"/>
      <c r="J2292" s="12"/>
      <c r="K2292" s="12"/>
      <c r="L2292" s="12"/>
      <c r="M2292" s="12"/>
      <c r="N2292" s="12"/>
      <c r="O2292" s="12"/>
      <c r="P2292" s="12"/>
      <c r="Q2292" s="12"/>
      <c r="R2292" s="12"/>
      <c r="S2292" s="12"/>
      <c r="T2292" s="12"/>
      <c r="U2292" s="12"/>
      <c r="V2292" s="12"/>
      <c r="W2292" s="12"/>
      <c r="X2292" s="12"/>
      <c r="Y2292" s="12"/>
      <c r="Z2292" s="12"/>
      <c r="AA2292" s="12"/>
    </row>
    <row r="2293" ht="26.25" customHeight="1">
      <c r="A2293" s="28" t="s">
        <v>4596</v>
      </c>
      <c r="B2293" s="29" t="s">
        <v>4597</v>
      </c>
      <c r="C2293" s="30">
        <v>3.0</v>
      </c>
      <c r="D2293" s="31">
        <v>85.0</v>
      </c>
      <c r="E2293" s="31">
        <v>2.0</v>
      </c>
      <c r="F2293" s="32" t="str">
        <f t="array" ref="F2293">"https://www.google.com/maps/search/?api=1&amp;query=" &amp; A2293 &amp; "," &amp; B2293</f>
        <v>https://www.google.com/maps/search/?api=1&amp;query=-30.89340943226300,-55.54597328987150</v>
      </c>
      <c r="G2293" s="33" t="str">
        <f t="array" ref="G2293">"https://earth.google.com/web/search/" &amp; A2293 &amp; "," &amp; B2293</f>
        <v>https://earth.google.com/web/search/-30.89340943226300,-55.54597328987150</v>
      </c>
      <c r="H2293" s="12"/>
      <c r="I2293" s="12"/>
      <c r="J2293" s="12"/>
      <c r="K2293" s="12"/>
      <c r="L2293" s="12"/>
      <c r="M2293" s="12"/>
      <c r="N2293" s="12"/>
      <c r="O2293" s="12"/>
      <c r="P2293" s="12"/>
      <c r="Q2293" s="12"/>
      <c r="R2293" s="12"/>
      <c r="S2293" s="12"/>
      <c r="T2293" s="12"/>
      <c r="U2293" s="12"/>
      <c r="V2293" s="12"/>
      <c r="W2293" s="12"/>
      <c r="X2293" s="12"/>
      <c r="Y2293" s="12"/>
      <c r="Z2293" s="12"/>
      <c r="AA2293" s="12"/>
    </row>
    <row r="2294" ht="26.25" customHeight="1">
      <c r="A2294" s="34" t="s">
        <v>4598</v>
      </c>
      <c r="B2294" s="35" t="s">
        <v>4599</v>
      </c>
      <c r="C2294" s="36">
        <v>3.0</v>
      </c>
      <c r="D2294" s="37">
        <v>85.0</v>
      </c>
      <c r="E2294" s="37">
        <v>3.0</v>
      </c>
      <c r="F2294" s="24" t="str">
        <f t="array" ref="F2294">"https://www.google.com/maps/search/?api=1&amp;query=" &amp; A2294 &amp; "," &amp; B2294</f>
        <v>https://www.google.com/maps/search/?api=1&amp;query=-30.89346119225420,-55.54591737729150</v>
      </c>
      <c r="G2294" s="25" t="str">
        <f t="array" ref="G2294">"https://earth.google.com/web/search/" &amp; A2294 &amp; "," &amp; B2294</f>
        <v>https://earth.google.com/web/search/-30.89346119225420,-55.54591737729150</v>
      </c>
      <c r="H2294" s="12"/>
      <c r="I2294" s="12"/>
      <c r="J2294" s="12"/>
      <c r="K2294" s="12"/>
      <c r="L2294" s="12"/>
      <c r="M2294" s="12"/>
      <c r="N2294" s="12"/>
      <c r="O2294" s="12"/>
      <c r="P2294" s="12"/>
      <c r="Q2294" s="12"/>
      <c r="R2294" s="12"/>
      <c r="S2294" s="12"/>
      <c r="T2294" s="12"/>
      <c r="U2294" s="12"/>
      <c r="V2294" s="12"/>
      <c r="W2294" s="12"/>
      <c r="X2294" s="12"/>
      <c r="Y2294" s="12"/>
      <c r="Z2294" s="12"/>
      <c r="AA2294" s="12"/>
    </row>
    <row r="2295" ht="26.25" customHeight="1">
      <c r="A2295" s="28" t="s">
        <v>4600</v>
      </c>
      <c r="B2295" s="29" t="s">
        <v>4601</v>
      </c>
      <c r="C2295" s="30">
        <v>3.0</v>
      </c>
      <c r="D2295" s="31">
        <v>85.0</v>
      </c>
      <c r="E2295" s="31">
        <v>4.0</v>
      </c>
      <c r="F2295" s="32" t="str">
        <f t="array" ref="F2295">"https://www.google.com/maps/search/?api=1&amp;query=" &amp; A2295 &amp; "," &amp; B2295</f>
        <v>https://www.google.com/maps/search/?api=1&amp;query=-30.89332149923190,-55.54530143478800</v>
      </c>
      <c r="G2295" s="33" t="str">
        <f t="array" ref="G2295">"https://earth.google.com/web/search/" &amp; A2295 &amp; "," &amp; B2295</f>
        <v>https://earth.google.com/web/search/-30.89332149923190,-55.54530143478800</v>
      </c>
      <c r="H2295" s="12"/>
      <c r="I2295" s="12"/>
      <c r="J2295" s="12"/>
      <c r="K2295" s="12"/>
      <c r="L2295" s="12"/>
      <c r="M2295" s="12"/>
      <c r="N2295" s="12"/>
      <c r="O2295" s="12"/>
      <c r="P2295" s="12"/>
      <c r="Q2295" s="12"/>
      <c r="R2295" s="12"/>
      <c r="S2295" s="12"/>
      <c r="T2295" s="12"/>
      <c r="U2295" s="12"/>
      <c r="V2295" s="12"/>
      <c r="W2295" s="12"/>
      <c r="X2295" s="12"/>
      <c r="Y2295" s="12"/>
      <c r="Z2295" s="12"/>
      <c r="AA2295" s="12"/>
    </row>
    <row r="2296" ht="26.25" customHeight="1">
      <c r="A2296" s="34" t="s">
        <v>4602</v>
      </c>
      <c r="B2296" s="35" t="s">
        <v>4603</v>
      </c>
      <c r="C2296" s="36">
        <v>3.0</v>
      </c>
      <c r="D2296" s="37">
        <v>85.0</v>
      </c>
      <c r="E2296" s="37">
        <v>5.0</v>
      </c>
      <c r="F2296" s="24" t="str">
        <f t="array" ref="F2296">"https://www.google.com/maps/search/?api=1&amp;query=" &amp; A2296 &amp; "," &amp; B2296</f>
        <v>https://www.google.com/maps/search/?api=1&amp;query=-30.89266855318470,-55.54595292998090</v>
      </c>
      <c r="G2296" s="25" t="str">
        <f t="array" ref="G2296">"https://earth.google.com/web/search/" &amp; A2296 &amp; "," &amp; B2296</f>
        <v>https://earth.google.com/web/search/-30.89266855318470,-55.54595292998090</v>
      </c>
      <c r="H2296" s="12"/>
      <c r="I2296" s="12"/>
      <c r="J2296" s="12"/>
      <c r="K2296" s="12"/>
      <c r="L2296" s="12"/>
      <c r="M2296" s="12"/>
      <c r="N2296" s="12"/>
      <c r="O2296" s="12"/>
      <c r="P2296" s="12"/>
      <c r="Q2296" s="12"/>
      <c r="R2296" s="12"/>
      <c r="S2296" s="12"/>
      <c r="T2296" s="12"/>
      <c r="U2296" s="12"/>
      <c r="V2296" s="12"/>
      <c r="W2296" s="12"/>
      <c r="X2296" s="12"/>
      <c r="Y2296" s="12"/>
      <c r="Z2296" s="12"/>
      <c r="AA2296" s="12"/>
    </row>
    <row r="2297" ht="26.25" customHeight="1">
      <c r="A2297" s="28" t="s">
        <v>4604</v>
      </c>
      <c r="B2297" s="29" t="s">
        <v>4605</v>
      </c>
      <c r="C2297" s="30">
        <v>3.0</v>
      </c>
      <c r="D2297" s="31">
        <v>85.0</v>
      </c>
      <c r="E2297" s="31">
        <v>6.0</v>
      </c>
      <c r="F2297" s="32" t="str">
        <f t="array" ref="F2297">"https://www.google.com/maps/search/?api=1&amp;query=" &amp; A2297 &amp; "," &amp; B2297</f>
        <v>https://www.google.com/maps/search/?api=1&amp;query=-30.89289258822120,-55.54610576737210</v>
      </c>
      <c r="G2297" s="33" t="str">
        <f t="array" ref="G2297">"https://earth.google.com/web/search/" &amp; A2297 &amp; "," &amp; B2297</f>
        <v>https://earth.google.com/web/search/-30.89289258822120,-55.54610576737210</v>
      </c>
      <c r="H2297" s="12"/>
      <c r="I2297" s="12"/>
      <c r="J2297" s="12"/>
      <c r="K2297" s="12"/>
      <c r="L2297" s="12"/>
      <c r="M2297" s="12"/>
      <c r="N2297" s="12"/>
      <c r="O2297" s="12"/>
      <c r="P2297" s="12"/>
      <c r="Q2297" s="12"/>
      <c r="R2297" s="12"/>
      <c r="S2297" s="12"/>
      <c r="T2297" s="12"/>
      <c r="U2297" s="12"/>
      <c r="V2297" s="12"/>
      <c r="W2297" s="12"/>
      <c r="X2297" s="12"/>
      <c r="Y2297" s="12"/>
      <c r="Z2297" s="12"/>
      <c r="AA2297" s="12"/>
    </row>
    <row r="2298" ht="26.25" customHeight="1">
      <c r="A2298" s="34" t="s">
        <v>4606</v>
      </c>
      <c r="B2298" s="35" t="s">
        <v>4607</v>
      </c>
      <c r="C2298" s="36">
        <v>3.0</v>
      </c>
      <c r="D2298" s="37">
        <v>85.0</v>
      </c>
      <c r="E2298" s="37">
        <v>7.0</v>
      </c>
      <c r="F2298" s="24" t="str">
        <f t="array" ref="F2298">"https://www.google.com/maps/search/?api=1&amp;query=" &amp; A2298 &amp; "," &amp; B2298</f>
        <v>https://www.google.com/maps/search/?api=1&amp;query=-30.89308294060230,-55.54621743766730</v>
      </c>
      <c r="G2298" s="25" t="str">
        <f t="array" ref="G2298">"https://earth.google.com/web/search/" &amp; A2298 &amp; "," &amp; B2298</f>
        <v>https://earth.google.com/web/search/-30.89308294060230,-55.54621743766730</v>
      </c>
      <c r="H2298" s="12"/>
      <c r="I2298" s="12"/>
      <c r="J2298" s="12"/>
      <c r="K2298" s="12"/>
      <c r="L2298" s="12"/>
      <c r="M2298" s="12"/>
      <c r="N2298" s="12"/>
      <c r="O2298" s="12"/>
      <c r="P2298" s="12"/>
      <c r="Q2298" s="12"/>
      <c r="R2298" s="12"/>
      <c r="S2298" s="12"/>
      <c r="T2298" s="12"/>
      <c r="U2298" s="12"/>
      <c r="V2298" s="12"/>
      <c r="W2298" s="12"/>
      <c r="X2298" s="12"/>
      <c r="Y2298" s="12"/>
      <c r="Z2298" s="12"/>
      <c r="AA2298" s="12"/>
    </row>
    <row r="2299" ht="26.25" customHeight="1">
      <c r="A2299" s="28" t="s">
        <v>4608</v>
      </c>
      <c r="B2299" s="29" t="s">
        <v>4609</v>
      </c>
      <c r="C2299" s="30">
        <v>3.0</v>
      </c>
      <c r="D2299" s="31">
        <v>85.0</v>
      </c>
      <c r="E2299" s="31">
        <v>8.0</v>
      </c>
      <c r="F2299" s="32" t="str">
        <f t="array" ref="F2299">"https://www.google.com/maps/search/?api=1&amp;query=" &amp; A2299 &amp; "," &amp; B2299</f>
        <v>https://www.google.com/maps/search/?api=1&amp;query=-30.89314033845180,-55.54628032773680</v>
      </c>
      <c r="G2299" s="33" t="str">
        <f t="array" ref="G2299">"https://earth.google.com/web/search/" &amp; A2299 &amp; "," &amp; B2299</f>
        <v>https://earth.google.com/web/search/-30.89314033845180,-55.54628032773680</v>
      </c>
      <c r="H2299" s="12"/>
      <c r="I2299" s="12"/>
      <c r="J2299" s="12"/>
      <c r="K2299" s="12"/>
      <c r="L2299" s="12"/>
      <c r="M2299" s="12"/>
      <c r="N2299" s="12"/>
      <c r="O2299" s="12"/>
      <c r="P2299" s="12"/>
      <c r="Q2299" s="12"/>
      <c r="R2299" s="12"/>
      <c r="S2299" s="12"/>
      <c r="T2299" s="12"/>
      <c r="U2299" s="12"/>
      <c r="V2299" s="12"/>
      <c r="W2299" s="12"/>
      <c r="X2299" s="12"/>
      <c r="Y2299" s="12"/>
      <c r="Z2299" s="12"/>
      <c r="AA2299" s="12"/>
    </row>
    <row r="2300" ht="26.25" customHeight="1">
      <c r="A2300" s="34" t="s">
        <v>4610</v>
      </c>
      <c r="B2300" s="35" t="s">
        <v>4611</v>
      </c>
      <c r="C2300" s="36">
        <v>3.0</v>
      </c>
      <c r="D2300" s="37">
        <v>86.0</v>
      </c>
      <c r="E2300" s="37">
        <v>1.0</v>
      </c>
      <c r="F2300" s="24" t="str">
        <f t="array" ref="F2300">"https://www.google.com/maps/search/?api=1&amp;query=" &amp; A2300 &amp; "," &amp; B2300</f>
        <v>https://www.google.com/maps/search/?api=1&amp;query=-30.89278038904950,-55.54720156129490</v>
      </c>
      <c r="G2300" s="25" t="str">
        <f t="array" ref="G2300">"https://earth.google.com/web/search/" &amp; A2300 &amp; "," &amp; B2300</f>
        <v>https://earth.google.com/web/search/-30.89278038904950,-55.54720156129490</v>
      </c>
      <c r="H2300" s="12"/>
      <c r="I2300" s="12"/>
      <c r="J2300" s="12"/>
      <c r="K2300" s="12"/>
      <c r="L2300" s="12"/>
      <c r="M2300" s="12"/>
      <c r="N2300" s="12"/>
      <c r="O2300" s="12"/>
      <c r="P2300" s="12"/>
      <c r="Q2300" s="12"/>
      <c r="R2300" s="12"/>
      <c r="S2300" s="12"/>
      <c r="T2300" s="12"/>
      <c r="U2300" s="12"/>
      <c r="V2300" s="12"/>
      <c r="W2300" s="12"/>
      <c r="X2300" s="12"/>
      <c r="Y2300" s="12"/>
      <c r="Z2300" s="12"/>
      <c r="AA2300" s="12"/>
    </row>
    <row r="2301" ht="26.25" customHeight="1">
      <c r="A2301" s="28" t="s">
        <v>4612</v>
      </c>
      <c r="B2301" s="29" t="s">
        <v>4613</v>
      </c>
      <c r="C2301" s="30">
        <v>3.0</v>
      </c>
      <c r="D2301" s="31">
        <v>86.0</v>
      </c>
      <c r="E2301" s="31">
        <v>2.0</v>
      </c>
      <c r="F2301" s="32" t="str">
        <f t="array" ref="F2301">"https://www.google.com/maps/search/?api=1&amp;query=" &amp; A2301 &amp; "," &amp; B2301</f>
        <v>https://www.google.com/maps/search/?api=1&amp;query=-30.89283868867540,-55.54712415243350</v>
      </c>
      <c r="G2301" s="33" t="str">
        <f t="array" ref="G2301">"https://earth.google.com/web/search/" &amp; A2301 &amp; "," &amp; B2301</f>
        <v>https://earth.google.com/web/search/-30.89283868867540,-55.54712415243350</v>
      </c>
      <c r="H2301" s="12"/>
      <c r="I2301" s="12"/>
      <c r="J2301" s="12"/>
      <c r="K2301" s="12"/>
      <c r="L2301" s="12"/>
      <c r="M2301" s="12"/>
      <c r="N2301" s="12"/>
      <c r="O2301" s="12"/>
      <c r="P2301" s="12"/>
      <c r="Q2301" s="12"/>
      <c r="R2301" s="12"/>
      <c r="S2301" s="12"/>
      <c r="T2301" s="12"/>
      <c r="U2301" s="12"/>
      <c r="V2301" s="12"/>
      <c r="W2301" s="12"/>
      <c r="X2301" s="12"/>
      <c r="Y2301" s="12"/>
      <c r="Z2301" s="12"/>
      <c r="AA2301" s="12"/>
    </row>
    <row r="2302" ht="26.25" customHeight="1">
      <c r="A2302" s="34" t="s">
        <v>4614</v>
      </c>
      <c r="B2302" s="35" t="s">
        <v>4615</v>
      </c>
      <c r="C2302" s="36">
        <v>3.0</v>
      </c>
      <c r="D2302" s="37">
        <v>86.0</v>
      </c>
      <c r="E2302" s="37">
        <v>3.0</v>
      </c>
      <c r="F2302" s="24" t="str">
        <f t="array" ref="F2302">"https://www.google.com/maps/search/?api=1&amp;query=" &amp; A2302 &amp; "," &amp; B2302</f>
        <v>https://www.google.com/maps/search/?api=1&amp;query=-3.08928878267284,-55.54702452504480</v>
      </c>
      <c r="G2302" s="25" t="str">
        <f t="array" ref="G2302">"https://earth.google.com/web/search/" &amp; A2302 &amp; "," &amp; B2302</f>
        <v>https://earth.google.com/web/search/-3.08928878267284,-55.54702452504480</v>
      </c>
      <c r="H2302" s="12"/>
      <c r="I2302" s="12"/>
      <c r="J2302" s="12"/>
      <c r="K2302" s="12"/>
      <c r="L2302" s="12"/>
      <c r="M2302" s="12"/>
      <c r="N2302" s="12"/>
      <c r="O2302" s="12"/>
      <c r="P2302" s="12"/>
      <c r="Q2302" s="12"/>
      <c r="R2302" s="12"/>
      <c r="S2302" s="12"/>
      <c r="T2302" s="12"/>
      <c r="U2302" s="12"/>
      <c r="V2302" s="12"/>
      <c r="W2302" s="12"/>
      <c r="X2302" s="12"/>
      <c r="Y2302" s="12"/>
      <c r="Z2302" s="12"/>
      <c r="AA2302" s="12"/>
    </row>
    <row r="2303" ht="26.25" customHeight="1">
      <c r="A2303" s="28" t="s">
        <v>4616</v>
      </c>
      <c r="B2303" s="29" t="s">
        <v>4617</v>
      </c>
      <c r="C2303" s="30">
        <v>3.0</v>
      </c>
      <c r="D2303" s="31">
        <v>86.0</v>
      </c>
      <c r="E2303" s="31">
        <v>4.0</v>
      </c>
      <c r="F2303" s="32" t="str">
        <f t="array" ref="F2303">"https://www.google.com/maps/search/?api=1&amp;query=" &amp; A2303 &amp; "," &amp; B2303</f>
        <v>https://www.google.com/maps/search/?api=1&amp;query=-3.08930066840808,-55.54676318845070</v>
      </c>
      <c r="G2303" s="33" t="str">
        <f t="array" ref="G2303">"https://earth.google.com/web/search/" &amp; A2303 &amp; "," &amp; B2303</f>
        <v>https://earth.google.com/web/search/-3.08930066840808,-55.54676318845070</v>
      </c>
      <c r="H2303" s="12"/>
      <c r="I2303" s="12"/>
      <c r="J2303" s="12"/>
      <c r="K2303" s="12"/>
      <c r="L2303" s="12"/>
      <c r="M2303" s="12"/>
      <c r="N2303" s="12"/>
      <c r="O2303" s="12"/>
      <c r="P2303" s="12"/>
      <c r="Q2303" s="12"/>
      <c r="R2303" s="12"/>
      <c r="S2303" s="12"/>
      <c r="T2303" s="12"/>
      <c r="U2303" s="12"/>
      <c r="V2303" s="12"/>
      <c r="W2303" s="12"/>
      <c r="X2303" s="12"/>
      <c r="Y2303" s="12"/>
      <c r="Z2303" s="12"/>
      <c r="AA2303" s="12"/>
    </row>
    <row r="2304" ht="26.25" customHeight="1">
      <c r="A2304" s="34" t="s">
        <v>4618</v>
      </c>
      <c r="B2304" s="35" t="s">
        <v>4619</v>
      </c>
      <c r="C2304" s="36">
        <v>3.0</v>
      </c>
      <c r="D2304" s="37">
        <v>86.0</v>
      </c>
      <c r="E2304" s="37">
        <v>5.0</v>
      </c>
      <c r="F2304" s="24" t="str">
        <f t="array" ref="F2304">"https://www.google.com/maps/search/?api=1&amp;query=" &amp; A2304 &amp; "," &amp; B2304</f>
        <v>https://www.google.com/maps/search/?api=1&amp;query=-3.08931319421206,-55.54639968595490</v>
      </c>
      <c r="G2304" s="25" t="str">
        <f t="array" ref="G2304">"https://earth.google.com/web/search/" &amp; A2304 &amp; "," &amp; B2304</f>
        <v>https://earth.google.com/web/search/-3.08931319421206,-55.54639968595490</v>
      </c>
      <c r="H2304" s="12"/>
      <c r="I2304" s="12"/>
      <c r="J2304" s="12"/>
      <c r="K2304" s="12"/>
      <c r="L2304" s="12"/>
      <c r="M2304" s="12"/>
      <c r="N2304" s="12"/>
      <c r="O2304" s="12"/>
      <c r="P2304" s="12"/>
      <c r="Q2304" s="12"/>
      <c r="R2304" s="12"/>
      <c r="S2304" s="12"/>
      <c r="T2304" s="12"/>
      <c r="U2304" s="12"/>
      <c r="V2304" s="12"/>
      <c r="W2304" s="12"/>
      <c r="X2304" s="12"/>
      <c r="Y2304" s="12"/>
      <c r="Z2304" s="12"/>
      <c r="AA2304" s="12"/>
    </row>
    <row r="2305" ht="26.25" customHeight="1">
      <c r="A2305" s="28" t="s">
        <v>4620</v>
      </c>
      <c r="B2305" s="29" t="s">
        <v>4621</v>
      </c>
      <c r="C2305" s="30">
        <v>3.0</v>
      </c>
      <c r="D2305" s="31">
        <v>86.0</v>
      </c>
      <c r="E2305" s="31">
        <v>6.0</v>
      </c>
      <c r="F2305" s="32" t="str">
        <f t="array" ref="F2305">"https://www.google.com/maps/search/?api=1&amp;query=" &amp; A2305 &amp; "," &amp; B2305</f>
        <v>https://www.google.com/maps/search/?api=1&amp;query=-30.89308293462880,-55.54636336176700</v>
      </c>
      <c r="G2305" s="33" t="str">
        <f t="array" ref="G2305">"https://earth.google.com/web/search/" &amp; A2305 &amp; "," &amp; B2305</f>
        <v>https://earth.google.com/web/search/-30.89308293462880,-55.54636336176700</v>
      </c>
      <c r="H2305" s="12"/>
      <c r="I2305" s="12"/>
      <c r="J2305" s="12"/>
      <c r="K2305" s="12"/>
      <c r="L2305" s="12"/>
      <c r="M2305" s="12"/>
      <c r="N2305" s="12"/>
      <c r="O2305" s="12"/>
      <c r="P2305" s="12"/>
      <c r="Q2305" s="12"/>
      <c r="R2305" s="12"/>
      <c r="S2305" s="12"/>
      <c r="T2305" s="12"/>
      <c r="U2305" s="12"/>
      <c r="V2305" s="12"/>
      <c r="W2305" s="12"/>
      <c r="X2305" s="12"/>
      <c r="Y2305" s="12"/>
      <c r="Z2305" s="12"/>
      <c r="AA2305" s="12"/>
    </row>
    <row r="2306" ht="26.25" customHeight="1">
      <c r="A2306" s="34" t="s">
        <v>4622</v>
      </c>
      <c r="B2306" s="35" t="s">
        <v>4623</v>
      </c>
      <c r="C2306" s="36">
        <v>3.0</v>
      </c>
      <c r="D2306" s="37">
        <v>86.0</v>
      </c>
      <c r="E2306" s="37">
        <v>7.0</v>
      </c>
      <c r="F2306" s="24" t="str">
        <f t="array" ref="F2306">"https://www.google.com/maps/search/?api=1&amp;query=" &amp; A2306 &amp; "," &amp; B2306</f>
        <v>https://www.google.com/maps/search/?api=1&amp;query=-30.89302418437020,-55.54633126166660</v>
      </c>
      <c r="G2306" s="25" t="str">
        <f t="array" ref="G2306">"https://earth.google.com/web/search/" &amp; A2306 &amp; "," &amp; B2306</f>
        <v>https://earth.google.com/web/search/-30.89302418437020,-55.54633126166660</v>
      </c>
      <c r="H2306" s="12"/>
      <c r="I2306" s="12"/>
      <c r="J2306" s="12"/>
      <c r="K2306" s="12"/>
      <c r="L2306" s="12"/>
      <c r="M2306" s="12"/>
      <c r="N2306" s="12"/>
      <c r="O2306" s="12"/>
      <c r="P2306" s="12"/>
      <c r="Q2306" s="12"/>
      <c r="R2306" s="12"/>
      <c r="S2306" s="12"/>
      <c r="T2306" s="12"/>
      <c r="U2306" s="12"/>
      <c r="V2306" s="12"/>
      <c r="W2306" s="12"/>
      <c r="X2306" s="12"/>
      <c r="Y2306" s="12"/>
      <c r="Z2306" s="12"/>
      <c r="AA2306" s="12"/>
    </row>
    <row r="2307" ht="26.25" customHeight="1">
      <c r="A2307" s="28" t="s">
        <v>4624</v>
      </c>
      <c r="B2307" s="29" t="s">
        <v>4625</v>
      </c>
      <c r="C2307" s="30">
        <v>3.0</v>
      </c>
      <c r="D2307" s="31">
        <v>86.0</v>
      </c>
      <c r="E2307" s="31">
        <v>8.0</v>
      </c>
      <c r="F2307" s="32" t="str">
        <f t="array" ref="F2307">"https://www.google.com/maps/search/?api=1&amp;query=" &amp; A2307 &amp; "," &amp; B2307</f>
        <v>https://www.google.com/maps/search/?api=1&amp;query=-30.89287003121000,-5.55462170724421</v>
      </c>
      <c r="G2307" s="33" t="str">
        <f t="array" ref="G2307">"https://earth.google.com/web/search/" &amp; A2307 &amp; "," &amp; B2307</f>
        <v>https://earth.google.com/web/search/-30.89287003121000,-5.55462170724421</v>
      </c>
      <c r="H2307" s="12"/>
      <c r="I2307" s="12"/>
      <c r="J2307" s="12"/>
      <c r="K2307" s="12"/>
      <c r="L2307" s="12"/>
      <c r="M2307" s="12"/>
      <c r="N2307" s="12"/>
      <c r="O2307" s="12"/>
      <c r="P2307" s="12"/>
      <c r="Q2307" s="12"/>
      <c r="R2307" s="12"/>
      <c r="S2307" s="12"/>
      <c r="T2307" s="12"/>
      <c r="U2307" s="12"/>
      <c r="V2307" s="12"/>
      <c r="W2307" s="12"/>
      <c r="X2307" s="12"/>
      <c r="Y2307" s="12"/>
      <c r="Z2307" s="12"/>
      <c r="AA2307" s="12"/>
    </row>
    <row r="2308" ht="26.25" customHeight="1">
      <c r="A2308" s="34" t="s">
        <v>4626</v>
      </c>
      <c r="B2308" s="35" t="s">
        <v>4627</v>
      </c>
      <c r="C2308" s="36">
        <v>3.0</v>
      </c>
      <c r="D2308" s="37">
        <v>86.0</v>
      </c>
      <c r="E2308" s="37">
        <v>9.0</v>
      </c>
      <c r="F2308" s="24" t="str">
        <f t="array" ref="F2308">"https://www.google.com/maps/search/?api=1&amp;query=" &amp; A2308 &amp; "," &amp; B2308</f>
        <v>https://www.google.com/maps/search/?api=1&amp;query=-30.89270824459320,-55.54608845617880</v>
      </c>
      <c r="G2308" s="25" t="str">
        <f t="array" ref="G2308">"https://earth.google.com/web/search/" &amp; A2308 &amp; "," &amp; B2308</f>
        <v>https://earth.google.com/web/search/-30.89270824459320,-55.54608845617880</v>
      </c>
      <c r="H2308" s="12"/>
      <c r="I2308" s="12"/>
      <c r="J2308" s="12"/>
      <c r="K2308" s="12"/>
      <c r="L2308" s="12"/>
      <c r="M2308" s="12"/>
      <c r="N2308" s="12"/>
      <c r="O2308" s="12"/>
      <c r="P2308" s="12"/>
      <c r="Q2308" s="12"/>
      <c r="R2308" s="12"/>
      <c r="S2308" s="12"/>
      <c r="T2308" s="12"/>
      <c r="U2308" s="12"/>
      <c r="V2308" s="12"/>
      <c r="W2308" s="12"/>
      <c r="X2308" s="12"/>
      <c r="Y2308" s="12"/>
      <c r="Z2308" s="12"/>
      <c r="AA2308" s="12"/>
    </row>
    <row r="2309" ht="26.25" customHeight="1">
      <c r="A2309" s="28" t="s">
        <v>4628</v>
      </c>
      <c r="B2309" s="29" t="s">
        <v>4629</v>
      </c>
      <c r="C2309" s="30">
        <v>3.0</v>
      </c>
      <c r="D2309" s="31">
        <v>86.0</v>
      </c>
      <c r="E2309" s="31">
        <v>10.0</v>
      </c>
      <c r="F2309" s="32" t="str">
        <f t="array" ref="F2309">"https://www.google.com/maps/search/?api=1&amp;query=" &amp; A2309 &amp; "," &amp; B2309</f>
        <v>https://www.google.com/maps/search/?api=1&amp;query=-30.89261047371670,-55.54604176038120</v>
      </c>
      <c r="G2309" s="33" t="str">
        <f t="array" ref="G2309">"https://earth.google.com/web/search/" &amp; A2309 &amp; "," &amp; B2309</f>
        <v>https://earth.google.com/web/search/-30.89261047371670,-55.54604176038120</v>
      </c>
      <c r="H2309" s="12"/>
      <c r="I2309" s="12"/>
      <c r="J2309" s="12"/>
      <c r="K2309" s="12"/>
      <c r="L2309" s="12"/>
      <c r="M2309" s="12"/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/>
    </row>
    <row r="2310" ht="26.25" customHeight="1">
      <c r="A2310" s="34" t="s">
        <v>4630</v>
      </c>
      <c r="B2310" s="35" t="s">
        <v>4631</v>
      </c>
      <c r="C2310" s="36">
        <v>3.0</v>
      </c>
      <c r="D2310" s="37">
        <v>86.0</v>
      </c>
      <c r="E2310" s="37">
        <v>11.0</v>
      </c>
      <c r="F2310" s="24" t="str">
        <f t="array" ref="F2310">"https://www.google.com/maps/search/?api=1&amp;query=" &amp; A2310 &amp; "," &amp; B2310</f>
        <v>https://www.google.com/maps/search/?api=1&amp;query=-3.08925001091493,-55.54707183752050</v>
      </c>
      <c r="G2310" s="25" t="str">
        <f t="array" ref="G2310">"https://earth.google.com/web/search/" &amp; A2310 &amp; "," &amp; B2310</f>
        <v>https://earth.google.com/web/search/-3.08925001091493,-55.54707183752050</v>
      </c>
      <c r="H2310" s="12"/>
      <c r="I2310" s="12"/>
      <c r="J2310" s="12"/>
      <c r="K2310" s="12"/>
      <c r="L2310" s="12"/>
      <c r="M2310" s="12"/>
      <c r="N2310" s="12"/>
      <c r="O2310" s="12"/>
      <c r="P2310" s="12"/>
      <c r="Q2310" s="12"/>
      <c r="R2310" s="12"/>
      <c r="S2310" s="12"/>
      <c r="T2310" s="12"/>
      <c r="U2310" s="12"/>
      <c r="V2310" s="12"/>
      <c r="W2310" s="12"/>
      <c r="X2310" s="12"/>
      <c r="Y2310" s="12"/>
      <c r="Z2310" s="12"/>
      <c r="AA2310" s="12"/>
    </row>
    <row r="2311" ht="26.25" customHeight="1">
      <c r="A2311" s="28" t="s">
        <v>4632</v>
      </c>
      <c r="B2311" s="29" t="s">
        <v>4633</v>
      </c>
      <c r="C2311" s="30">
        <v>3.0</v>
      </c>
      <c r="D2311" s="31">
        <v>86.0</v>
      </c>
      <c r="E2311" s="31">
        <v>12.0</v>
      </c>
      <c r="F2311" s="32" t="str">
        <f t="array" ref="F2311">"https://www.google.com/maps/search/?api=1&amp;query=" &amp; A2311 &amp; "," &amp; B2311</f>
        <v>https://www.google.com/maps/search/?api=1&amp;query=-30.89254915265400,-55.54711680138730</v>
      </c>
      <c r="G2311" s="33" t="str">
        <f t="array" ref="G2311">"https://earth.google.com/web/search/" &amp; A2311 &amp; "," &amp; B2311</f>
        <v>https://earth.google.com/web/search/-30.89254915265400,-55.54711680138730</v>
      </c>
      <c r="H2311" s="12"/>
      <c r="I2311" s="12"/>
      <c r="J2311" s="12"/>
      <c r="K2311" s="12"/>
      <c r="L2311" s="12"/>
      <c r="M2311" s="12"/>
      <c r="N2311" s="12"/>
      <c r="O2311" s="12"/>
      <c r="P2311" s="12"/>
      <c r="Q2311" s="12"/>
      <c r="R2311" s="12"/>
      <c r="S2311" s="12"/>
      <c r="T2311" s="12"/>
      <c r="U2311" s="12"/>
      <c r="V2311" s="12"/>
      <c r="W2311" s="12"/>
      <c r="X2311" s="12"/>
      <c r="Y2311" s="12"/>
      <c r="Z2311" s="12"/>
      <c r="AA2311" s="12"/>
    </row>
    <row r="2312" ht="26.25" customHeight="1">
      <c r="A2312" s="34" t="s">
        <v>4634</v>
      </c>
      <c r="B2312" s="35" t="s">
        <v>4635</v>
      </c>
      <c r="C2312" s="36">
        <v>3.0</v>
      </c>
      <c r="D2312" s="37">
        <v>86.0</v>
      </c>
      <c r="E2312" s="37">
        <v>13.0</v>
      </c>
      <c r="F2312" s="24" t="str">
        <f t="array" ref="F2312">"https://www.google.com/maps/search/?api=1&amp;query=" &amp; A2312 &amp; "," &amp; B2312</f>
        <v>https://www.google.com/maps/search/?api=1&amp;query=-30.89293035243140,-55.54694658409750</v>
      </c>
      <c r="G2312" s="25" t="str">
        <f t="array" ref="G2312">"https://earth.google.com/web/search/" &amp; A2312 &amp; "," &amp; B2312</f>
        <v>https://earth.google.com/web/search/-30.89293035243140,-55.54694658409750</v>
      </c>
      <c r="H2312" s="12"/>
      <c r="I2312" s="12"/>
      <c r="J2312" s="12"/>
      <c r="K2312" s="12"/>
      <c r="L2312" s="12"/>
      <c r="M2312" s="12"/>
      <c r="N2312" s="12"/>
      <c r="O2312" s="12"/>
      <c r="P2312" s="12"/>
      <c r="Q2312" s="12"/>
      <c r="R2312" s="12"/>
      <c r="S2312" s="12"/>
      <c r="T2312" s="12"/>
      <c r="U2312" s="12"/>
      <c r="V2312" s="12"/>
      <c r="W2312" s="12"/>
      <c r="X2312" s="12"/>
      <c r="Y2312" s="12"/>
      <c r="Z2312" s="12"/>
      <c r="AA2312" s="12"/>
    </row>
    <row r="2313" ht="26.25" customHeight="1">
      <c r="A2313" s="28" t="s">
        <v>4636</v>
      </c>
      <c r="B2313" s="29" t="s">
        <v>4637</v>
      </c>
      <c r="C2313" s="30">
        <v>3.0</v>
      </c>
      <c r="D2313" s="31">
        <v>87.0</v>
      </c>
      <c r="E2313" s="31">
        <v>1.0</v>
      </c>
      <c r="F2313" s="32" t="str">
        <f t="array" ref="F2313">"https://www.google.com/maps/search/?api=1&amp;query=" &amp; A2313 &amp; "," &amp; B2313</f>
        <v>https://www.google.com/maps/search/?api=1&amp;query=-30.89232760355410,-55.54707640095810</v>
      </c>
      <c r="G2313" s="33" t="str">
        <f t="array" ref="G2313">"https://earth.google.com/web/search/" &amp; A2313 &amp; "," &amp; B2313</f>
        <v>https://earth.google.com/web/search/-30.89232760355410,-55.54707640095810</v>
      </c>
      <c r="H2313" s="12"/>
      <c r="I2313" s="12"/>
      <c r="J2313" s="12"/>
      <c r="K2313" s="12"/>
      <c r="L2313" s="12"/>
      <c r="M2313" s="12"/>
      <c r="N2313" s="12"/>
      <c r="O2313" s="12"/>
      <c r="P2313" s="12"/>
      <c r="Q2313" s="12"/>
      <c r="R2313" s="12"/>
      <c r="S2313" s="12"/>
      <c r="T2313" s="12"/>
      <c r="U2313" s="12"/>
      <c r="V2313" s="12"/>
      <c r="W2313" s="12"/>
      <c r="X2313" s="12"/>
      <c r="Y2313" s="12"/>
      <c r="Z2313" s="12"/>
      <c r="AA2313" s="12"/>
    </row>
    <row r="2314" ht="26.25" customHeight="1">
      <c r="A2314" s="34" t="s">
        <v>4638</v>
      </c>
      <c r="B2314" s="35" t="s">
        <v>4639</v>
      </c>
      <c r="C2314" s="36">
        <v>3.0</v>
      </c>
      <c r="D2314" s="37">
        <v>87.0</v>
      </c>
      <c r="E2314" s="37">
        <v>2.0</v>
      </c>
      <c r="F2314" s="24" t="str">
        <f t="array" ref="F2314">"https://www.google.com/maps/search/?api=1&amp;query=" &amp; A2314 &amp; "," &amp; B2314</f>
        <v>https://www.google.com/maps/search/?api=1&amp;query=-30.89222232190400,-55.54700624652570</v>
      </c>
      <c r="G2314" s="25" t="str">
        <f t="array" ref="G2314">"https://earth.google.com/web/search/" &amp; A2314 &amp; "," &amp; B2314</f>
        <v>https://earth.google.com/web/search/-30.89222232190400,-55.54700624652570</v>
      </c>
      <c r="H2314" s="12"/>
      <c r="I2314" s="12"/>
      <c r="J2314" s="12"/>
      <c r="K2314" s="12"/>
      <c r="L2314" s="12"/>
      <c r="M2314" s="12"/>
      <c r="N2314" s="12"/>
      <c r="O2314" s="12"/>
      <c r="P2314" s="12"/>
      <c r="Q2314" s="12"/>
      <c r="R2314" s="12"/>
      <c r="S2314" s="12"/>
      <c r="T2314" s="12"/>
      <c r="U2314" s="12"/>
      <c r="V2314" s="12"/>
      <c r="W2314" s="12"/>
      <c r="X2314" s="12"/>
      <c r="Y2314" s="12"/>
      <c r="Z2314" s="12"/>
      <c r="AA2314" s="12"/>
    </row>
    <row r="2315" ht="26.25" customHeight="1">
      <c r="A2315" s="28" t="s">
        <v>4640</v>
      </c>
      <c r="B2315" s="29" t="s">
        <v>4641</v>
      </c>
      <c r="C2315" s="30">
        <v>3.0</v>
      </c>
      <c r="D2315" s="31">
        <v>110.0</v>
      </c>
      <c r="E2315" s="31">
        <v>1.0</v>
      </c>
      <c r="F2315" s="32" t="str">
        <f t="array" ref="F2315">"https://www.google.com/maps/search/?api=1&amp;query=" &amp; A2315 &amp; "," &amp; B2315</f>
        <v>https://www.google.com/maps/search/?api=1&amp;query=-30.89286879128050,-55.54747815277000</v>
      </c>
      <c r="G2315" s="33" t="str">
        <f t="array" ref="G2315">"https://earth.google.com/web/search/" &amp; A2315 &amp; "," &amp; B2315</f>
        <v>https://earth.google.com/web/search/-30.89286879128050,-55.54747815277000</v>
      </c>
      <c r="H2315" s="12"/>
      <c r="I2315" s="12"/>
      <c r="J2315" s="12"/>
      <c r="K2315" s="12"/>
      <c r="L2315" s="12"/>
      <c r="M2315" s="12"/>
      <c r="N2315" s="12"/>
      <c r="O2315" s="12"/>
      <c r="P2315" s="12"/>
      <c r="Q2315" s="12"/>
      <c r="R2315" s="12"/>
      <c r="S2315" s="12"/>
      <c r="T2315" s="12"/>
      <c r="U2315" s="12"/>
      <c r="V2315" s="12"/>
      <c r="W2315" s="12"/>
      <c r="X2315" s="12"/>
      <c r="Y2315" s="12"/>
      <c r="Z2315" s="12"/>
      <c r="AA2315" s="12"/>
    </row>
    <row r="2316" ht="26.25" customHeight="1">
      <c r="A2316" s="34" t="s">
        <v>4642</v>
      </c>
      <c r="B2316" s="35" t="s">
        <v>4643</v>
      </c>
      <c r="C2316" s="36">
        <v>3.0</v>
      </c>
      <c r="D2316" s="37">
        <v>110.0</v>
      </c>
      <c r="E2316" s="37">
        <v>2.0</v>
      </c>
      <c r="F2316" s="24" t="str">
        <f t="array" ref="F2316">"https://www.google.com/maps/search/?api=1&amp;query=" &amp; A2316 &amp; "," &amp; B2316</f>
        <v>https://www.google.com/maps/search/?api=1&amp;query=-30.89295823012000,-55.54754043241500</v>
      </c>
      <c r="G2316" s="25" t="str">
        <f t="array" ref="G2316">"https://earth.google.com/web/search/" &amp; A2316 &amp; "," &amp; B2316</f>
        <v>https://earth.google.com/web/search/-30.89295823012000,-55.54754043241500</v>
      </c>
      <c r="H2316" s="12"/>
      <c r="I2316" s="12"/>
      <c r="J2316" s="12"/>
      <c r="K2316" s="12"/>
      <c r="L2316" s="12"/>
      <c r="M2316" s="12"/>
      <c r="N2316" s="12"/>
      <c r="O2316" s="12"/>
      <c r="P2316" s="12"/>
      <c r="Q2316" s="12"/>
      <c r="R2316" s="12"/>
      <c r="S2316" s="12"/>
      <c r="T2316" s="12"/>
      <c r="U2316" s="12"/>
      <c r="V2316" s="12"/>
      <c r="W2316" s="12"/>
      <c r="X2316" s="12"/>
      <c r="Y2316" s="12"/>
      <c r="Z2316" s="12"/>
      <c r="AA2316" s="12"/>
    </row>
    <row r="2317" ht="26.25" customHeight="1">
      <c r="A2317" s="28" t="s">
        <v>4644</v>
      </c>
      <c r="B2317" s="29" t="s">
        <v>4645</v>
      </c>
      <c r="C2317" s="30">
        <v>3.0</v>
      </c>
      <c r="D2317" s="31">
        <v>110.0</v>
      </c>
      <c r="E2317" s="31">
        <v>3.0</v>
      </c>
      <c r="F2317" s="32" t="str">
        <f t="array" ref="F2317">"https://www.google.com/maps/search/?api=1&amp;query=" &amp; A2317 &amp; "," &amp; B2317</f>
        <v>https://www.google.com/maps/search/?api=1&amp;query=-30.89309960787160,-55.54764126282660</v>
      </c>
      <c r="G2317" s="33" t="str">
        <f t="array" ref="G2317">"https://earth.google.com/web/search/" &amp; A2317 &amp; "," &amp; B2317</f>
        <v>https://earth.google.com/web/search/-30.89309960787160,-55.54764126282660</v>
      </c>
      <c r="H2317" s="12"/>
      <c r="I2317" s="12"/>
      <c r="J2317" s="12"/>
      <c r="K2317" s="12"/>
      <c r="L2317" s="12"/>
      <c r="M2317" s="12"/>
      <c r="N2317" s="12"/>
      <c r="O2317" s="12"/>
      <c r="P2317" s="12"/>
      <c r="Q2317" s="12"/>
      <c r="R2317" s="12"/>
      <c r="S2317" s="12"/>
      <c r="T2317" s="12"/>
      <c r="U2317" s="12"/>
      <c r="V2317" s="12"/>
      <c r="W2317" s="12"/>
      <c r="X2317" s="12"/>
      <c r="Y2317" s="12"/>
      <c r="Z2317" s="12"/>
      <c r="AA2317" s="12"/>
    </row>
    <row r="2318" ht="26.25" customHeight="1">
      <c r="A2318" s="34" t="s">
        <v>4646</v>
      </c>
      <c r="B2318" s="35" t="s">
        <v>4647</v>
      </c>
      <c r="C2318" s="36">
        <v>3.0</v>
      </c>
      <c r="D2318" s="37">
        <v>111.0</v>
      </c>
      <c r="E2318" s="37">
        <v>1.0</v>
      </c>
      <c r="F2318" s="24" t="str">
        <f t="array" ref="F2318">"https://www.google.com/maps/search/?api=1&amp;query=" &amp; A2318 &amp; "," &amp; B2318</f>
        <v>https://www.google.com/maps/search/?api=1&amp;query=-30.89359238461900,-55.54768986233520</v>
      </c>
      <c r="G2318" s="25" t="str">
        <f t="array" ref="G2318">"https://earth.google.com/web/search/" &amp; A2318 &amp; "," &amp; B2318</f>
        <v>https://earth.google.com/web/search/-30.89359238461900,-55.54768986233520</v>
      </c>
      <c r="H2318" s="12"/>
      <c r="I2318" s="12"/>
      <c r="J2318" s="12"/>
      <c r="K2318" s="12"/>
      <c r="L2318" s="12"/>
      <c r="M2318" s="12"/>
      <c r="N2318" s="12"/>
      <c r="O2318" s="12"/>
      <c r="P2318" s="12"/>
      <c r="Q2318" s="12"/>
      <c r="R2318" s="12"/>
      <c r="S2318" s="12"/>
      <c r="T2318" s="12"/>
      <c r="U2318" s="12"/>
      <c r="V2318" s="12"/>
      <c r="W2318" s="12"/>
      <c r="X2318" s="12"/>
      <c r="Y2318" s="12"/>
      <c r="Z2318" s="12"/>
      <c r="AA2318" s="12"/>
    </row>
    <row r="2319" ht="26.25" customHeight="1">
      <c r="A2319" s="28" t="s">
        <v>4648</v>
      </c>
      <c r="B2319" s="29" t="s">
        <v>4649</v>
      </c>
      <c r="C2319" s="30">
        <v>3.0</v>
      </c>
      <c r="D2319" s="31">
        <v>111.0</v>
      </c>
      <c r="E2319" s="31">
        <v>2.0</v>
      </c>
      <c r="F2319" s="32" t="str">
        <f t="array" ref="F2319">"https://www.google.com/maps/search/?api=1&amp;query=" &amp; A2319 &amp; "," &amp; B2319</f>
        <v>https://www.google.com/maps/search/?api=1&amp;query=-30.89364701818060,-55.54761101029830</v>
      </c>
      <c r="G2319" s="33" t="str">
        <f t="array" ref="G2319">"https://earth.google.com/web/search/" &amp; A2319 &amp; "," &amp; B2319</f>
        <v>https://earth.google.com/web/search/-30.89364701818060,-55.54761101029830</v>
      </c>
      <c r="H2319" s="12"/>
      <c r="I2319" s="12"/>
      <c r="J2319" s="12"/>
      <c r="K2319" s="12"/>
      <c r="L2319" s="12"/>
      <c r="M2319" s="12"/>
      <c r="N2319" s="12"/>
      <c r="O2319" s="12"/>
      <c r="P2319" s="12"/>
      <c r="Q2319" s="12"/>
      <c r="R2319" s="12"/>
      <c r="S2319" s="12"/>
      <c r="T2319" s="12"/>
      <c r="U2319" s="12"/>
      <c r="V2319" s="12"/>
      <c r="W2319" s="12"/>
      <c r="X2319" s="12"/>
      <c r="Y2319" s="12"/>
      <c r="Z2319" s="12"/>
      <c r="AA2319" s="12"/>
    </row>
    <row r="2320" ht="26.25" customHeight="1">
      <c r="A2320" s="34" t="s">
        <v>4650</v>
      </c>
      <c r="B2320" s="35" t="s">
        <v>4651</v>
      </c>
      <c r="C2320" s="36">
        <v>3.0</v>
      </c>
      <c r="D2320" s="37">
        <v>111.0</v>
      </c>
      <c r="E2320" s="37">
        <v>3.0</v>
      </c>
      <c r="F2320" s="24" t="str">
        <f t="array" ref="F2320">"https://www.google.com/maps/search/?api=1&amp;query=" &amp; A2320 &amp; "," &amp; B2320</f>
        <v>https://www.google.com/maps/search/?api=1&amp;query=-30.89372700464710,-55.54744760337900</v>
      </c>
      <c r="G2320" s="25" t="str">
        <f t="array" ref="G2320">"https://earth.google.com/web/search/" &amp; A2320 &amp; "," &amp; B2320</f>
        <v>https://earth.google.com/web/search/-30.89372700464710,-55.54744760337900</v>
      </c>
      <c r="H2320" s="12"/>
      <c r="I2320" s="12"/>
      <c r="J2320" s="12"/>
      <c r="K2320" s="12"/>
      <c r="L2320" s="12"/>
      <c r="M2320" s="12"/>
      <c r="N2320" s="12"/>
      <c r="O2320" s="12"/>
      <c r="P2320" s="12"/>
      <c r="Q2320" s="12"/>
      <c r="R2320" s="12"/>
      <c r="S2320" s="12"/>
      <c r="T2320" s="12"/>
      <c r="U2320" s="12"/>
      <c r="V2320" s="12"/>
      <c r="W2320" s="12"/>
      <c r="X2320" s="12"/>
      <c r="Y2320" s="12"/>
      <c r="Z2320" s="12"/>
      <c r="AA2320" s="12"/>
    </row>
    <row r="2321" ht="26.25" customHeight="1">
      <c r="A2321" s="28" t="s">
        <v>4652</v>
      </c>
      <c r="B2321" s="29" t="s">
        <v>4653</v>
      </c>
      <c r="C2321" s="30">
        <v>3.0</v>
      </c>
      <c r="D2321" s="31">
        <v>111.0</v>
      </c>
      <c r="E2321" s="31">
        <v>4.0</v>
      </c>
      <c r="F2321" s="32" t="str">
        <f t="array" ref="F2321">"https://www.google.com/maps/search/?api=1&amp;query=" &amp; A2321 &amp; "," &amp; B2321</f>
        <v>https://www.google.com/maps/search/?api=1&amp;query=-30.89390553410680,-5.55469841624658</v>
      </c>
      <c r="G2321" s="33" t="str">
        <f t="array" ref="G2321">"https://earth.google.com/web/search/" &amp; A2321 &amp; "," &amp; B2321</f>
        <v>https://earth.google.com/web/search/-30.89390553410680,-5.55469841624658</v>
      </c>
      <c r="H2321" s="12"/>
      <c r="I2321" s="12"/>
      <c r="J2321" s="12"/>
      <c r="K2321" s="12"/>
      <c r="L2321" s="12"/>
      <c r="M2321" s="12"/>
      <c r="N2321" s="12"/>
      <c r="O2321" s="12"/>
      <c r="P2321" s="12"/>
      <c r="Q2321" s="12"/>
      <c r="R2321" s="12"/>
      <c r="S2321" s="12"/>
      <c r="T2321" s="12"/>
      <c r="U2321" s="12"/>
      <c r="V2321" s="12"/>
      <c r="W2321" s="12"/>
      <c r="X2321" s="12"/>
      <c r="Y2321" s="12"/>
      <c r="Z2321" s="12"/>
      <c r="AA2321" s="12"/>
    </row>
    <row r="2322" ht="26.25" customHeight="1">
      <c r="A2322" s="34" t="s">
        <v>4654</v>
      </c>
      <c r="B2322" s="35" t="s">
        <v>4655</v>
      </c>
      <c r="C2322" s="36">
        <v>3.0</v>
      </c>
      <c r="D2322" s="37">
        <v>111.0</v>
      </c>
      <c r="E2322" s="37">
        <v>5.0</v>
      </c>
      <c r="F2322" s="24" t="str">
        <f t="array" ref="F2322">"https://www.google.com/maps/search/?api=1&amp;query=" &amp; A2322 &amp; "," &amp; B2322</f>
        <v>https://www.google.com/maps/search/?api=1&amp;query=-30.89370817722840,-55.54683286076000</v>
      </c>
      <c r="G2322" s="25" t="str">
        <f t="array" ref="G2322">"https://earth.google.com/web/search/" &amp; A2322 &amp; "," &amp; B2322</f>
        <v>https://earth.google.com/web/search/-30.89370817722840,-55.54683286076000</v>
      </c>
      <c r="H2322" s="12"/>
      <c r="I2322" s="12"/>
      <c r="J2322" s="12"/>
      <c r="K2322" s="12"/>
      <c r="L2322" s="12"/>
      <c r="M2322" s="12"/>
      <c r="N2322" s="12"/>
      <c r="O2322" s="12"/>
      <c r="P2322" s="12"/>
      <c r="Q2322" s="12"/>
      <c r="R2322" s="12"/>
      <c r="S2322" s="12"/>
      <c r="T2322" s="12"/>
      <c r="U2322" s="12"/>
      <c r="V2322" s="12"/>
      <c r="W2322" s="12"/>
      <c r="X2322" s="12"/>
      <c r="Y2322" s="12"/>
      <c r="Z2322" s="12"/>
      <c r="AA2322" s="12"/>
    </row>
    <row r="2323" ht="26.25" customHeight="1">
      <c r="A2323" s="28" t="s">
        <v>4656</v>
      </c>
      <c r="B2323" s="29" t="s">
        <v>4657</v>
      </c>
      <c r="C2323" s="30">
        <v>3.0</v>
      </c>
      <c r="D2323" s="31">
        <v>111.0</v>
      </c>
      <c r="E2323" s="31">
        <v>6.0</v>
      </c>
      <c r="F2323" s="32" t="str">
        <f t="array" ref="F2323">"https://www.google.com/maps/search/?api=1&amp;query=" &amp; A2323 &amp; "," &amp; B2323</f>
        <v>https://www.google.com/maps/search/?api=1&amp;query=-30.89364880232040,-55.54677456033780</v>
      </c>
      <c r="G2323" s="33" t="str">
        <f t="array" ref="G2323">"https://earth.google.com/web/search/" &amp; A2323 &amp; "," &amp; B2323</f>
        <v>https://earth.google.com/web/search/-30.89364880232040,-55.54677456033780</v>
      </c>
      <c r="H2323" s="12"/>
      <c r="I2323" s="12"/>
      <c r="J2323" s="12"/>
      <c r="K2323" s="12"/>
      <c r="L2323" s="12"/>
      <c r="M2323" s="12"/>
      <c r="N2323" s="12"/>
      <c r="O2323" s="12"/>
      <c r="P2323" s="12"/>
      <c r="Q2323" s="12"/>
      <c r="R2323" s="12"/>
      <c r="S2323" s="12"/>
      <c r="T2323" s="12"/>
      <c r="U2323" s="12"/>
      <c r="V2323" s="12"/>
      <c r="W2323" s="12"/>
      <c r="X2323" s="12"/>
      <c r="Y2323" s="12"/>
      <c r="Z2323" s="12"/>
      <c r="AA2323" s="12"/>
    </row>
    <row r="2324" ht="26.25" customHeight="1">
      <c r="A2324" s="34" t="s">
        <v>4658</v>
      </c>
      <c r="B2324" s="35" t="s">
        <v>4659</v>
      </c>
      <c r="C2324" s="36">
        <v>3.0</v>
      </c>
      <c r="D2324" s="37">
        <v>111.0</v>
      </c>
      <c r="E2324" s="37">
        <v>7.0</v>
      </c>
      <c r="F2324" s="24" t="str">
        <f t="array" ref="F2324">"https://www.google.com/maps/search/?api=1&amp;query=" &amp; A2324 &amp; "," &amp; B2324</f>
        <v>https://www.google.com/maps/search/?api=1&amp;query=-30.89358609893860,-55.54673532842630</v>
      </c>
      <c r="G2324" s="25" t="str">
        <f t="array" ref="G2324">"https://earth.google.com/web/search/" &amp; A2324 &amp; "," &amp; B2324</f>
        <v>https://earth.google.com/web/search/-30.89358609893860,-55.54673532842630</v>
      </c>
      <c r="H2324" s="12"/>
      <c r="I2324" s="12"/>
      <c r="J2324" s="12"/>
      <c r="K2324" s="12"/>
      <c r="L2324" s="12"/>
      <c r="M2324" s="12"/>
      <c r="N2324" s="12"/>
      <c r="O2324" s="12"/>
      <c r="P2324" s="12"/>
      <c r="Q2324" s="12"/>
      <c r="R2324" s="12"/>
      <c r="S2324" s="12"/>
      <c r="T2324" s="12"/>
      <c r="U2324" s="12"/>
      <c r="V2324" s="12"/>
      <c r="W2324" s="12"/>
      <c r="X2324" s="12"/>
      <c r="Y2324" s="12"/>
      <c r="Z2324" s="12"/>
      <c r="AA2324" s="12"/>
    </row>
    <row r="2325" ht="26.25" customHeight="1">
      <c r="A2325" s="28" t="s">
        <v>4660</v>
      </c>
      <c r="B2325" s="29" t="s">
        <v>4661</v>
      </c>
      <c r="C2325" s="30">
        <v>3.0</v>
      </c>
      <c r="D2325" s="31">
        <v>111.0</v>
      </c>
      <c r="E2325" s="31">
        <v>9.0</v>
      </c>
      <c r="F2325" s="32" t="str">
        <f t="array" ref="F2325">"https://www.google.com/maps/search/?api=1&amp;query=" &amp; A2325 &amp; "," &amp; B2325</f>
        <v>https://www.google.com/maps/search/?api=1&amp;query=-30.89296487085270,-55.54702143341860</v>
      </c>
      <c r="G2325" s="33" t="str">
        <f t="array" ref="G2325">"https://earth.google.com/web/search/" &amp; A2325 &amp; "," &amp; B2325</f>
        <v>https://earth.google.com/web/search/-30.89296487085270,-55.54702143341860</v>
      </c>
      <c r="H2325" s="12"/>
      <c r="I2325" s="12"/>
      <c r="J2325" s="12"/>
      <c r="K2325" s="12"/>
      <c r="L2325" s="12"/>
      <c r="M2325" s="12"/>
      <c r="N2325" s="12"/>
      <c r="O2325" s="12"/>
      <c r="P2325" s="12"/>
      <c r="Q2325" s="12"/>
      <c r="R2325" s="12"/>
      <c r="S2325" s="12"/>
      <c r="T2325" s="12"/>
      <c r="U2325" s="12"/>
      <c r="V2325" s="12"/>
      <c r="W2325" s="12"/>
      <c r="X2325" s="12"/>
      <c r="Y2325" s="12"/>
      <c r="Z2325" s="12"/>
      <c r="AA2325" s="12"/>
    </row>
    <row r="2326" ht="26.25" customHeight="1">
      <c r="A2326" s="34" t="s">
        <v>4662</v>
      </c>
      <c r="B2326" s="35" t="s">
        <v>4663</v>
      </c>
      <c r="C2326" s="36">
        <v>3.0</v>
      </c>
      <c r="D2326" s="37">
        <v>111.0</v>
      </c>
      <c r="E2326" s="37">
        <v>8.0</v>
      </c>
      <c r="F2326" s="24" t="str">
        <f t="array" ref="F2326">"https://www.google.com/maps/search/?api=1&amp;query=" &amp; A2326 &amp; "," &amp; B2326</f>
        <v>https://www.google.com/maps/search/?api=1&amp;query=-30.89353856608870,-0.55546686919309</v>
      </c>
      <c r="G2326" s="25" t="str">
        <f t="array" ref="G2326">"https://earth.google.com/web/search/" &amp; A2326 &amp; "," &amp; B2326</f>
        <v>https://earth.google.com/web/search/-30.89353856608870,-0.55546686919309</v>
      </c>
      <c r="H2326" s="12"/>
      <c r="I2326" s="12"/>
      <c r="J2326" s="12"/>
      <c r="K2326" s="12"/>
      <c r="L2326" s="12"/>
      <c r="M2326" s="12"/>
      <c r="N2326" s="12"/>
      <c r="O2326" s="12"/>
      <c r="P2326" s="12"/>
      <c r="Q2326" s="12"/>
      <c r="R2326" s="12"/>
      <c r="S2326" s="12"/>
      <c r="T2326" s="12"/>
      <c r="U2326" s="12"/>
      <c r="V2326" s="12"/>
      <c r="W2326" s="12"/>
      <c r="X2326" s="12"/>
      <c r="Y2326" s="12"/>
      <c r="Z2326" s="12"/>
      <c r="AA2326" s="12"/>
    </row>
    <row r="2327" ht="26.25" customHeight="1">
      <c r="A2327" s="28" t="s">
        <v>4664</v>
      </c>
      <c r="B2327" s="29" t="s">
        <v>4665</v>
      </c>
      <c r="C2327" s="30">
        <v>3.0</v>
      </c>
      <c r="D2327" s="31">
        <v>111.0</v>
      </c>
      <c r="E2327" s="31">
        <v>10.0</v>
      </c>
      <c r="F2327" s="32" t="str">
        <f t="array" ref="F2327">"https://www.google.com/maps/search/?api=1&amp;query=" &amp; A2327 &amp; "," &amp; B2327</f>
        <v>https://www.google.com/maps/search/?api=1&amp;query=-30.89294384005090,-55.54740894426970</v>
      </c>
      <c r="G2327" s="33" t="str">
        <f t="array" ref="G2327">"https://earth.google.com/web/search/" &amp; A2327 &amp; "," &amp; B2327</f>
        <v>https://earth.google.com/web/search/-30.89294384005090,-55.54740894426970</v>
      </c>
      <c r="H2327" s="12"/>
      <c r="I2327" s="12"/>
      <c r="J2327" s="12"/>
      <c r="K2327" s="12"/>
      <c r="L2327" s="12"/>
      <c r="M2327" s="12"/>
      <c r="N2327" s="12"/>
      <c r="O2327" s="12"/>
      <c r="P2327" s="12"/>
      <c r="Q2327" s="12"/>
      <c r="R2327" s="12"/>
      <c r="S2327" s="12"/>
      <c r="T2327" s="12"/>
      <c r="U2327" s="12"/>
      <c r="V2327" s="12"/>
      <c r="W2327" s="12"/>
      <c r="X2327" s="12"/>
      <c r="Y2327" s="12"/>
      <c r="Z2327" s="12"/>
      <c r="AA2327" s="12"/>
    </row>
    <row r="2328" ht="26.25" customHeight="1">
      <c r="A2328" s="34" t="s">
        <v>4666</v>
      </c>
      <c r="B2328" s="35" t="s">
        <v>4667</v>
      </c>
      <c r="C2328" s="36">
        <v>3.0</v>
      </c>
      <c r="D2328" s="37">
        <v>111.0</v>
      </c>
      <c r="E2328" s="37">
        <v>11.0</v>
      </c>
      <c r="F2328" s="24" t="str">
        <f t="array" ref="F2328">"https://www.google.com/maps/search/?api=1&amp;query=" &amp; A2328 &amp; "," &amp; B2328</f>
        <v>https://www.google.com/maps/search/?api=1&amp;query=-30.89300126164420,-55.54744797455090</v>
      </c>
      <c r="G2328" s="25" t="str">
        <f t="array" ref="G2328">"https://earth.google.com/web/search/" &amp; A2328 &amp; "," &amp; B2328</f>
        <v>https://earth.google.com/web/search/-30.89300126164420,-55.54744797455090</v>
      </c>
      <c r="H2328" s="12"/>
      <c r="I2328" s="12"/>
      <c r="J2328" s="12"/>
      <c r="K2328" s="12"/>
      <c r="L2328" s="12"/>
      <c r="M2328" s="12"/>
      <c r="N2328" s="12"/>
      <c r="O2328" s="12"/>
      <c r="P2328" s="12"/>
      <c r="Q2328" s="12"/>
      <c r="R2328" s="12"/>
      <c r="S2328" s="12"/>
      <c r="T2328" s="12"/>
      <c r="U2328" s="12"/>
      <c r="V2328" s="12"/>
      <c r="W2328" s="12"/>
      <c r="X2328" s="12"/>
      <c r="Y2328" s="12"/>
      <c r="Z2328" s="12"/>
      <c r="AA2328" s="12"/>
    </row>
    <row r="2329" ht="26.25" customHeight="1">
      <c r="A2329" s="28" t="s">
        <v>4668</v>
      </c>
      <c r="B2329" s="29" t="s">
        <v>4669</v>
      </c>
      <c r="C2329" s="30">
        <v>3.0</v>
      </c>
      <c r="D2329" s="31">
        <v>112.0</v>
      </c>
      <c r="E2329" s="31">
        <v>1.0</v>
      </c>
      <c r="F2329" s="32" t="str">
        <f t="array" ref="F2329">"https://www.google.com/maps/search/?api=1&amp;query=" &amp; A2329 &amp; "," &amp; B2329</f>
        <v>https://www.google.com/maps/search/?api=1&amp;query=-30.89418198939700,-55.54659464363310</v>
      </c>
      <c r="G2329" s="33" t="str">
        <f t="array" ref="G2329">"https://earth.google.com/web/search/" &amp; A2329 &amp; "," &amp; B2329</f>
        <v>https://earth.google.com/web/search/-30.89418198939700,-55.54659464363310</v>
      </c>
      <c r="H2329" s="12"/>
      <c r="I2329" s="12"/>
      <c r="J2329" s="12"/>
      <c r="K2329" s="12"/>
      <c r="L2329" s="12"/>
      <c r="M2329" s="12"/>
      <c r="N2329" s="12"/>
      <c r="O2329" s="12"/>
      <c r="P2329" s="12"/>
      <c r="Q2329" s="12"/>
      <c r="R2329" s="12"/>
      <c r="S2329" s="12"/>
      <c r="T2329" s="12"/>
      <c r="U2329" s="12"/>
      <c r="V2329" s="12"/>
      <c r="W2329" s="12"/>
      <c r="X2329" s="12"/>
      <c r="Y2329" s="12"/>
      <c r="Z2329" s="12"/>
      <c r="AA2329" s="12"/>
    </row>
    <row r="2330" ht="26.25" customHeight="1">
      <c r="A2330" s="34" t="s">
        <v>4670</v>
      </c>
      <c r="B2330" s="35" t="s">
        <v>4671</v>
      </c>
      <c r="C2330" s="36">
        <v>3.0</v>
      </c>
      <c r="D2330" s="37">
        <v>112.0</v>
      </c>
      <c r="E2330" s="37">
        <v>2.0</v>
      </c>
      <c r="F2330" s="24" t="str">
        <f t="array" ref="F2330">"https://www.google.com/maps/search/?api=1&amp;query=" &amp; A2330 &amp; "," &amp; B2330</f>
        <v>https://www.google.com/maps/search/?api=1&amp;query=-30.89428542977770,-55.54636631163830</v>
      </c>
      <c r="G2330" s="25" t="str">
        <f t="array" ref="G2330">"https://earth.google.com/web/search/" &amp; A2330 &amp; "," &amp; B2330</f>
        <v>https://earth.google.com/web/search/-30.89428542977770,-55.54636631163830</v>
      </c>
      <c r="H2330" s="12"/>
      <c r="I2330" s="12"/>
      <c r="J2330" s="12"/>
      <c r="K2330" s="12"/>
      <c r="L2330" s="12"/>
      <c r="M2330" s="12"/>
      <c r="N2330" s="12"/>
      <c r="O2330" s="12"/>
      <c r="P2330" s="12"/>
      <c r="Q2330" s="12"/>
      <c r="R2330" s="12"/>
      <c r="S2330" s="12"/>
      <c r="T2330" s="12"/>
      <c r="U2330" s="12"/>
      <c r="V2330" s="12"/>
      <c r="W2330" s="12"/>
      <c r="X2330" s="12"/>
      <c r="Y2330" s="12"/>
      <c r="Z2330" s="12"/>
      <c r="AA2330" s="12"/>
    </row>
    <row r="2331" ht="26.25" customHeight="1">
      <c r="A2331" s="28" t="s">
        <v>4672</v>
      </c>
      <c r="B2331" s="29" t="s">
        <v>4673</v>
      </c>
      <c r="C2331" s="30">
        <v>3.0</v>
      </c>
      <c r="D2331" s="31">
        <v>112.0</v>
      </c>
      <c r="E2331" s="31">
        <v>3.0</v>
      </c>
      <c r="F2331" s="32" t="str">
        <f t="array" ref="F2331">"https://www.google.com/maps/search/?api=1&amp;query=" &amp; A2331 &amp; "," &amp; B2331</f>
        <v>https://www.google.com/maps/search/?api=1&amp;query=-30.89429732536820,-55.54630213643760</v>
      </c>
      <c r="G2331" s="33" t="str">
        <f t="array" ref="G2331">"https://earth.google.com/web/search/" &amp; A2331 &amp; "," &amp; B2331</f>
        <v>https://earth.google.com/web/search/-30.89429732536820,-55.54630213643760</v>
      </c>
      <c r="H2331" s="12"/>
      <c r="I2331" s="12"/>
      <c r="J2331" s="12"/>
      <c r="K2331" s="12"/>
      <c r="L2331" s="12"/>
      <c r="M2331" s="12"/>
      <c r="N2331" s="12"/>
      <c r="O2331" s="12"/>
      <c r="P2331" s="12"/>
      <c r="Q2331" s="12"/>
      <c r="R2331" s="12"/>
      <c r="S2331" s="12"/>
      <c r="T2331" s="12"/>
      <c r="U2331" s="12"/>
      <c r="V2331" s="12"/>
      <c r="W2331" s="12"/>
      <c r="X2331" s="12"/>
      <c r="Y2331" s="12"/>
      <c r="Z2331" s="12"/>
      <c r="AA2331" s="12"/>
    </row>
    <row r="2332" ht="26.25" customHeight="1">
      <c r="A2332" s="34" t="s">
        <v>4674</v>
      </c>
      <c r="B2332" s="35" t="s">
        <v>4675</v>
      </c>
      <c r="C2332" s="36">
        <v>3.0</v>
      </c>
      <c r="D2332" s="37">
        <v>112.0</v>
      </c>
      <c r="E2332" s="37">
        <v>4.0</v>
      </c>
      <c r="F2332" s="24" t="str">
        <f t="array" ref="F2332">"https://www.google.com/maps/search/?api=1&amp;query=" &amp; A2332 &amp; "," &amp; B2332</f>
        <v>https://www.google.com/maps/search/?api=1&amp;query=-30.89409784000690,-55.54585080368770</v>
      </c>
      <c r="G2332" s="25" t="str">
        <f t="array" ref="G2332">"https://earth.google.com/web/search/" &amp; A2332 &amp; "," &amp; B2332</f>
        <v>https://earth.google.com/web/search/-30.89409784000690,-55.54585080368770</v>
      </c>
      <c r="H2332" s="12"/>
      <c r="I2332" s="12"/>
      <c r="J2332" s="12"/>
      <c r="K2332" s="12"/>
      <c r="L2332" s="12"/>
      <c r="M2332" s="12"/>
      <c r="N2332" s="12"/>
      <c r="O2332" s="12"/>
      <c r="P2332" s="12"/>
      <c r="Q2332" s="12"/>
      <c r="R2332" s="12"/>
      <c r="S2332" s="12"/>
      <c r="T2332" s="12"/>
      <c r="U2332" s="12"/>
      <c r="V2332" s="12"/>
      <c r="W2332" s="12"/>
      <c r="X2332" s="12"/>
      <c r="Y2332" s="12"/>
      <c r="Z2332" s="12"/>
      <c r="AA2332" s="12"/>
    </row>
    <row r="2333" ht="26.25" customHeight="1">
      <c r="A2333" s="28" t="s">
        <v>4676</v>
      </c>
      <c r="B2333" s="29" t="s">
        <v>4677</v>
      </c>
      <c r="C2333" s="30">
        <v>3.0</v>
      </c>
      <c r="D2333" s="31">
        <v>112.0</v>
      </c>
      <c r="E2333" s="31">
        <v>5.0</v>
      </c>
      <c r="F2333" s="32" t="str">
        <f t="array" ref="F2333">"https://www.google.com/maps/search/?api=1&amp;query=" &amp; A2333 &amp; "," &amp; B2333</f>
        <v>https://www.google.com/maps/search/?api=1&amp;query=-30.89404135185850,-55.54581968137700</v>
      </c>
      <c r="G2333" s="33" t="str">
        <f t="array" ref="G2333">"https://earth.google.com/web/search/" &amp; A2333 &amp; "," &amp; B2333</f>
        <v>https://earth.google.com/web/search/-30.89404135185850,-55.54581968137700</v>
      </c>
      <c r="H2333" s="12"/>
      <c r="I2333" s="12"/>
      <c r="J2333" s="12"/>
      <c r="K2333" s="12"/>
      <c r="L2333" s="12"/>
      <c r="M2333" s="12"/>
      <c r="N2333" s="12"/>
      <c r="O2333" s="12"/>
      <c r="P2333" s="12"/>
      <c r="Q2333" s="12"/>
      <c r="R2333" s="12"/>
      <c r="S2333" s="12"/>
      <c r="T2333" s="12"/>
      <c r="U2333" s="12"/>
      <c r="V2333" s="12"/>
      <c r="W2333" s="12"/>
      <c r="X2333" s="12"/>
      <c r="Y2333" s="12"/>
      <c r="Z2333" s="12"/>
      <c r="AA2333" s="12"/>
    </row>
    <row r="2334" ht="26.25" customHeight="1">
      <c r="A2334" s="34" t="s">
        <v>4678</v>
      </c>
      <c r="B2334" s="35" t="s">
        <v>4679</v>
      </c>
      <c r="C2334" s="36">
        <v>3.0</v>
      </c>
      <c r="D2334" s="37">
        <v>112.0</v>
      </c>
      <c r="E2334" s="37">
        <v>6.0</v>
      </c>
      <c r="F2334" s="24" t="str">
        <f t="array" ref="F2334">"https://www.google.com/maps/search/?api=1&amp;query=" &amp; A2334 &amp; "," &amp; B2334</f>
        <v>https://www.google.com/maps/search/?api=1&amp;query=-30.89401551054190,-55.54579526057280</v>
      </c>
      <c r="G2334" s="25" t="str">
        <f t="array" ref="G2334">"https://earth.google.com/web/search/" &amp; A2334 &amp; "," &amp; B2334</f>
        <v>https://earth.google.com/web/search/-30.89401551054190,-55.54579526057280</v>
      </c>
      <c r="H2334" s="12"/>
      <c r="I2334" s="12"/>
      <c r="J2334" s="12"/>
      <c r="K2334" s="12"/>
      <c r="L2334" s="12"/>
      <c r="M2334" s="12"/>
      <c r="N2334" s="12"/>
      <c r="O2334" s="12"/>
      <c r="P2334" s="12"/>
      <c r="Q2334" s="12"/>
      <c r="R2334" s="12"/>
      <c r="S2334" s="12"/>
      <c r="T2334" s="12"/>
      <c r="U2334" s="12"/>
      <c r="V2334" s="12"/>
      <c r="W2334" s="12"/>
      <c r="X2334" s="12"/>
      <c r="Y2334" s="12"/>
      <c r="Z2334" s="12"/>
      <c r="AA2334" s="12"/>
    </row>
    <row r="2335" ht="26.25" customHeight="1">
      <c r="A2335" s="28" t="s">
        <v>4680</v>
      </c>
      <c r="B2335" s="29" t="s">
        <v>4681</v>
      </c>
      <c r="C2335" s="30">
        <v>3.0</v>
      </c>
      <c r="D2335" s="31">
        <v>112.0</v>
      </c>
      <c r="E2335" s="31">
        <v>7.0</v>
      </c>
      <c r="F2335" s="32" t="str">
        <f t="array" ref="F2335">"https://www.google.com/maps/search/?api=1&amp;query=" &amp; A2335 &amp; "," &amp; B2335</f>
        <v>https://www.google.com/maps/search/?api=1&amp;query=-3.08937673003741,-55.54675225799110</v>
      </c>
      <c r="G2335" s="33" t="str">
        <f t="array" ref="G2335">"https://earth.google.com/web/search/" &amp; A2335 &amp; "," &amp; B2335</f>
        <v>https://earth.google.com/web/search/-3.08937673003741,-55.54675225799110</v>
      </c>
      <c r="H2335" s="12"/>
      <c r="I2335" s="12"/>
      <c r="J2335" s="12"/>
      <c r="K2335" s="12"/>
      <c r="L2335" s="12"/>
      <c r="M2335" s="12"/>
      <c r="N2335" s="12"/>
      <c r="O2335" s="12"/>
      <c r="P2335" s="12"/>
      <c r="Q2335" s="12"/>
      <c r="R2335" s="12"/>
      <c r="S2335" s="12"/>
      <c r="T2335" s="12"/>
      <c r="U2335" s="12"/>
      <c r="V2335" s="12"/>
      <c r="W2335" s="12"/>
      <c r="X2335" s="12"/>
      <c r="Y2335" s="12"/>
      <c r="Z2335" s="12"/>
      <c r="AA2335" s="12"/>
    </row>
    <row r="2336" ht="26.25" customHeight="1">
      <c r="A2336" s="34" t="s">
        <v>4682</v>
      </c>
      <c r="B2336" s="35" t="s">
        <v>4683</v>
      </c>
      <c r="C2336" s="36">
        <v>3.0</v>
      </c>
      <c r="D2336" s="37">
        <v>113.0</v>
      </c>
      <c r="E2336" s="37">
        <v>1.0</v>
      </c>
      <c r="F2336" s="24" t="str">
        <f t="array" ref="F2336">"https://www.google.com/maps/search/?api=1&amp;query=" &amp; A2336 &amp; "," &amp; B2336</f>
        <v>https://www.google.com/maps/search/?api=1&amp;query=-30.89491891901930,-55.54524060451590</v>
      </c>
      <c r="G2336" s="25" t="str">
        <f t="array" ref="G2336">"https://earth.google.com/web/search/" &amp; A2336 &amp; "," &amp; B2336</f>
        <v>https://earth.google.com/web/search/-30.89491891901930,-55.54524060451590</v>
      </c>
      <c r="H2336" s="12"/>
      <c r="I2336" s="12"/>
      <c r="J2336" s="12"/>
      <c r="K2336" s="12"/>
      <c r="L2336" s="12"/>
      <c r="M2336" s="12"/>
      <c r="N2336" s="12"/>
      <c r="O2336" s="12"/>
      <c r="P2336" s="12"/>
      <c r="Q2336" s="12"/>
      <c r="R2336" s="12"/>
      <c r="S2336" s="12"/>
      <c r="T2336" s="12"/>
      <c r="U2336" s="12"/>
      <c r="V2336" s="12"/>
      <c r="W2336" s="12"/>
      <c r="X2336" s="12"/>
      <c r="Y2336" s="12"/>
      <c r="Z2336" s="12"/>
      <c r="AA2336" s="12"/>
    </row>
    <row r="2337" ht="26.25" customHeight="1">
      <c r="A2337" s="28" t="s">
        <v>4684</v>
      </c>
      <c r="B2337" s="29" t="s">
        <v>4685</v>
      </c>
      <c r="C2337" s="30">
        <v>3.0</v>
      </c>
      <c r="D2337" s="31">
        <v>113.0</v>
      </c>
      <c r="E2337" s="31">
        <v>2.0</v>
      </c>
      <c r="F2337" s="32" t="str">
        <f t="array" ref="F2337">"https://www.google.com/maps/search/?api=1&amp;query=" &amp; A2337 &amp; "," &amp; B2337</f>
        <v>https://www.google.com/maps/search/?api=1&amp;query=-30.89491900993950,-55.54517065823690</v>
      </c>
      <c r="G2337" s="33" t="str">
        <f t="array" ref="G2337">"https://earth.google.com/web/search/" &amp; A2337 &amp; "," &amp; B2337</f>
        <v>https://earth.google.com/web/search/-30.89491900993950,-55.54517065823690</v>
      </c>
      <c r="H2337" s="12"/>
      <c r="I2337" s="12"/>
      <c r="J2337" s="12"/>
      <c r="K2337" s="12"/>
      <c r="L2337" s="12"/>
      <c r="M2337" s="12"/>
      <c r="N2337" s="12"/>
      <c r="O2337" s="12"/>
      <c r="P2337" s="12"/>
      <c r="Q2337" s="12"/>
      <c r="R2337" s="12"/>
      <c r="S2337" s="12"/>
      <c r="T2337" s="12"/>
      <c r="U2337" s="12"/>
      <c r="V2337" s="12"/>
      <c r="W2337" s="12"/>
      <c r="X2337" s="12"/>
      <c r="Y2337" s="12"/>
      <c r="Z2337" s="12"/>
      <c r="AA2337" s="12"/>
    </row>
    <row r="2338" ht="26.25" customHeight="1">
      <c r="A2338" s="34" t="s">
        <v>4686</v>
      </c>
      <c r="B2338" s="35" t="s">
        <v>4687</v>
      </c>
      <c r="C2338" s="36">
        <v>3.0</v>
      </c>
      <c r="D2338" s="37">
        <v>113.0</v>
      </c>
      <c r="E2338" s="37">
        <v>3.0</v>
      </c>
      <c r="F2338" s="24" t="str">
        <f t="array" ref="F2338">"https://www.google.com/maps/search/?api=1&amp;query=" &amp; A2338 &amp; "," &amp; B2338</f>
        <v>https://www.google.com/maps/search/?api=1&amp;query=-30.89487076430790,-55.54515318642800</v>
      </c>
      <c r="G2338" s="25" t="str">
        <f t="array" ref="G2338">"https://earth.google.com/web/search/" &amp; A2338 &amp; "," &amp; B2338</f>
        <v>https://earth.google.com/web/search/-30.89487076430790,-55.54515318642800</v>
      </c>
      <c r="H2338" s="12"/>
      <c r="I2338" s="12"/>
      <c r="J2338" s="12"/>
      <c r="K2338" s="12"/>
      <c r="L2338" s="12"/>
      <c r="M2338" s="12"/>
      <c r="N2338" s="12"/>
      <c r="O2338" s="12"/>
      <c r="P2338" s="12"/>
      <c r="Q2338" s="12"/>
      <c r="R2338" s="12"/>
      <c r="S2338" s="12"/>
      <c r="T2338" s="12"/>
      <c r="U2338" s="12"/>
      <c r="V2338" s="12"/>
      <c r="W2338" s="12"/>
      <c r="X2338" s="12"/>
      <c r="Y2338" s="12"/>
      <c r="Z2338" s="12"/>
      <c r="AA2338" s="12"/>
    </row>
    <row r="2339" ht="26.25" customHeight="1">
      <c r="A2339" s="28" t="s">
        <v>4688</v>
      </c>
      <c r="B2339" s="29" t="s">
        <v>4689</v>
      </c>
      <c r="C2339" s="30">
        <v>3.0</v>
      </c>
      <c r="D2339" s="31">
        <v>113.0</v>
      </c>
      <c r="E2339" s="31">
        <v>4.0</v>
      </c>
      <c r="F2339" s="32" t="str">
        <f t="array" ref="F2339">"https://www.google.com/maps/search/?api=1&amp;query=" &amp; A2339 &amp; "," &amp; B2339</f>
        <v>https://www.google.com/maps/search/?api=1&amp;query=-30.89443913637120,-55.54482714128960</v>
      </c>
      <c r="G2339" s="33" t="str">
        <f t="array" ref="G2339">"https://earth.google.com/web/search/" &amp; A2339 &amp; "," &amp; B2339</f>
        <v>https://earth.google.com/web/search/-30.89443913637120,-55.54482714128960</v>
      </c>
      <c r="H2339" s="12"/>
      <c r="I2339" s="12"/>
      <c r="J2339" s="12"/>
      <c r="K2339" s="12"/>
      <c r="L2339" s="12"/>
      <c r="M2339" s="12"/>
      <c r="N2339" s="12"/>
      <c r="O2339" s="12"/>
      <c r="P2339" s="12"/>
      <c r="Q2339" s="12"/>
      <c r="R2339" s="12"/>
      <c r="S2339" s="12"/>
      <c r="T2339" s="12"/>
      <c r="U2339" s="12"/>
      <c r="V2339" s="12"/>
      <c r="W2339" s="12"/>
      <c r="X2339" s="12"/>
      <c r="Y2339" s="12"/>
      <c r="Z2339" s="12"/>
      <c r="AA2339" s="12"/>
    </row>
    <row r="2340" ht="26.25" customHeight="1">
      <c r="A2340" s="34" t="s">
        <v>4690</v>
      </c>
      <c r="B2340" s="35" t="s">
        <v>4691</v>
      </c>
      <c r="C2340" s="36">
        <v>3.0</v>
      </c>
      <c r="D2340" s="37">
        <v>113.0</v>
      </c>
      <c r="E2340" s="37">
        <v>5.0</v>
      </c>
      <c r="F2340" s="24" t="str">
        <f t="array" ref="F2340">"https://www.google.com/maps/search/?api=1&amp;query=" &amp; A2340 &amp; "," &amp; B2340</f>
        <v>https://www.google.com/maps/search/?api=1&amp;query=-3.08940286522106,-55.54494005405340</v>
      </c>
      <c r="G2340" s="25" t="str">
        <f t="array" ref="G2340">"https://earth.google.com/web/search/" &amp; A2340 &amp; "," &amp; B2340</f>
        <v>https://earth.google.com/web/search/-3.08940286522106,-55.54494005405340</v>
      </c>
      <c r="H2340" s="12"/>
      <c r="I2340" s="12"/>
      <c r="J2340" s="12"/>
      <c r="K2340" s="12"/>
      <c r="L2340" s="12"/>
      <c r="M2340" s="12"/>
      <c r="N2340" s="12"/>
      <c r="O2340" s="12"/>
      <c r="P2340" s="12"/>
      <c r="Q2340" s="12"/>
      <c r="R2340" s="12"/>
      <c r="S2340" s="12"/>
      <c r="T2340" s="12"/>
      <c r="U2340" s="12"/>
      <c r="V2340" s="12"/>
      <c r="W2340" s="12"/>
      <c r="X2340" s="12"/>
      <c r="Y2340" s="12"/>
      <c r="Z2340" s="12"/>
      <c r="AA2340" s="12"/>
    </row>
    <row r="2341" ht="26.25" customHeight="1">
      <c r="A2341" s="28" t="s">
        <v>4692</v>
      </c>
      <c r="B2341" s="29" t="s">
        <v>4693</v>
      </c>
      <c r="C2341" s="30">
        <v>3.0</v>
      </c>
      <c r="D2341" s="31">
        <v>113.0</v>
      </c>
      <c r="E2341" s="31">
        <v>6.0</v>
      </c>
      <c r="F2341" s="32" t="str">
        <f t="array" ref="F2341">"https://www.google.com/maps/search/?api=1&amp;query=" &amp; A2341 &amp; "," &amp; B2341</f>
        <v>https://www.google.com/maps/search/?api=1&amp;query=-30.89396594356080,-55.54508640022650</v>
      </c>
      <c r="G2341" s="33" t="str">
        <f t="array" ref="G2341">"https://earth.google.com/web/search/" &amp; A2341 &amp; "," &amp; B2341</f>
        <v>https://earth.google.com/web/search/-30.89396594356080,-55.54508640022650</v>
      </c>
      <c r="H2341" s="12"/>
      <c r="I2341" s="12"/>
      <c r="J2341" s="12"/>
      <c r="K2341" s="12"/>
      <c r="L2341" s="12"/>
      <c r="M2341" s="12"/>
      <c r="N2341" s="12"/>
      <c r="O2341" s="12"/>
      <c r="P2341" s="12"/>
      <c r="Q2341" s="12"/>
      <c r="R2341" s="12"/>
      <c r="S2341" s="12"/>
      <c r="T2341" s="12"/>
      <c r="U2341" s="12"/>
      <c r="V2341" s="12"/>
      <c r="W2341" s="12"/>
      <c r="X2341" s="12"/>
      <c r="Y2341" s="12"/>
      <c r="Z2341" s="12"/>
      <c r="AA2341" s="12"/>
    </row>
    <row r="2342" ht="26.25" customHeight="1">
      <c r="A2342" s="34" t="s">
        <v>4694</v>
      </c>
      <c r="B2342" s="35" t="s">
        <v>4695</v>
      </c>
      <c r="C2342" s="36">
        <v>3.0</v>
      </c>
      <c r="D2342" s="37">
        <v>113.0</v>
      </c>
      <c r="E2342" s="37">
        <v>7.0</v>
      </c>
      <c r="F2342" s="24" t="str">
        <f t="array" ref="F2342">"https://www.google.com/maps/search/?api=1&amp;query=" &amp; A2342 &amp; "," &amp; B2342</f>
        <v>https://www.google.com/maps/search/?api=1&amp;query=-30.89382673884940,-55.54534650003210</v>
      </c>
      <c r="G2342" s="25" t="str">
        <f t="array" ref="G2342">"https://earth.google.com/web/search/" &amp; A2342 &amp; "," &amp; B2342</f>
        <v>https://earth.google.com/web/search/-30.89382673884940,-55.54534650003210</v>
      </c>
      <c r="H2342" s="12"/>
      <c r="I2342" s="12"/>
      <c r="J2342" s="12"/>
      <c r="K2342" s="12"/>
      <c r="L2342" s="12"/>
      <c r="M2342" s="12"/>
      <c r="N2342" s="12"/>
      <c r="O2342" s="12"/>
      <c r="P2342" s="12"/>
      <c r="Q2342" s="12"/>
      <c r="R2342" s="12"/>
      <c r="S2342" s="12"/>
      <c r="T2342" s="12"/>
      <c r="U2342" s="12"/>
      <c r="V2342" s="12"/>
      <c r="W2342" s="12"/>
      <c r="X2342" s="12"/>
      <c r="Y2342" s="12"/>
      <c r="Z2342" s="12"/>
      <c r="AA2342" s="12"/>
    </row>
    <row r="2343" ht="26.25" customHeight="1">
      <c r="A2343" s="28" t="s">
        <v>4696</v>
      </c>
      <c r="B2343" s="29" t="s">
        <v>4697</v>
      </c>
      <c r="C2343" s="30">
        <v>3.0</v>
      </c>
      <c r="D2343" s="31">
        <v>113.0</v>
      </c>
      <c r="E2343" s="31">
        <v>8.0</v>
      </c>
      <c r="F2343" s="32" t="str">
        <f t="array" ref="F2343">"https://www.google.com/maps/search/?api=1&amp;query=" &amp; A2343 &amp; "," &amp; B2343</f>
        <v>https://www.google.com/maps/search/?api=1&amp;query=-30.89381350539600,-55.54550992061660</v>
      </c>
      <c r="G2343" s="33" t="str">
        <f t="array" ref="G2343">"https://earth.google.com/web/search/" &amp; A2343 &amp; "," &amp; B2343</f>
        <v>https://earth.google.com/web/search/-30.89381350539600,-55.54550992061660</v>
      </c>
      <c r="H2343" s="12"/>
      <c r="I2343" s="12"/>
      <c r="J2343" s="12"/>
      <c r="K2343" s="12"/>
      <c r="L2343" s="12"/>
      <c r="M2343" s="12"/>
      <c r="N2343" s="12"/>
      <c r="O2343" s="12"/>
      <c r="P2343" s="12"/>
      <c r="Q2343" s="12"/>
      <c r="R2343" s="12"/>
      <c r="S2343" s="12"/>
      <c r="T2343" s="12"/>
      <c r="U2343" s="12"/>
      <c r="V2343" s="12"/>
      <c r="W2343" s="12"/>
      <c r="X2343" s="12"/>
      <c r="Y2343" s="12"/>
      <c r="Z2343" s="12"/>
      <c r="AA2343" s="12"/>
    </row>
    <row r="2344" ht="26.25" customHeight="1">
      <c r="A2344" s="34" t="s">
        <v>4698</v>
      </c>
      <c r="B2344" s="35" t="s">
        <v>4699</v>
      </c>
      <c r="C2344" s="36">
        <v>3.0</v>
      </c>
      <c r="D2344" s="37">
        <v>113.0</v>
      </c>
      <c r="E2344" s="37">
        <v>9.0</v>
      </c>
      <c r="F2344" s="24" t="str">
        <f t="array" ref="F2344">"https://www.google.com/maps/search/?api=1&amp;query=" &amp; A2344 &amp; "," &amp; B2344</f>
        <v>https://www.google.com/maps/search/?api=1&amp;query=-30.89387779369100,-55.54556959533070</v>
      </c>
      <c r="G2344" s="25" t="str">
        <f t="array" ref="G2344">"https://earth.google.com/web/search/" &amp; A2344 &amp; "," &amp; B2344</f>
        <v>https://earth.google.com/web/search/-30.89387779369100,-55.54556959533070</v>
      </c>
      <c r="H2344" s="12"/>
      <c r="I2344" s="12"/>
      <c r="J2344" s="12"/>
      <c r="K2344" s="12"/>
      <c r="L2344" s="12"/>
      <c r="M2344" s="12"/>
      <c r="N2344" s="12"/>
      <c r="O2344" s="12"/>
      <c r="P2344" s="12"/>
      <c r="Q2344" s="12"/>
      <c r="R2344" s="12"/>
      <c r="S2344" s="12"/>
      <c r="T2344" s="12"/>
      <c r="U2344" s="12"/>
      <c r="V2344" s="12"/>
      <c r="W2344" s="12"/>
      <c r="X2344" s="12"/>
      <c r="Y2344" s="12"/>
      <c r="Z2344" s="12"/>
      <c r="AA2344" s="12"/>
    </row>
    <row r="2345" ht="26.25" customHeight="1">
      <c r="A2345" s="28" t="s">
        <v>4700</v>
      </c>
      <c r="B2345" s="29" t="s">
        <v>4701</v>
      </c>
      <c r="C2345" s="30">
        <v>3.0</v>
      </c>
      <c r="D2345" s="31">
        <v>113.0</v>
      </c>
      <c r="E2345" s="31">
        <v>10.0</v>
      </c>
      <c r="F2345" s="32" t="str">
        <f t="array" ref="F2345">"https://www.google.com/maps/search/?api=1&amp;query=" &amp; A2345 &amp; "," &amp; B2345</f>
        <v>https://www.google.com/maps/search/?api=1&amp;query=-3.08941313209699,-5.55457150165298</v>
      </c>
      <c r="G2345" s="33" t="str">
        <f t="array" ref="G2345">"https://earth.google.com/web/search/" &amp; A2345 &amp; "," &amp; B2345</f>
        <v>https://earth.google.com/web/search/-3.08941313209699,-5.55457150165298</v>
      </c>
      <c r="H2345" s="12"/>
      <c r="I2345" s="12"/>
      <c r="J2345" s="12"/>
      <c r="K2345" s="12"/>
      <c r="L2345" s="12"/>
      <c r="M2345" s="12"/>
      <c r="N2345" s="12"/>
      <c r="O2345" s="12"/>
      <c r="P2345" s="12"/>
      <c r="Q2345" s="12"/>
      <c r="R2345" s="12"/>
      <c r="S2345" s="12"/>
      <c r="T2345" s="12"/>
      <c r="U2345" s="12"/>
      <c r="V2345" s="12"/>
      <c r="W2345" s="12"/>
      <c r="X2345" s="12"/>
      <c r="Y2345" s="12"/>
      <c r="Z2345" s="12"/>
      <c r="AA2345" s="12"/>
    </row>
    <row r="2346" ht="26.25" customHeight="1">
      <c r="A2346" s="34" t="s">
        <v>4702</v>
      </c>
      <c r="B2346" s="35" t="s">
        <v>4703</v>
      </c>
      <c r="C2346" s="36">
        <v>3.0</v>
      </c>
      <c r="D2346" s="37">
        <v>114.0</v>
      </c>
      <c r="E2346" s="37">
        <v>1.0</v>
      </c>
      <c r="F2346" s="24" t="str">
        <f t="array" ref="F2346">"https://www.google.com/maps/search/?api=1&amp;query=" &amp; A2346 &amp; "," &amp; B2346</f>
        <v>https://www.google.com/maps/search/?api=1&amp;query=-30.89483952948470,-5.55438792918792</v>
      </c>
      <c r="G2346" s="25" t="str">
        <f t="array" ref="G2346">"https://earth.google.com/web/search/" &amp; A2346 &amp; "," &amp; B2346</f>
        <v>https://earth.google.com/web/search/-30.89483952948470,-5.55438792918792</v>
      </c>
      <c r="H2346" s="12"/>
      <c r="I2346" s="12"/>
      <c r="J2346" s="12"/>
      <c r="K2346" s="12"/>
      <c r="L2346" s="12"/>
      <c r="M2346" s="12"/>
      <c r="N2346" s="12"/>
      <c r="O2346" s="12"/>
      <c r="P2346" s="12"/>
      <c r="Q2346" s="12"/>
      <c r="R2346" s="12"/>
      <c r="S2346" s="12"/>
      <c r="T2346" s="12"/>
      <c r="U2346" s="12"/>
      <c r="V2346" s="12"/>
      <c r="W2346" s="12"/>
      <c r="X2346" s="12"/>
      <c r="Y2346" s="12"/>
      <c r="Z2346" s="12"/>
      <c r="AA2346" s="12"/>
    </row>
    <row r="2347" ht="26.25" customHeight="1">
      <c r="A2347" s="28" t="s">
        <v>4704</v>
      </c>
      <c r="B2347" s="29" t="s">
        <v>4705</v>
      </c>
      <c r="C2347" s="30">
        <v>3.0</v>
      </c>
      <c r="D2347" s="31">
        <v>114.0</v>
      </c>
      <c r="E2347" s="31">
        <v>2.0</v>
      </c>
      <c r="F2347" s="32" t="str">
        <f t="array" ref="F2347">"https://www.google.com/maps/search/?api=1&amp;query=" &amp; A2347 &amp; "," &amp; B2347</f>
        <v>https://www.google.com/maps/search/?api=1&amp;query=-3.08943512107879,-55.54463763550710</v>
      </c>
      <c r="G2347" s="33" t="str">
        <f t="array" ref="G2347">"https://earth.google.com/web/search/" &amp; A2347 &amp; "," &amp; B2347</f>
        <v>https://earth.google.com/web/search/-3.08943512107879,-55.54463763550710</v>
      </c>
      <c r="H2347" s="12"/>
      <c r="I2347" s="12"/>
      <c r="J2347" s="12"/>
      <c r="K2347" s="12"/>
      <c r="L2347" s="12"/>
      <c r="M2347" s="12"/>
      <c r="N2347" s="12"/>
      <c r="O2347" s="12"/>
      <c r="P2347" s="12"/>
      <c r="Q2347" s="12"/>
      <c r="R2347" s="12"/>
      <c r="S2347" s="12"/>
      <c r="T2347" s="12"/>
      <c r="U2347" s="12"/>
      <c r="V2347" s="12"/>
      <c r="W2347" s="12"/>
      <c r="X2347" s="12"/>
      <c r="Y2347" s="12"/>
      <c r="Z2347" s="12"/>
      <c r="AA2347" s="12"/>
    </row>
    <row r="2348" ht="26.25" customHeight="1">
      <c r="A2348" s="34" t="s">
        <v>4706</v>
      </c>
      <c r="B2348" s="35" t="s">
        <v>4707</v>
      </c>
      <c r="C2348" s="36">
        <v>3.0</v>
      </c>
      <c r="D2348" s="37">
        <v>114.0</v>
      </c>
      <c r="E2348" s="37">
        <v>3.0</v>
      </c>
      <c r="F2348" s="24" t="str">
        <f t="array" ref="F2348">"https://www.google.com/maps/search/?api=1&amp;query=" &amp; A2348 &amp; "," &amp; B2348</f>
        <v>https://www.google.com/maps/search/?api=1&amp;query=-30.89441434178210,-55.54469965975960</v>
      </c>
      <c r="G2348" s="25" t="str">
        <f t="array" ref="G2348">"https://earth.google.com/web/search/" &amp; A2348 &amp; "," &amp; B2348</f>
        <v>https://earth.google.com/web/search/-30.89441434178210,-55.54469965975960</v>
      </c>
      <c r="H2348" s="12"/>
      <c r="I2348" s="12"/>
      <c r="J2348" s="12"/>
      <c r="K2348" s="12"/>
      <c r="L2348" s="12"/>
      <c r="M2348" s="12"/>
      <c r="N2348" s="12"/>
      <c r="O2348" s="12"/>
      <c r="P2348" s="12"/>
      <c r="Q2348" s="12"/>
      <c r="R2348" s="12"/>
      <c r="S2348" s="12"/>
      <c r="T2348" s="12"/>
      <c r="U2348" s="12"/>
      <c r="V2348" s="12"/>
      <c r="W2348" s="12"/>
      <c r="X2348" s="12"/>
      <c r="Y2348" s="12"/>
      <c r="Z2348" s="12"/>
      <c r="AA2348" s="12"/>
    </row>
    <row r="2349" ht="26.25" customHeight="1">
      <c r="A2349" s="28" t="s">
        <v>4708</v>
      </c>
      <c r="B2349" s="29" t="s">
        <v>4709</v>
      </c>
      <c r="C2349" s="30">
        <v>3.0</v>
      </c>
      <c r="D2349" s="31">
        <v>114.0</v>
      </c>
      <c r="E2349" s="31">
        <v>4.0</v>
      </c>
      <c r="F2349" s="32" t="str">
        <f t="array" ref="F2349">"https://www.google.com/maps/search/?api=1&amp;query=" &amp; A2349 &amp; "," &amp; B2349</f>
        <v>https://www.google.com/maps/search/?api=1&amp;query=-30.89481142556010,-55.54496231058740</v>
      </c>
      <c r="G2349" s="33" t="str">
        <f t="array" ref="G2349">"https://earth.google.com/web/search/" &amp; A2349 &amp; "," &amp; B2349</f>
        <v>https://earth.google.com/web/search/-30.89481142556010,-55.54496231058740</v>
      </c>
      <c r="H2349" s="12"/>
      <c r="I2349" s="12"/>
      <c r="J2349" s="12"/>
      <c r="K2349" s="12"/>
      <c r="L2349" s="12"/>
      <c r="M2349" s="12"/>
      <c r="N2349" s="12"/>
      <c r="O2349" s="12"/>
      <c r="P2349" s="12"/>
      <c r="Q2349" s="12"/>
      <c r="R2349" s="12"/>
      <c r="S2349" s="12"/>
      <c r="T2349" s="12"/>
      <c r="U2349" s="12"/>
      <c r="V2349" s="12"/>
      <c r="W2349" s="12"/>
      <c r="X2349" s="12"/>
      <c r="Y2349" s="12"/>
      <c r="Z2349" s="12"/>
      <c r="AA2349" s="12"/>
    </row>
    <row r="2350" ht="26.25" customHeight="1">
      <c r="A2350" s="34" t="s">
        <v>4710</v>
      </c>
      <c r="B2350" s="35" t="s">
        <v>4711</v>
      </c>
      <c r="C2350" s="36">
        <v>3.0</v>
      </c>
      <c r="D2350" s="37">
        <v>114.0</v>
      </c>
      <c r="E2350" s="37">
        <v>5.0</v>
      </c>
      <c r="F2350" s="24" t="str">
        <f t="array" ref="F2350">"https://www.google.com/maps/search/?api=1&amp;query=" &amp; A2350 &amp; "," &amp; B2350</f>
        <v>https://www.google.com/maps/search/?api=1&amp;query=-30.89486964045040,-55.54501248205400</v>
      </c>
      <c r="G2350" s="25" t="str">
        <f t="array" ref="G2350">"https://earth.google.com/web/search/" &amp; A2350 &amp; "," &amp; B2350</f>
        <v>https://earth.google.com/web/search/-30.89486964045040,-55.54501248205400</v>
      </c>
      <c r="H2350" s="12"/>
      <c r="I2350" s="12"/>
      <c r="J2350" s="12"/>
      <c r="K2350" s="12"/>
      <c r="L2350" s="12"/>
      <c r="M2350" s="12"/>
      <c r="N2350" s="12"/>
      <c r="O2350" s="12"/>
      <c r="P2350" s="12"/>
      <c r="Q2350" s="12"/>
      <c r="R2350" s="12"/>
      <c r="S2350" s="12"/>
      <c r="T2350" s="12"/>
      <c r="U2350" s="12"/>
      <c r="V2350" s="12"/>
      <c r="W2350" s="12"/>
      <c r="X2350" s="12"/>
      <c r="Y2350" s="12"/>
      <c r="Z2350" s="12"/>
      <c r="AA2350" s="12"/>
    </row>
    <row r="2351" ht="26.25" customHeight="1">
      <c r="A2351" s="28" t="s">
        <v>4712</v>
      </c>
      <c r="B2351" s="29" t="s">
        <v>4713</v>
      </c>
      <c r="C2351" s="30">
        <v>3.0</v>
      </c>
      <c r="D2351" s="31">
        <v>114.0</v>
      </c>
      <c r="E2351" s="31">
        <v>6.0</v>
      </c>
      <c r="F2351" s="32" t="str">
        <f t="array" ref="F2351">"https://www.google.com/maps/search/?api=1&amp;query=" &amp; A2351 &amp; "," &amp; B2351</f>
        <v>https://www.google.com/maps/search/?api=1&amp;query=-30.89490163549410,-55.54503101870450</v>
      </c>
      <c r="G2351" s="33" t="str">
        <f t="array" ref="G2351">"https://earth.google.com/web/search/" &amp; A2351 &amp; "," &amp; B2351</f>
        <v>https://earth.google.com/web/search/-30.89490163549410,-55.54503101870450</v>
      </c>
      <c r="H2351" s="12"/>
      <c r="I2351" s="12"/>
      <c r="J2351" s="12"/>
      <c r="K2351" s="12"/>
      <c r="L2351" s="12"/>
      <c r="M2351" s="12"/>
      <c r="N2351" s="12"/>
      <c r="O2351" s="12"/>
      <c r="P2351" s="12"/>
      <c r="Q2351" s="12"/>
      <c r="R2351" s="12"/>
      <c r="S2351" s="12"/>
      <c r="T2351" s="12"/>
      <c r="U2351" s="12"/>
      <c r="V2351" s="12"/>
      <c r="W2351" s="12"/>
      <c r="X2351" s="12"/>
      <c r="Y2351" s="12"/>
      <c r="Z2351" s="12"/>
      <c r="AA2351" s="12"/>
    </row>
    <row r="2352" ht="26.25" customHeight="1">
      <c r="A2352" s="34" t="s">
        <v>4714</v>
      </c>
      <c r="B2352" s="35" t="s">
        <v>4715</v>
      </c>
      <c r="C2352" s="36">
        <v>3.0</v>
      </c>
      <c r="D2352" s="37">
        <v>114.0</v>
      </c>
      <c r="E2352" s="37">
        <v>7.0</v>
      </c>
      <c r="F2352" s="24" t="str">
        <f t="array" ref="F2352">"https://www.google.com/maps/search/?api=1&amp;query=" &amp; A2352 &amp; "," &amp; B2352</f>
        <v>https://www.google.com/maps/search/?api=1&amp;query=-30.89496536114650,-55.54507046759510</v>
      </c>
      <c r="G2352" s="25" t="str">
        <f t="array" ref="G2352">"https://earth.google.com/web/search/" &amp; A2352 &amp; "," &amp; B2352</f>
        <v>https://earth.google.com/web/search/-30.89496536114650,-55.54507046759510</v>
      </c>
      <c r="H2352" s="12"/>
      <c r="I2352" s="12"/>
      <c r="J2352" s="12"/>
      <c r="K2352" s="12"/>
      <c r="L2352" s="12"/>
      <c r="M2352" s="12"/>
      <c r="N2352" s="12"/>
      <c r="O2352" s="12"/>
      <c r="P2352" s="12"/>
      <c r="Q2352" s="12"/>
      <c r="R2352" s="12"/>
      <c r="S2352" s="12"/>
      <c r="T2352" s="12"/>
      <c r="U2352" s="12"/>
      <c r="V2352" s="12"/>
      <c r="W2352" s="12"/>
      <c r="X2352" s="12"/>
      <c r="Y2352" s="12"/>
      <c r="Z2352" s="12"/>
      <c r="AA2352" s="12"/>
    </row>
    <row r="2353" ht="26.25" customHeight="1">
      <c r="A2353" s="28" t="s">
        <v>4716</v>
      </c>
      <c r="B2353" s="29" t="s">
        <v>4717</v>
      </c>
      <c r="C2353" s="30">
        <v>3.0</v>
      </c>
      <c r="D2353" s="31">
        <v>115.0</v>
      </c>
      <c r="E2353" s="31">
        <v>1.0</v>
      </c>
      <c r="F2353" s="32" t="str">
        <f t="array" ref="F2353">"https://www.google.com/maps/search/?api=1&amp;query=" &amp; A2353 &amp; "," &amp; B2353</f>
        <v>https://www.google.com/maps/search/?api=1&amp;query=-30.89530950872400,-55.54407034198180</v>
      </c>
      <c r="G2353" s="33" t="str">
        <f t="array" ref="G2353">"https://earth.google.com/web/search/" &amp; A2353 &amp; "," &amp; B2353</f>
        <v>https://earth.google.com/web/search/-30.89530950872400,-55.54407034198180</v>
      </c>
      <c r="H2353" s="12"/>
      <c r="I2353" s="12"/>
      <c r="J2353" s="12"/>
      <c r="K2353" s="12"/>
      <c r="L2353" s="12"/>
      <c r="M2353" s="12"/>
      <c r="N2353" s="12"/>
      <c r="O2353" s="12"/>
      <c r="P2353" s="12"/>
      <c r="Q2353" s="12"/>
      <c r="R2353" s="12"/>
      <c r="S2353" s="12"/>
      <c r="T2353" s="12"/>
      <c r="U2353" s="12"/>
      <c r="V2353" s="12"/>
      <c r="W2353" s="12"/>
      <c r="X2353" s="12"/>
      <c r="Y2353" s="12"/>
      <c r="Z2353" s="12"/>
      <c r="AA2353" s="12"/>
    </row>
    <row r="2354" ht="26.25" customHeight="1">
      <c r="A2354" s="34" t="s">
        <v>4718</v>
      </c>
      <c r="B2354" s="35" t="s">
        <v>4719</v>
      </c>
      <c r="C2354" s="36">
        <v>3.0</v>
      </c>
      <c r="D2354" s="37">
        <v>115.0</v>
      </c>
      <c r="E2354" s="37">
        <v>2.0</v>
      </c>
      <c r="F2354" s="24" t="str">
        <f t="array" ref="F2354">"https://www.google.com/maps/search/?api=1&amp;query=" &amp; A2354 &amp; "," &amp; B2354</f>
        <v>https://www.google.com/maps/search/?api=1&amp;query=-30.89516070426070,-5.55439621693324</v>
      </c>
      <c r="G2354" s="25" t="str">
        <f t="array" ref="G2354">"https://earth.google.com/web/search/" &amp; A2354 &amp; "," &amp; B2354</f>
        <v>https://earth.google.com/web/search/-30.89516070426070,-5.55439621693324</v>
      </c>
      <c r="H2354" s="12"/>
      <c r="I2354" s="12"/>
      <c r="J2354" s="12"/>
      <c r="K2354" s="12"/>
      <c r="L2354" s="12"/>
      <c r="M2354" s="12"/>
      <c r="N2354" s="12"/>
      <c r="O2354" s="12"/>
      <c r="P2354" s="12"/>
      <c r="Q2354" s="12"/>
      <c r="R2354" s="12"/>
      <c r="S2354" s="12"/>
      <c r="T2354" s="12"/>
      <c r="U2354" s="12"/>
      <c r="V2354" s="12"/>
      <c r="W2354" s="12"/>
      <c r="X2354" s="12"/>
      <c r="Y2354" s="12"/>
      <c r="Z2354" s="12"/>
      <c r="AA2354" s="12"/>
    </row>
    <row r="2355" ht="26.25" customHeight="1">
      <c r="A2355" s="28" t="s">
        <v>4720</v>
      </c>
      <c r="B2355" s="29" t="s">
        <v>4721</v>
      </c>
      <c r="C2355" s="30">
        <v>3.0</v>
      </c>
      <c r="D2355" s="31">
        <v>115.0</v>
      </c>
      <c r="E2355" s="31">
        <v>3.0</v>
      </c>
      <c r="F2355" s="32" t="str">
        <f t="array" ref="F2355">"https://www.google.com/maps/search/?api=1&amp;query=" &amp; A2355 &amp; "," &amp; B2355</f>
        <v>https://www.google.com/maps/search/?api=1&amp;query=-30.89545863811540,-55.54306553155000</v>
      </c>
      <c r="G2355" s="33" t="str">
        <f t="array" ref="G2355">"https://earth.google.com/web/search/" &amp; A2355 &amp; "," &amp; B2355</f>
        <v>https://earth.google.com/web/search/-30.89545863811540,-55.54306553155000</v>
      </c>
      <c r="H2355" s="12"/>
      <c r="I2355" s="12"/>
      <c r="J2355" s="12"/>
      <c r="K2355" s="12"/>
      <c r="L2355" s="12"/>
      <c r="M2355" s="12"/>
      <c r="N2355" s="12"/>
      <c r="O2355" s="12"/>
      <c r="P2355" s="12"/>
      <c r="Q2355" s="12"/>
      <c r="R2355" s="12"/>
      <c r="S2355" s="12"/>
      <c r="T2355" s="12"/>
      <c r="U2355" s="12"/>
      <c r="V2355" s="12"/>
      <c r="W2355" s="12"/>
      <c r="X2355" s="12"/>
      <c r="Y2355" s="12"/>
      <c r="Z2355" s="12"/>
      <c r="AA2355" s="12"/>
    </row>
    <row r="2356" ht="26.25" customHeight="1">
      <c r="A2356" s="34" t="s">
        <v>4722</v>
      </c>
      <c r="B2356" s="35" t="s">
        <v>4723</v>
      </c>
      <c r="C2356" s="36">
        <v>3.0</v>
      </c>
      <c r="D2356" s="37">
        <v>116.0</v>
      </c>
      <c r="E2356" s="37">
        <v>1.0</v>
      </c>
      <c r="F2356" s="24" t="str">
        <f t="array" ref="F2356">"https://www.google.com/maps/search/?api=1&amp;query=" &amp; A2356 &amp; "," &amp; B2356</f>
        <v>https://www.google.com/maps/search/?api=1&amp;query=-30.89617232085980,-55.54279222343410</v>
      </c>
      <c r="G2356" s="25" t="str">
        <f t="array" ref="G2356">"https://earth.google.com/web/search/" &amp; A2356 &amp; "," &amp; B2356</f>
        <v>https://earth.google.com/web/search/-30.89617232085980,-55.54279222343410</v>
      </c>
      <c r="H2356" s="12"/>
      <c r="I2356" s="12"/>
      <c r="J2356" s="12"/>
      <c r="K2356" s="12"/>
      <c r="L2356" s="12"/>
      <c r="M2356" s="12"/>
      <c r="N2356" s="12"/>
      <c r="O2356" s="12"/>
      <c r="P2356" s="12"/>
      <c r="Q2356" s="12"/>
      <c r="R2356" s="12"/>
      <c r="S2356" s="12"/>
      <c r="T2356" s="12"/>
      <c r="U2356" s="12"/>
      <c r="V2356" s="12"/>
      <c r="W2356" s="12"/>
      <c r="X2356" s="12"/>
      <c r="Y2356" s="12"/>
      <c r="Z2356" s="12"/>
      <c r="AA2356" s="12"/>
    </row>
    <row r="2357" ht="26.25" customHeight="1">
      <c r="A2357" s="28" t="s">
        <v>4724</v>
      </c>
      <c r="B2357" s="29" t="s">
        <v>4725</v>
      </c>
      <c r="C2357" s="30">
        <v>3.0</v>
      </c>
      <c r="D2357" s="31">
        <v>116.0</v>
      </c>
      <c r="E2357" s="31">
        <v>2.0</v>
      </c>
      <c r="F2357" s="32" t="str">
        <f t="array" ref="F2357">"https://www.google.com/maps/search/?api=1&amp;query=" &amp; A2357 &amp; "," &amp; B2357</f>
        <v>https://www.google.com/maps/search/?api=1&amp;query=-30.89627073086640,-55.54258113299180</v>
      </c>
      <c r="G2357" s="33" t="str">
        <f t="array" ref="G2357">"https://earth.google.com/web/search/" &amp; A2357 &amp; "," &amp; B2357</f>
        <v>https://earth.google.com/web/search/-30.89627073086640,-55.54258113299180</v>
      </c>
      <c r="H2357" s="12"/>
      <c r="I2357" s="12"/>
      <c r="J2357" s="12"/>
      <c r="K2357" s="12"/>
      <c r="L2357" s="12"/>
      <c r="M2357" s="12"/>
      <c r="N2357" s="12"/>
      <c r="O2357" s="12"/>
      <c r="P2357" s="12"/>
      <c r="Q2357" s="12"/>
      <c r="R2357" s="12"/>
      <c r="S2357" s="12"/>
      <c r="T2357" s="12"/>
      <c r="U2357" s="12"/>
      <c r="V2357" s="12"/>
      <c r="W2357" s="12"/>
      <c r="X2357" s="12"/>
      <c r="Y2357" s="12"/>
      <c r="Z2357" s="12"/>
      <c r="AA2357" s="12"/>
    </row>
    <row r="2358" ht="26.25" customHeight="1">
      <c r="A2358" s="34" t="s">
        <v>4726</v>
      </c>
      <c r="B2358" s="35" t="s">
        <v>4727</v>
      </c>
      <c r="C2358" s="36">
        <v>3.0</v>
      </c>
      <c r="D2358" s="37">
        <v>116.0</v>
      </c>
      <c r="E2358" s="37">
        <v>3.0</v>
      </c>
      <c r="F2358" s="24" t="str">
        <f t="array" ref="F2358">"https://www.google.com/maps/search/?api=1&amp;query=" &amp; A2358 &amp; "," &amp; B2358</f>
        <v>https://www.google.com/maps/search/?api=1&amp;query=-30.89616437345980,-55.54230532373420</v>
      </c>
      <c r="G2358" s="25" t="str">
        <f t="array" ref="G2358">"https://earth.google.com/web/search/" &amp; A2358 &amp; "," &amp; B2358</f>
        <v>https://earth.google.com/web/search/-30.89616437345980,-55.54230532373420</v>
      </c>
      <c r="H2358" s="12"/>
      <c r="I2358" s="12"/>
      <c r="J2358" s="12"/>
      <c r="K2358" s="12"/>
      <c r="L2358" s="12"/>
      <c r="M2358" s="12"/>
      <c r="N2358" s="12"/>
      <c r="O2358" s="12"/>
      <c r="P2358" s="12"/>
      <c r="Q2358" s="12"/>
      <c r="R2358" s="12"/>
      <c r="S2358" s="12"/>
      <c r="T2358" s="12"/>
      <c r="U2358" s="12"/>
      <c r="V2358" s="12"/>
      <c r="W2358" s="12"/>
      <c r="X2358" s="12"/>
      <c r="Y2358" s="12"/>
      <c r="Z2358" s="12"/>
      <c r="AA2358" s="12"/>
    </row>
    <row r="2359" ht="26.25" customHeight="1">
      <c r="A2359" s="28" t="s">
        <v>4728</v>
      </c>
      <c r="B2359" s="29" t="s">
        <v>4729</v>
      </c>
      <c r="C2359" s="30">
        <v>3.0</v>
      </c>
      <c r="D2359" s="31">
        <v>116.0</v>
      </c>
      <c r="E2359" s="31">
        <v>4.0</v>
      </c>
      <c r="F2359" s="32" t="str">
        <f t="array" ref="F2359">"https://www.google.com/maps/search/?api=1&amp;query=" &amp; A2359 &amp; "," &amp; B2359</f>
        <v>https://www.google.com/maps/search/?api=1&amp;query=-30.89602062017670,-55.54220438516000</v>
      </c>
      <c r="G2359" s="33" t="str">
        <f t="array" ref="G2359">"https://earth.google.com/web/search/" &amp; A2359 &amp; "," &amp; B2359</f>
        <v>https://earth.google.com/web/search/-30.89602062017670,-55.54220438516000</v>
      </c>
      <c r="H2359" s="12"/>
      <c r="I2359" s="12"/>
      <c r="J2359" s="12"/>
      <c r="K2359" s="12"/>
      <c r="L2359" s="12"/>
      <c r="M2359" s="12"/>
      <c r="N2359" s="12"/>
      <c r="O2359" s="12"/>
      <c r="P2359" s="12"/>
      <c r="Q2359" s="12"/>
      <c r="R2359" s="12"/>
      <c r="S2359" s="12"/>
      <c r="T2359" s="12"/>
      <c r="U2359" s="12"/>
      <c r="V2359" s="12"/>
      <c r="W2359" s="12"/>
      <c r="X2359" s="12"/>
      <c r="Y2359" s="12"/>
      <c r="Z2359" s="12"/>
      <c r="AA2359" s="12"/>
    </row>
    <row r="2360" ht="26.25" customHeight="1">
      <c r="A2360" s="34" t="s">
        <v>4730</v>
      </c>
      <c r="B2360" s="35" t="s">
        <v>4731</v>
      </c>
      <c r="C2360" s="36">
        <v>3.0</v>
      </c>
      <c r="D2360" s="37">
        <v>116.0</v>
      </c>
      <c r="E2360" s="37">
        <v>5.0</v>
      </c>
      <c r="F2360" s="24" t="str">
        <f t="array" ref="F2360">"https://www.google.com/maps/search/?api=1&amp;query=" &amp; A2360 &amp; "," &amp; B2360</f>
        <v>https://www.google.com/maps/search/?api=1&amp;query=-30.89526835914690,-55.54282014990940</v>
      </c>
      <c r="G2360" s="25" t="str">
        <f t="array" ref="G2360">"https://earth.google.com/web/search/" &amp; A2360 &amp; "," &amp; B2360</f>
        <v>https://earth.google.com/web/search/-30.89526835914690,-55.54282014990940</v>
      </c>
      <c r="H2360" s="12"/>
      <c r="I2360" s="12"/>
      <c r="J2360" s="12"/>
      <c r="K2360" s="12"/>
      <c r="L2360" s="12"/>
      <c r="M2360" s="12"/>
      <c r="N2360" s="12"/>
      <c r="O2360" s="12"/>
      <c r="P2360" s="12"/>
      <c r="Q2360" s="12"/>
      <c r="R2360" s="12"/>
      <c r="S2360" s="12"/>
      <c r="T2360" s="12"/>
      <c r="U2360" s="12"/>
      <c r="V2360" s="12"/>
      <c r="W2360" s="12"/>
      <c r="X2360" s="12"/>
      <c r="Y2360" s="12"/>
      <c r="Z2360" s="12"/>
      <c r="AA2360" s="12"/>
    </row>
    <row r="2361" ht="26.25" customHeight="1">
      <c r="A2361" s="28" t="s">
        <v>4732</v>
      </c>
      <c r="B2361" s="29" t="s">
        <v>4733</v>
      </c>
      <c r="C2361" s="30">
        <v>3.0</v>
      </c>
      <c r="D2361" s="31">
        <v>116.0</v>
      </c>
      <c r="E2361" s="31">
        <v>6.0</v>
      </c>
      <c r="F2361" s="32" t="str">
        <f t="array" ref="F2361">"https://www.google.com/maps/search/?api=1&amp;query=" &amp; A2361 &amp; "," &amp; B2361</f>
        <v>https://www.google.com/maps/search/?api=1&amp;query=-30.89568938771360,-55.54311685078650</v>
      </c>
      <c r="G2361" s="33" t="str">
        <f t="array" ref="G2361">"https://earth.google.com/web/search/" &amp; A2361 &amp; "," &amp; B2361</f>
        <v>https://earth.google.com/web/search/-30.89568938771360,-55.54311685078650</v>
      </c>
      <c r="H2361" s="12"/>
      <c r="I2361" s="12"/>
      <c r="J2361" s="12"/>
      <c r="K2361" s="12"/>
      <c r="L2361" s="12"/>
      <c r="M2361" s="12"/>
      <c r="N2361" s="12"/>
      <c r="O2361" s="12"/>
      <c r="P2361" s="12"/>
      <c r="Q2361" s="12"/>
      <c r="R2361" s="12"/>
      <c r="S2361" s="12"/>
      <c r="T2361" s="12"/>
      <c r="U2361" s="12"/>
      <c r="V2361" s="12"/>
      <c r="W2361" s="12"/>
      <c r="X2361" s="12"/>
      <c r="Y2361" s="12"/>
      <c r="Z2361" s="12"/>
      <c r="AA2361" s="12"/>
    </row>
    <row r="2362" ht="26.25" customHeight="1">
      <c r="A2362" s="34" t="s">
        <v>4734</v>
      </c>
      <c r="B2362" s="35" t="s">
        <v>4735</v>
      </c>
      <c r="C2362" s="36">
        <v>3.0</v>
      </c>
      <c r="D2362" s="37">
        <v>116.0</v>
      </c>
      <c r="E2362" s="37">
        <v>7.0</v>
      </c>
      <c r="F2362" s="24" t="str">
        <f t="array" ref="F2362">"https://www.google.com/maps/search/?api=1&amp;query=" &amp; A2362 &amp; "," &amp; B2362</f>
        <v>https://www.google.com/maps/search/?api=1&amp;query=-30.89581201962840,-55.54318255302840</v>
      </c>
      <c r="G2362" s="25" t="str">
        <f t="array" ref="G2362">"https://earth.google.com/web/search/" &amp; A2362 &amp; "," &amp; B2362</f>
        <v>https://earth.google.com/web/search/-30.89581201962840,-55.54318255302840</v>
      </c>
      <c r="H2362" s="12"/>
      <c r="I2362" s="12"/>
      <c r="J2362" s="12"/>
      <c r="K2362" s="12"/>
      <c r="L2362" s="12"/>
      <c r="M2362" s="12"/>
      <c r="N2362" s="12"/>
      <c r="O2362" s="12"/>
      <c r="P2362" s="12"/>
      <c r="Q2362" s="12"/>
      <c r="R2362" s="12"/>
      <c r="S2362" s="12"/>
      <c r="T2362" s="12"/>
      <c r="U2362" s="12"/>
      <c r="V2362" s="12"/>
      <c r="W2362" s="12"/>
      <c r="X2362" s="12"/>
      <c r="Y2362" s="12"/>
      <c r="Z2362" s="12"/>
      <c r="AA2362" s="12"/>
    </row>
    <row r="2363" ht="26.25" customHeight="1">
      <c r="A2363" s="28" t="s">
        <v>4736</v>
      </c>
      <c r="B2363" s="29" t="s">
        <v>4737</v>
      </c>
      <c r="C2363" s="30">
        <v>3.0</v>
      </c>
      <c r="D2363" s="31">
        <v>116.0</v>
      </c>
      <c r="E2363" s="31">
        <v>8.0</v>
      </c>
      <c r="F2363" s="32" t="str">
        <f t="array" ref="F2363">"https://www.google.com/maps/search/?api=1&amp;query=" &amp; A2363 &amp; "," &amp; B2363</f>
        <v>https://www.google.com/maps/search/?api=1&amp;query=-3.08958698919576,-55.54323773998990</v>
      </c>
      <c r="G2363" s="33" t="str">
        <f t="array" ref="G2363">"https://earth.google.com/web/search/" &amp; A2363 &amp; "," &amp; B2363</f>
        <v>https://earth.google.com/web/search/-3.08958698919576,-55.54323773998990</v>
      </c>
      <c r="H2363" s="12"/>
      <c r="I2363" s="12"/>
      <c r="J2363" s="12"/>
      <c r="K2363" s="12"/>
      <c r="L2363" s="12"/>
      <c r="M2363" s="12"/>
      <c r="N2363" s="12"/>
      <c r="O2363" s="12"/>
      <c r="P2363" s="12"/>
      <c r="Q2363" s="12"/>
      <c r="R2363" s="12"/>
      <c r="S2363" s="12"/>
      <c r="T2363" s="12"/>
      <c r="U2363" s="12"/>
      <c r="V2363" s="12"/>
      <c r="W2363" s="12"/>
      <c r="X2363" s="12"/>
      <c r="Y2363" s="12"/>
      <c r="Z2363" s="12"/>
      <c r="AA2363" s="12"/>
    </row>
    <row r="2364" ht="26.25" customHeight="1">
      <c r="A2364" s="34" t="s">
        <v>4738</v>
      </c>
      <c r="B2364" s="35" t="s">
        <v>4739</v>
      </c>
      <c r="C2364" s="36">
        <v>3.0</v>
      </c>
      <c r="D2364" s="37">
        <v>116.0</v>
      </c>
      <c r="E2364" s="37">
        <v>9.0</v>
      </c>
      <c r="F2364" s="24" t="str">
        <f t="array" ref="F2364">"https://www.google.com/maps/search/?api=1&amp;query=" &amp; A2364 &amp; "," &amp; B2364</f>
        <v>https://www.google.com/maps/search/?api=1&amp;query=-30.89560693107830,-55.54305394412500</v>
      </c>
      <c r="G2364" s="25" t="str">
        <f t="array" ref="G2364">"https://earth.google.com/web/search/" &amp; A2364 &amp; "," &amp; B2364</f>
        <v>https://earth.google.com/web/search/-30.89560693107830,-55.54305394412500</v>
      </c>
      <c r="H2364" s="12"/>
      <c r="I2364" s="12"/>
      <c r="J2364" s="12"/>
      <c r="K2364" s="12"/>
      <c r="L2364" s="12"/>
      <c r="M2364" s="12"/>
      <c r="N2364" s="12"/>
      <c r="O2364" s="12"/>
      <c r="P2364" s="12"/>
      <c r="Q2364" s="12"/>
      <c r="R2364" s="12"/>
      <c r="S2364" s="12"/>
      <c r="T2364" s="12"/>
      <c r="U2364" s="12"/>
      <c r="V2364" s="12"/>
      <c r="W2364" s="12"/>
      <c r="X2364" s="12"/>
      <c r="Y2364" s="12"/>
      <c r="Z2364" s="12"/>
      <c r="AA2364" s="12"/>
    </row>
    <row r="2365" ht="26.25" customHeight="1">
      <c r="A2365" s="28" t="s">
        <v>4740</v>
      </c>
      <c r="B2365" s="29" t="s">
        <v>4741</v>
      </c>
      <c r="C2365" s="30">
        <v>3.0</v>
      </c>
      <c r="D2365" s="31">
        <v>117.0</v>
      </c>
      <c r="E2365" s="31">
        <v>1.0</v>
      </c>
      <c r="F2365" s="32" t="str">
        <f t="array" ref="F2365">"https://www.google.com/maps/search/?api=1&amp;query=" &amp; A2365 &amp; "," &amp; B2365</f>
        <v>https://www.google.com/maps/search/?api=1&amp;query=-30.89626433561750,-55.54227718448680</v>
      </c>
      <c r="G2365" s="33" t="str">
        <f t="array" ref="G2365">"https://earth.google.com/web/search/" &amp; A2365 &amp; "," &amp; B2365</f>
        <v>https://earth.google.com/web/search/-30.89626433561750,-55.54227718448680</v>
      </c>
      <c r="H2365" s="12"/>
      <c r="I2365" s="12"/>
      <c r="J2365" s="12"/>
      <c r="K2365" s="12"/>
      <c r="L2365" s="12"/>
      <c r="M2365" s="12"/>
      <c r="N2365" s="12"/>
      <c r="O2365" s="12"/>
      <c r="P2365" s="12"/>
      <c r="Q2365" s="12"/>
      <c r="R2365" s="12"/>
      <c r="S2365" s="12"/>
      <c r="T2365" s="12"/>
      <c r="U2365" s="12"/>
      <c r="V2365" s="12"/>
      <c r="W2365" s="12"/>
      <c r="X2365" s="12"/>
      <c r="Y2365" s="12"/>
      <c r="Z2365" s="12"/>
      <c r="AA2365" s="12"/>
    </row>
    <row r="2366" ht="26.25" customHeight="1">
      <c r="A2366" s="34" t="s">
        <v>4742</v>
      </c>
      <c r="B2366" s="35" t="s">
        <v>4743</v>
      </c>
      <c r="C2366" s="36">
        <v>3.0</v>
      </c>
      <c r="D2366" s="37">
        <v>117.0</v>
      </c>
      <c r="E2366" s="37">
        <v>2.0</v>
      </c>
      <c r="F2366" s="24" t="str">
        <f t="array" ref="F2366">"https://www.google.com/maps/search/?api=1&amp;query=" &amp; A2366 &amp; "," &amp; B2366</f>
        <v>https://www.google.com/maps/search/?api=1&amp;query=-30.89612405813730,-55.54214843365560</v>
      </c>
      <c r="G2366" s="25" t="str">
        <f t="array" ref="G2366">"https://earth.google.com/web/search/" &amp; A2366 &amp; "," &amp; B2366</f>
        <v>https://earth.google.com/web/search/-30.89612405813730,-55.54214843365560</v>
      </c>
      <c r="H2366" s="12"/>
      <c r="I2366" s="12"/>
      <c r="J2366" s="12"/>
      <c r="K2366" s="12"/>
      <c r="L2366" s="12"/>
      <c r="M2366" s="12"/>
      <c r="N2366" s="12"/>
      <c r="O2366" s="12"/>
      <c r="P2366" s="12"/>
      <c r="Q2366" s="12"/>
      <c r="R2366" s="12"/>
      <c r="S2366" s="12"/>
      <c r="T2366" s="12"/>
      <c r="U2366" s="12"/>
      <c r="V2366" s="12"/>
      <c r="W2366" s="12"/>
      <c r="X2366" s="12"/>
      <c r="Y2366" s="12"/>
      <c r="Z2366" s="12"/>
      <c r="AA2366" s="12"/>
    </row>
    <row r="2367" ht="26.25" customHeight="1">
      <c r="A2367" s="28" t="s">
        <v>4744</v>
      </c>
      <c r="B2367" s="29" t="s">
        <v>4745</v>
      </c>
      <c r="C2367" s="30">
        <v>3.0</v>
      </c>
      <c r="D2367" s="31">
        <v>117.0</v>
      </c>
      <c r="E2367" s="31">
        <v>3.0</v>
      </c>
      <c r="F2367" s="32" t="str">
        <f t="array" ref="F2367">"https://www.google.com/maps/search/?api=1&amp;query=" &amp; A2367 &amp; "," &amp; B2367</f>
        <v>https://www.google.com/maps/search/?api=1&amp;query=-30.89603076781150,-55.54209966752870</v>
      </c>
      <c r="G2367" s="33" t="str">
        <f t="array" ref="G2367">"https://earth.google.com/web/search/" &amp; A2367 &amp; "," &amp; B2367</f>
        <v>https://earth.google.com/web/search/-30.89603076781150,-55.54209966752870</v>
      </c>
      <c r="H2367" s="12"/>
      <c r="I2367" s="12"/>
      <c r="J2367" s="12"/>
      <c r="K2367" s="12"/>
      <c r="L2367" s="12"/>
      <c r="M2367" s="12"/>
      <c r="N2367" s="12"/>
      <c r="O2367" s="12"/>
      <c r="P2367" s="12"/>
      <c r="Q2367" s="12"/>
      <c r="R2367" s="12"/>
      <c r="S2367" s="12"/>
      <c r="T2367" s="12"/>
      <c r="U2367" s="12"/>
      <c r="V2367" s="12"/>
      <c r="W2367" s="12"/>
      <c r="X2367" s="12"/>
      <c r="Y2367" s="12"/>
      <c r="Z2367" s="12"/>
      <c r="AA2367" s="12"/>
    </row>
    <row r="2368" ht="26.25" customHeight="1">
      <c r="A2368" s="34" t="s">
        <v>4746</v>
      </c>
      <c r="B2368" s="35" t="s">
        <v>4747</v>
      </c>
      <c r="C2368" s="36">
        <v>3.0</v>
      </c>
      <c r="D2368" s="37">
        <v>117.0</v>
      </c>
      <c r="E2368" s="37">
        <v>4.0</v>
      </c>
      <c r="F2368" s="24" t="str">
        <f t="array" ref="F2368">"https://www.google.com/maps/search/?api=1&amp;query=" &amp; A2368 &amp; "," &amp; B2368</f>
        <v>https://www.google.com/maps/search/?api=1&amp;query=-30.89591572398560,-55.54204814020770</v>
      </c>
      <c r="G2368" s="25" t="str">
        <f t="array" ref="G2368">"https://earth.google.com/web/search/" &amp; A2368 &amp; "," &amp; B2368</f>
        <v>https://earth.google.com/web/search/-30.89591572398560,-55.54204814020770</v>
      </c>
      <c r="H2368" s="12"/>
      <c r="I2368" s="12"/>
      <c r="J2368" s="12"/>
      <c r="K2368" s="12"/>
      <c r="L2368" s="12"/>
      <c r="M2368" s="12"/>
      <c r="N2368" s="12"/>
      <c r="O2368" s="12"/>
      <c r="P2368" s="12"/>
      <c r="Q2368" s="12"/>
      <c r="R2368" s="12"/>
      <c r="S2368" s="12"/>
      <c r="T2368" s="12"/>
      <c r="U2368" s="12"/>
      <c r="V2368" s="12"/>
      <c r="W2368" s="12"/>
      <c r="X2368" s="12"/>
      <c r="Y2368" s="12"/>
      <c r="Z2368" s="12"/>
      <c r="AA2368" s="12"/>
    </row>
    <row r="2369" ht="26.25" customHeight="1">
      <c r="A2369" s="28" t="s">
        <v>4748</v>
      </c>
      <c r="B2369" s="29" t="s">
        <v>4749</v>
      </c>
      <c r="C2369" s="30">
        <v>3.0</v>
      </c>
      <c r="D2369" s="31">
        <v>117.0</v>
      </c>
      <c r="E2369" s="31">
        <v>5.0</v>
      </c>
      <c r="F2369" s="32" t="str">
        <f t="array" ref="F2369">"https://www.google.com/maps/search/?api=1&amp;query=" &amp; A2369 &amp; "," &amp; B2369</f>
        <v>https://www.google.com/maps/search/?api=1&amp;query=-30.89581708479460,-55.54196145129030</v>
      </c>
      <c r="G2369" s="33" t="str">
        <f t="array" ref="G2369">"https://earth.google.com/web/search/" &amp; A2369 &amp; "," &amp; B2369</f>
        <v>https://earth.google.com/web/search/-30.89581708479460,-55.54196145129030</v>
      </c>
      <c r="H2369" s="12"/>
      <c r="I2369" s="12"/>
      <c r="J2369" s="12"/>
      <c r="K2369" s="12"/>
      <c r="L2369" s="12"/>
      <c r="M2369" s="12"/>
      <c r="N2369" s="12"/>
      <c r="O2369" s="12"/>
      <c r="P2369" s="12"/>
      <c r="Q2369" s="12"/>
      <c r="R2369" s="12"/>
      <c r="S2369" s="12"/>
      <c r="T2369" s="12"/>
      <c r="U2369" s="12"/>
      <c r="V2369" s="12"/>
      <c r="W2369" s="12"/>
      <c r="X2369" s="12"/>
      <c r="Y2369" s="12"/>
      <c r="Z2369" s="12"/>
      <c r="AA2369" s="12"/>
    </row>
    <row r="2370" ht="26.25" customHeight="1">
      <c r="A2370" s="34" t="s">
        <v>4750</v>
      </c>
      <c r="B2370" s="35" t="s">
        <v>4751</v>
      </c>
      <c r="C2370" s="36">
        <v>3.0</v>
      </c>
      <c r="D2370" s="37">
        <v>117.0</v>
      </c>
      <c r="E2370" s="37">
        <v>6.0</v>
      </c>
      <c r="F2370" s="24" t="str">
        <f t="array" ref="F2370">"https://www.google.com/maps/search/?api=1&amp;query=" &amp; A2370 &amp; "," &amp; B2370</f>
        <v>https://www.google.com/maps/search/?api=1&amp;query=-30.89573177518780,-55.54182165140570</v>
      </c>
      <c r="G2370" s="25" t="str">
        <f t="array" ref="G2370">"https://earth.google.com/web/search/" &amp; A2370 &amp; "," &amp; B2370</f>
        <v>https://earth.google.com/web/search/-30.89573177518780,-55.54182165140570</v>
      </c>
      <c r="H2370" s="12"/>
      <c r="I2370" s="12"/>
      <c r="J2370" s="12"/>
      <c r="K2370" s="12"/>
      <c r="L2370" s="12"/>
      <c r="M2370" s="12"/>
      <c r="N2370" s="12"/>
      <c r="O2370" s="12"/>
      <c r="P2370" s="12"/>
      <c r="Q2370" s="12"/>
      <c r="R2370" s="12"/>
      <c r="S2370" s="12"/>
      <c r="T2370" s="12"/>
      <c r="U2370" s="12"/>
      <c r="V2370" s="12"/>
      <c r="W2370" s="12"/>
      <c r="X2370" s="12"/>
      <c r="Y2370" s="12"/>
      <c r="Z2370" s="12"/>
      <c r="AA2370" s="12"/>
    </row>
    <row r="2371" ht="26.25" customHeight="1">
      <c r="A2371" s="28" t="s">
        <v>4752</v>
      </c>
      <c r="B2371" s="29" t="s">
        <v>4753</v>
      </c>
      <c r="C2371" s="30">
        <v>3.0</v>
      </c>
      <c r="D2371" s="31">
        <v>117.0</v>
      </c>
      <c r="E2371" s="31">
        <v>7.0</v>
      </c>
      <c r="F2371" s="32" t="str">
        <f t="array" ref="F2371">"https://www.google.com/maps/search/?api=1&amp;query=" &amp; A2371 &amp; "," &amp; B2371</f>
        <v>https://www.google.com/maps/search/?api=1&amp;query=-3.08958537982146,-55.54159640168360</v>
      </c>
      <c r="G2371" s="33" t="str">
        <f t="array" ref="G2371">"https://earth.google.com/web/search/" &amp; A2371 &amp; "," &amp; B2371</f>
        <v>https://earth.google.com/web/search/-3.08958537982146,-55.54159640168360</v>
      </c>
      <c r="H2371" s="12"/>
      <c r="I2371" s="12"/>
      <c r="J2371" s="12"/>
      <c r="K2371" s="12"/>
      <c r="L2371" s="12"/>
      <c r="M2371" s="12"/>
      <c r="N2371" s="12"/>
      <c r="O2371" s="12"/>
      <c r="P2371" s="12"/>
      <c r="Q2371" s="12"/>
      <c r="R2371" s="12"/>
      <c r="S2371" s="12"/>
      <c r="T2371" s="12"/>
      <c r="U2371" s="12"/>
      <c r="V2371" s="12"/>
      <c r="W2371" s="12"/>
      <c r="X2371" s="12"/>
      <c r="Y2371" s="12"/>
      <c r="Z2371" s="12"/>
      <c r="AA2371" s="12"/>
    </row>
    <row r="2372" ht="26.25" customHeight="1">
      <c r="A2372" s="34" t="s">
        <v>4754</v>
      </c>
      <c r="B2372" s="35" t="s">
        <v>4755</v>
      </c>
      <c r="C2372" s="36">
        <v>3.0</v>
      </c>
      <c r="D2372" s="37">
        <v>117.0</v>
      </c>
      <c r="E2372" s="37">
        <v>8.0</v>
      </c>
      <c r="F2372" s="24" t="str">
        <f t="array" ref="F2372">"https://www.google.com/maps/search/?api=1&amp;query=" &amp; A2372 &amp; "," &amp; B2372</f>
        <v>https://www.google.com/maps/search/?api=1&amp;query=-30.89593437881840,-55.54144765178970</v>
      </c>
      <c r="G2372" s="25" t="str">
        <f t="array" ref="G2372">"https://earth.google.com/web/search/" &amp; A2372 &amp; "," &amp; B2372</f>
        <v>https://earth.google.com/web/search/-30.89593437881840,-55.54144765178970</v>
      </c>
      <c r="H2372" s="12"/>
      <c r="I2372" s="12"/>
      <c r="J2372" s="12"/>
      <c r="K2372" s="12"/>
      <c r="L2372" s="12"/>
      <c r="M2372" s="12"/>
      <c r="N2372" s="12"/>
      <c r="O2372" s="12"/>
      <c r="P2372" s="12"/>
      <c r="Q2372" s="12"/>
      <c r="R2372" s="12"/>
      <c r="S2372" s="12"/>
      <c r="T2372" s="12"/>
      <c r="U2372" s="12"/>
      <c r="V2372" s="12"/>
      <c r="W2372" s="12"/>
      <c r="X2372" s="12"/>
      <c r="Y2372" s="12"/>
      <c r="Z2372" s="12"/>
      <c r="AA2372" s="12"/>
    </row>
    <row r="2373" ht="26.25" customHeight="1">
      <c r="A2373" s="28" t="s">
        <v>4756</v>
      </c>
      <c r="B2373" s="29" t="s">
        <v>4757</v>
      </c>
      <c r="C2373" s="30">
        <v>3.0</v>
      </c>
      <c r="D2373" s="31">
        <v>117.0</v>
      </c>
      <c r="E2373" s="31">
        <v>9.0</v>
      </c>
      <c r="F2373" s="32" t="str">
        <f t="array" ref="F2373">"https://www.google.com/maps/search/?api=1&amp;query=" &amp; A2373 &amp; "," &amp; B2373</f>
        <v>https://www.google.com/maps/search/?api=1&amp;query=-30.89638886797480,-55.54120518942590</v>
      </c>
      <c r="G2373" s="33" t="str">
        <f t="array" ref="G2373">"https://earth.google.com/web/search/" &amp; A2373 &amp; "," &amp; B2373</f>
        <v>https://earth.google.com/web/search/-30.89638886797480,-55.54120518942590</v>
      </c>
      <c r="H2373" s="12"/>
      <c r="I2373" s="12"/>
      <c r="J2373" s="12"/>
      <c r="K2373" s="12"/>
      <c r="L2373" s="12"/>
      <c r="M2373" s="12"/>
      <c r="N2373" s="12"/>
      <c r="O2373" s="12"/>
      <c r="P2373" s="12"/>
      <c r="Q2373" s="12"/>
      <c r="R2373" s="12"/>
      <c r="S2373" s="12"/>
      <c r="T2373" s="12"/>
      <c r="U2373" s="12"/>
      <c r="V2373" s="12"/>
      <c r="W2373" s="12"/>
      <c r="X2373" s="12"/>
      <c r="Y2373" s="12"/>
      <c r="Z2373" s="12"/>
      <c r="AA2373" s="12"/>
    </row>
    <row r="2374" ht="26.25" customHeight="1">
      <c r="A2374" s="34" t="s">
        <v>4758</v>
      </c>
      <c r="B2374" s="35" t="s">
        <v>4759</v>
      </c>
      <c r="C2374" s="36">
        <v>3.0</v>
      </c>
      <c r="D2374" s="37">
        <v>117.0</v>
      </c>
      <c r="E2374" s="37">
        <v>10.0</v>
      </c>
      <c r="F2374" s="24" t="str">
        <f t="array" ref="F2374">"https://www.google.com/maps/search/?api=1&amp;query=" &amp; A2374 &amp; "," &amp; B2374</f>
        <v>https://www.google.com/maps/search/?api=1&amp;query=-30.89661779350860,-55.54137085798350</v>
      </c>
      <c r="G2374" s="25" t="str">
        <f t="array" ref="G2374">"https://earth.google.com/web/search/" &amp; A2374 &amp; "," &amp; B2374</f>
        <v>https://earth.google.com/web/search/-30.89661779350860,-55.54137085798350</v>
      </c>
      <c r="H2374" s="12"/>
      <c r="I2374" s="12"/>
      <c r="J2374" s="12"/>
      <c r="K2374" s="12"/>
      <c r="L2374" s="12"/>
      <c r="M2374" s="12"/>
      <c r="N2374" s="12"/>
      <c r="O2374" s="12"/>
      <c r="P2374" s="12"/>
      <c r="Q2374" s="12"/>
      <c r="R2374" s="12"/>
      <c r="S2374" s="12"/>
      <c r="T2374" s="12"/>
      <c r="U2374" s="12"/>
      <c r="V2374" s="12"/>
      <c r="W2374" s="12"/>
      <c r="X2374" s="12"/>
      <c r="Y2374" s="12"/>
      <c r="Z2374" s="12"/>
      <c r="AA2374" s="12"/>
    </row>
    <row r="2375" ht="26.25" customHeight="1">
      <c r="A2375" s="28" t="s">
        <v>4760</v>
      </c>
      <c r="B2375" s="29" t="s">
        <v>4761</v>
      </c>
      <c r="C2375" s="30">
        <v>3.0</v>
      </c>
      <c r="D2375" s="31">
        <v>117.0</v>
      </c>
      <c r="E2375" s="31">
        <v>11.0</v>
      </c>
      <c r="F2375" s="32" t="str">
        <f t="array" ref="F2375">"https://www.google.com/maps/search/?api=1&amp;query=" &amp; A2375 &amp; "," &amp; B2375</f>
        <v>https://www.google.com/maps/search/?api=1&amp;query=-30.89668198508460,-55.54144183682930</v>
      </c>
      <c r="G2375" s="33" t="str">
        <f t="array" ref="G2375">"https://earth.google.com/web/search/" &amp; A2375 &amp; "," &amp; B2375</f>
        <v>https://earth.google.com/web/search/-30.89668198508460,-55.54144183682930</v>
      </c>
      <c r="H2375" s="12"/>
      <c r="I2375" s="12"/>
      <c r="J2375" s="12"/>
      <c r="K2375" s="12"/>
      <c r="L2375" s="12"/>
      <c r="M2375" s="12"/>
      <c r="N2375" s="12"/>
      <c r="O2375" s="12"/>
      <c r="P2375" s="12"/>
      <c r="Q2375" s="12"/>
      <c r="R2375" s="12"/>
      <c r="S2375" s="12"/>
      <c r="T2375" s="12"/>
      <c r="U2375" s="12"/>
      <c r="V2375" s="12"/>
      <c r="W2375" s="12"/>
      <c r="X2375" s="12"/>
      <c r="Y2375" s="12"/>
      <c r="Z2375" s="12"/>
      <c r="AA2375" s="12"/>
    </row>
    <row r="2376" ht="26.25" customHeight="1">
      <c r="A2376" s="34" t="s">
        <v>4762</v>
      </c>
      <c r="B2376" s="35" t="s">
        <v>4763</v>
      </c>
      <c r="C2376" s="36">
        <v>3.0</v>
      </c>
      <c r="D2376" s="37">
        <v>117.0</v>
      </c>
      <c r="E2376" s="37">
        <v>12.0</v>
      </c>
      <c r="F2376" s="24" t="str">
        <f t="array" ref="F2376">"https://www.google.com/maps/search/?api=1&amp;query=" &amp; A2376 &amp; "," &amp; B2376</f>
        <v>https://www.google.com/maps/search/?api=1&amp;query=-30.89681264584850,-55.54153338296920</v>
      </c>
      <c r="G2376" s="25" t="str">
        <f t="array" ref="G2376">"https://earth.google.com/web/search/" &amp; A2376 &amp; "," &amp; B2376</f>
        <v>https://earth.google.com/web/search/-30.89681264584850,-55.54153338296920</v>
      </c>
      <c r="H2376" s="12"/>
      <c r="I2376" s="12"/>
      <c r="J2376" s="12"/>
      <c r="K2376" s="12"/>
      <c r="L2376" s="12"/>
      <c r="M2376" s="12"/>
      <c r="N2376" s="12"/>
      <c r="O2376" s="12"/>
      <c r="P2376" s="12"/>
      <c r="Q2376" s="12"/>
      <c r="R2376" s="12"/>
      <c r="S2376" s="12"/>
      <c r="T2376" s="12"/>
      <c r="U2376" s="12"/>
      <c r="V2376" s="12"/>
      <c r="W2376" s="12"/>
      <c r="X2376" s="12"/>
      <c r="Y2376" s="12"/>
      <c r="Z2376" s="12"/>
      <c r="AA2376" s="12"/>
    </row>
    <row r="2377" ht="26.25" customHeight="1">
      <c r="A2377" s="28" t="s">
        <v>4764</v>
      </c>
      <c r="B2377" s="29" t="s">
        <v>4765</v>
      </c>
      <c r="C2377" s="30">
        <v>3.0</v>
      </c>
      <c r="D2377" s="31">
        <v>136.0</v>
      </c>
      <c r="E2377" s="31">
        <v>1.0</v>
      </c>
      <c r="F2377" s="32" t="str">
        <f t="array" ref="F2377">"https://www.google.com/maps/search/?api=1&amp;query=" &amp; A2377 &amp; "," &amp; B2377</f>
        <v>https://www.google.com/maps/search/?api=1&amp;query=-30.89728974815770,-55.54283643875860</v>
      </c>
      <c r="G2377" s="33" t="str">
        <f t="array" ref="G2377">"https://earth.google.com/web/search/" &amp; A2377 &amp; "," &amp; B2377</f>
        <v>https://earth.google.com/web/search/-30.89728974815770,-55.54283643875860</v>
      </c>
      <c r="H2377" s="12"/>
      <c r="I2377" s="12"/>
      <c r="J2377" s="12"/>
      <c r="K2377" s="12"/>
      <c r="L2377" s="12"/>
      <c r="M2377" s="12"/>
      <c r="N2377" s="12"/>
      <c r="O2377" s="12"/>
      <c r="P2377" s="12"/>
      <c r="Q2377" s="12"/>
      <c r="R2377" s="12"/>
      <c r="S2377" s="12"/>
      <c r="T2377" s="12"/>
      <c r="U2377" s="12"/>
      <c r="V2377" s="12"/>
      <c r="W2377" s="12"/>
      <c r="X2377" s="12"/>
      <c r="Y2377" s="12"/>
      <c r="Z2377" s="12"/>
      <c r="AA2377" s="12"/>
    </row>
    <row r="2378" ht="26.25" customHeight="1">
      <c r="A2378" s="34" t="s">
        <v>4766</v>
      </c>
      <c r="B2378" s="35" t="s">
        <v>4767</v>
      </c>
      <c r="C2378" s="36">
        <v>3.0</v>
      </c>
      <c r="D2378" s="37">
        <v>136.0</v>
      </c>
      <c r="E2378" s="37">
        <v>2.0</v>
      </c>
      <c r="F2378" s="24" t="str">
        <f t="array" ref="F2378">"https://www.google.com/maps/search/?api=1&amp;query=" &amp; A2378 &amp; "," &amp; B2378</f>
        <v>https://www.google.com/maps/search/?api=1&amp;query=-30.89689184389390,-55.54269351417330</v>
      </c>
      <c r="G2378" s="25" t="str">
        <f t="array" ref="G2378">"https://earth.google.com/web/search/" &amp; A2378 &amp; "," &amp; B2378</f>
        <v>https://earth.google.com/web/search/-30.89689184389390,-55.54269351417330</v>
      </c>
      <c r="H2378" s="12"/>
      <c r="I2378" s="12"/>
      <c r="J2378" s="12"/>
      <c r="K2378" s="12"/>
      <c r="L2378" s="12"/>
      <c r="M2378" s="12"/>
      <c r="N2378" s="12"/>
      <c r="O2378" s="12"/>
      <c r="P2378" s="12"/>
      <c r="Q2378" s="12"/>
      <c r="R2378" s="12"/>
      <c r="S2378" s="12"/>
      <c r="T2378" s="12"/>
      <c r="U2378" s="12"/>
      <c r="V2378" s="12"/>
      <c r="W2378" s="12"/>
      <c r="X2378" s="12"/>
      <c r="Y2378" s="12"/>
      <c r="Z2378" s="12"/>
      <c r="AA2378" s="12"/>
    </row>
    <row r="2379" ht="26.25" customHeight="1">
      <c r="A2379" s="28" t="s">
        <v>4768</v>
      </c>
      <c r="B2379" s="29" t="s">
        <v>4769</v>
      </c>
      <c r="C2379" s="30">
        <v>3.0</v>
      </c>
      <c r="D2379" s="31">
        <v>136.0</v>
      </c>
      <c r="E2379" s="31">
        <v>3.0</v>
      </c>
      <c r="F2379" s="32" t="str">
        <f t="array" ref="F2379">"https://www.google.com/maps/search/?api=1&amp;query=" &amp; A2379 &amp; "," &amp; B2379</f>
        <v>https://www.google.com/maps/search/?api=1&amp;query=-3.08968177991914,-55.54263490036370</v>
      </c>
      <c r="G2379" s="33" t="str">
        <f t="array" ref="G2379">"https://earth.google.com/web/search/" &amp; A2379 &amp; "," &amp; B2379</f>
        <v>https://earth.google.com/web/search/-3.08968177991914,-55.54263490036370</v>
      </c>
      <c r="H2379" s="12"/>
      <c r="I2379" s="12"/>
      <c r="J2379" s="12"/>
      <c r="K2379" s="12"/>
      <c r="L2379" s="12"/>
      <c r="M2379" s="12"/>
      <c r="N2379" s="12"/>
      <c r="O2379" s="12"/>
      <c r="P2379" s="12"/>
      <c r="Q2379" s="12"/>
      <c r="R2379" s="12"/>
      <c r="S2379" s="12"/>
      <c r="T2379" s="12"/>
      <c r="U2379" s="12"/>
      <c r="V2379" s="12"/>
      <c r="W2379" s="12"/>
      <c r="X2379" s="12"/>
      <c r="Y2379" s="12"/>
      <c r="Z2379" s="12"/>
      <c r="AA2379" s="12"/>
    </row>
    <row r="2380" ht="26.25" customHeight="1">
      <c r="A2380" s="34" t="s">
        <v>4770</v>
      </c>
      <c r="B2380" s="35" t="s">
        <v>4771</v>
      </c>
      <c r="C2380" s="36">
        <v>3.0</v>
      </c>
      <c r="D2380" s="37">
        <v>136.0</v>
      </c>
      <c r="E2380" s="37">
        <v>4.0</v>
      </c>
      <c r="F2380" s="24" t="str">
        <f t="array" ref="F2380">"https://www.google.com/maps/search/?api=1&amp;query=" &amp; A2380 &amp; "," &amp; B2380</f>
        <v>https://www.google.com/maps/search/?api=1&amp;query=-30.89674627909220,-55.54259020989810</v>
      </c>
      <c r="G2380" s="25" t="str">
        <f t="array" ref="G2380">"https://earth.google.com/web/search/" &amp; A2380 &amp; "," &amp; B2380</f>
        <v>https://earth.google.com/web/search/-30.89674627909220,-55.54259020989810</v>
      </c>
      <c r="H2380" s="12"/>
      <c r="I2380" s="12"/>
      <c r="J2380" s="12"/>
      <c r="K2380" s="12"/>
      <c r="L2380" s="12"/>
      <c r="M2380" s="12"/>
      <c r="N2380" s="12"/>
      <c r="O2380" s="12"/>
      <c r="P2380" s="12"/>
      <c r="Q2380" s="12"/>
      <c r="R2380" s="12"/>
      <c r="S2380" s="12"/>
      <c r="T2380" s="12"/>
      <c r="U2380" s="12"/>
      <c r="V2380" s="12"/>
      <c r="W2380" s="12"/>
      <c r="X2380" s="12"/>
      <c r="Y2380" s="12"/>
      <c r="Z2380" s="12"/>
      <c r="AA2380" s="12"/>
    </row>
    <row r="2381" ht="26.25" customHeight="1">
      <c r="A2381" s="28" t="s">
        <v>4772</v>
      </c>
      <c r="B2381" s="29" t="s">
        <v>4773</v>
      </c>
      <c r="C2381" s="30">
        <v>3.0</v>
      </c>
      <c r="D2381" s="31">
        <v>136.0</v>
      </c>
      <c r="E2381" s="31">
        <v>5.0</v>
      </c>
      <c r="F2381" s="32" t="str">
        <f t="array" ref="F2381">"https://www.google.com/maps/search/?api=1&amp;query=" &amp; A2381 &amp; "," &amp; B2381</f>
        <v>https://www.google.com/maps/search/?api=1&amp;query=-30.89669198128540,-55.54253611499410</v>
      </c>
      <c r="G2381" s="33" t="str">
        <f t="array" ref="G2381">"https://earth.google.com/web/search/" &amp; A2381 &amp; "," &amp; B2381</f>
        <v>https://earth.google.com/web/search/-30.89669198128540,-55.54253611499410</v>
      </c>
      <c r="H2381" s="12"/>
      <c r="I2381" s="12"/>
      <c r="J2381" s="12"/>
      <c r="K2381" s="12"/>
      <c r="L2381" s="12"/>
      <c r="M2381" s="12"/>
      <c r="N2381" s="12"/>
      <c r="O2381" s="12"/>
      <c r="P2381" s="12"/>
      <c r="Q2381" s="12"/>
      <c r="R2381" s="12"/>
      <c r="S2381" s="12"/>
      <c r="T2381" s="12"/>
      <c r="U2381" s="12"/>
      <c r="V2381" s="12"/>
      <c r="W2381" s="12"/>
      <c r="X2381" s="12"/>
      <c r="Y2381" s="12"/>
      <c r="Z2381" s="12"/>
      <c r="AA2381" s="12"/>
    </row>
    <row r="2382" ht="26.25" customHeight="1">
      <c r="A2382" s="34" t="s">
        <v>4774</v>
      </c>
      <c r="B2382" s="35" t="s">
        <v>4775</v>
      </c>
      <c r="C2382" s="36">
        <v>3.0</v>
      </c>
      <c r="D2382" s="37">
        <v>136.0</v>
      </c>
      <c r="E2382" s="37">
        <v>6.0</v>
      </c>
      <c r="F2382" s="24" t="str">
        <f t="array" ref="F2382">"https://www.google.com/maps/search/?api=1&amp;query=" &amp; A2382 &amp; "," &amp; B2382</f>
        <v>https://www.google.com/maps/search/?api=1&amp;query=-30.89662672775270,-55.54247765964570</v>
      </c>
      <c r="G2382" s="25" t="str">
        <f t="array" ref="G2382">"https://earth.google.com/web/search/" &amp; A2382 &amp; "," &amp; B2382</f>
        <v>https://earth.google.com/web/search/-30.89662672775270,-55.54247765964570</v>
      </c>
      <c r="H2382" s="12"/>
      <c r="I2382" s="12"/>
      <c r="J2382" s="12"/>
      <c r="K2382" s="12"/>
      <c r="L2382" s="12"/>
      <c r="M2382" s="12"/>
      <c r="N2382" s="12"/>
      <c r="O2382" s="12"/>
      <c r="P2382" s="12"/>
      <c r="Q2382" s="12"/>
      <c r="R2382" s="12"/>
      <c r="S2382" s="12"/>
      <c r="T2382" s="12"/>
      <c r="U2382" s="12"/>
      <c r="V2382" s="12"/>
      <c r="W2382" s="12"/>
      <c r="X2382" s="12"/>
      <c r="Y2382" s="12"/>
      <c r="Z2382" s="12"/>
      <c r="AA2382" s="12"/>
    </row>
    <row r="2383" ht="26.25" customHeight="1">
      <c r="A2383" s="28" t="s">
        <v>4776</v>
      </c>
      <c r="B2383" s="29" t="s">
        <v>4777</v>
      </c>
      <c r="C2383" s="30">
        <v>3.0</v>
      </c>
      <c r="D2383" s="31">
        <v>136.0</v>
      </c>
      <c r="E2383" s="31">
        <v>7.0</v>
      </c>
      <c r="F2383" s="32" t="str">
        <f t="array" ref="F2383">"https://www.google.com/maps/search/?api=1&amp;query=" &amp; A2383 &amp; "," &amp; B2383</f>
        <v>https://www.google.com/maps/search/?api=1&amp;query=-30.89656895945820,-55.54243131154330</v>
      </c>
      <c r="G2383" s="33" t="str">
        <f t="array" ref="G2383">"https://earth.google.com/web/search/" &amp; A2383 &amp; "," &amp; B2383</f>
        <v>https://earth.google.com/web/search/-30.89656895945820,-55.54243131154330</v>
      </c>
      <c r="H2383" s="12"/>
      <c r="I2383" s="12"/>
      <c r="J2383" s="12"/>
      <c r="K2383" s="12"/>
      <c r="L2383" s="12"/>
      <c r="M2383" s="12"/>
      <c r="N2383" s="12"/>
      <c r="O2383" s="12"/>
      <c r="P2383" s="12"/>
      <c r="Q2383" s="12"/>
      <c r="R2383" s="12"/>
      <c r="S2383" s="12"/>
      <c r="T2383" s="12"/>
      <c r="U2383" s="12"/>
      <c r="V2383" s="12"/>
      <c r="W2383" s="12"/>
      <c r="X2383" s="12"/>
      <c r="Y2383" s="12"/>
      <c r="Z2383" s="12"/>
      <c r="AA2383" s="12"/>
    </row>
    <row r="2384" ht="26.25" customHeight="1">
      <c r="A2384" s="34" t="s">
        <v>4778</v>
      </c>
      <c r="B2384" s="35" t="s">
        <v>4779</v>
      </c>
      <c r="C2384" s="36">
        <v>3.0</v>
      </c>
      <c r="D2384" s="37">
        <v>136.0</v>
      </c>
      <c r="E2384" s="37">
        <v>8.0</v>
      </c>
      <c r="F2384" s="24" t="str">
        <f t="array" ref="F2384">"https://www.google.com/maps/search/?api=1&amp;query=" &amp; A2384 &amp; "," &amp; B2384</f>
        <v>https://www.google.com/maps/search/?api=1&amp;query=-30.89726777418530,-5.55418509239317</v>
      </c>
      <c r="G2384" s="25" t="str">
        <f t="array" ref="G2384">"https://earth.google.com/web/search/" &amp; A2384 &amp; "," &amp; B2384</f>
        <v>https://earth.google.com/web/search/-30.89726777418530,-5.55418509239317</v>
      </c>
      <c r="H2384" s="12"/>
      <c r="I2384" s="12"/>
      <c r="J2384" s="12"/>
      <c r="K2384" s="12"/>
      <c r="L2384" s="12"/>
      <c r="M2384" s="12"/>
      <c r="N2384" s="12"/>
      <c r="O2384" s="12"/>
      <c r="P2384" s="12"/>
      <c r="Q2384" s="12"/>
      <c r="R2384" s="12"/>
      <c r="S2384" s="12"/>
      <c r="T2384" s="12"/>
      <c r="U2384" s="12"/>
      <c r="V2384" s="12"/>
      <c r="W2384" s="12"/>
      <c r="X2384" s="12"/>
      <c r="Y2384" s="12"/>
      <c r="Z2384" s="12"/>
      <c r="AA2384" s="12"/>
    </row>
    <row r="2385" ht="26.25" customHeight="1">
      <c r="A2385" s="28" t="s">
        <v>4780</v>
      </c>
      <c r="B2385" s="29" t="s">
        <v>4781</v>
      </c>
      <c r="C2385" s="30">
        <v>3.0</v>
      </c>
      <c r="D2385" s="31">
        <v>136.0</v>
      </c>
      <c r="E2385" s="31">
        <v>9.0</v>
      </c>
      <c r="F2385" s="32" t="str">
        <f t="array" ref="F2385">"https://www.google.com/maps/search/?api=1&amp;query=" &amp; A2385 &amp; "," &amp; B2385</f>
        <v>https://www.google.com/maps/search/?api=1&amp;query=-30.89734305390310,-55.54191609638420</v>
      </c>
      <c r="G2385" s="33" t="str">
        <f t="array" ref="G2385">"https://earth.google.com/web/search/" &amp; A2385 &amp; "," &amp; B2385</f>
        <v>https://earth.google.com/web/search/-30.89734305390310,-55.54191609638420</v>
      </c>
      <c r="H2385" s="12"/>
      <c r="I2385" s="12"/>
      <c r="J2385" s="12"/>
      <c r="K2385" s="12"/>
      <c r="L2385" s="12"/>
      <c r="M2385" s="12"/>
      <c r="N2385" s="12"/>
      <c r="O2385" s="12"/>
      <c r="P2385" s="12"/>
      <c r="Q2385" s="12"/>
      <c r="R2385" s="12"/>
      <c r="S2385" s="12"/>
      <c r="T2385" s="12"/>
      <c r="U2385" s="12"/>
      <c r="V2385" s="12"/>
      <c r="W2385" s="12"/>
      <c r="X2385" s="12"/>
      <c r="Y2385" s="12"/>
      <c r="Z2385" s="12"/>
      <c r="AA2385" s="12"/>
    </row>
    <row r="2386" ht="26.25" customHeight="1">
      <c r="A2386" s="34" t="s">
        <v>4782</v>
      </c>
      <c r="B2386" s="35" t="s">
        <v>4783</v>
      </c>
      <c r="C2386" s="36">
        <v>3.0</v>
      </c>
      <c r="D2386" s="37">
        <v>136.0</v>
      </c>
      <c r="E2386" s="37">
        <v>10.0</v>
      </c>
      <c r="F2386" s="24" t="str">
        <f t="array" ref="F2386">"https://www.google.com/maps/search/?api=1&amp;query=" &amp; A2386 &amp; "," &amp; B2386</f>
        <v>https://www.google.com/maps/search/?api=1&amp;query=-3.08974564337237,-55.54236732789980</v>
      </c>
      <c r="G2386" s="25" t="str">
        <f t="array" ref="G2386">"https://earth.google.com/web/search/" &amp; A2386 &amp; "," &amp; B2386</f>
        <v>https://earth.google.com/web/search/-3.08974564337237,-55.54236732789980</v>
      </c>
      <c r="H2386" s="12"/>
      <c r="I2386" s="12"/>
      <c r="J2386" s="12"/>
      <c r="K2386" s="12"/>
      <c r="L2386" s="12"/>
      <c r="M2386" s="12"/>
      <c r="N2386" s="12"/>
      <c r="O2386" s="12"/>
      <c r="P2386" s="12"/>
      <c r="Q2386" s="12"/>
      <c r="R2386" s="12"/>
      <c r="S2386" s="12"/>
      <c r="T2386" s="12"/>
      <c r="U2386" s="12"/>
      <c r="V2386" s="12"/>
      <c r="W2386" s="12"/>
      <c r="X2386" s="12"/>
      <c r="Y2386" s="12"/>
      <c r="Z2386" s="12"/>
      <c r="AA2386" s="12"/>
    </row>
    <row r="2387" ht="26.25" customHeight="1">
      <c r="A2387" s="28" t="s">
        <v>4784</v>
      </c>
      <c r="B2387" s="29" t="s">
        <v>4785</v>
      </c>
      <c r="C2387" s="30">
        <v>3.0</v>
      </c>
      <c r="D2387" s="31">
        <v>136.0</v>
      </c>
      <c r="E2387" s="31">
        <v>11.0</v>
      </c>
      <c r="F2387" s="32" t="str">
        <f t="array" ref="F2387">"https://www.google.com/maps/search/?api=1&amp;query=" &amp; A2387 &amp; "," &amp; B2387</f>
        <v>https://www.google.com/maps/search/?api=1&amp;query=-30.89738082416150,-55.54249134874890</v>
      </c>
      <c r="G2387" s="33" t="str">
        <f t="array" ref="G2387">"https://earth.google.com/web/search/" &amp; A2387 &amp; "," &amp; B2387</f>
        <v>https://earth.google.com/web/search/-30.89738082416150,-55.54249134874890</v>
      </c>
      <c r="H2387" s="12"/>
      <c r="I2387" s="12"/>
      <c r="J2387" s="12"/>
      <c r="K2387" s="12"/>
      <c r="L2387" s="12"/>
      <c r="M2387" s="12"/>
      <c r="N2387" s="12"/>
      <c r="O2387" s="12"/>
      <c r="P2387" s="12"/>
      <c r="Q2387" s="12"/>
      <c r="R2387" s="12"/>
      <c r="S2387" s="12"/>
      <c r="T2387" s="12"/>
      <c r="U2387" s="12"/>
      <c r="V2387" s="12"/>
      <c r="W2387" s="12"/>
      <c r="X2387" s="12"/>
      <c r="Y2387" s="12"/>
      <c r="Z2387" s="12"/>
      <c r="AA2387" s="12"/>
    </row>
    <row r="2388" ht="26.25" customHeight="1">
      <c r="A2388" s="34" t="s">
        <v>4786</v>
      </c>
      <c r="B2388" s="35" t="s">
        <v>4787</v>
      </c>
      <c r="C2388" s="36">
        <v>3.0</v>
      </c>
      <c r="D2388" s="37">
        <v>137.0</v>
      </c>
      <c r="E2388" s="37">
        <v>1.0</v>
      </c>
      <c r="F2388" s="24" t="str">
        <f t="array" ref="F2388">"https://www.google.com/maps/search/?api=1&amp;query=" &amp; A2388 &amp; "," &amp; B2388</f>
        <v>https://www.google.com/maps/search/?api=1&amp;query=-3.08968944246516,-55.54360650807900</v>
      </c>
      <c r="G2388" s="25" t="str">
        <f t="array" ref="G2388">"https://earth.google.com/web/search/" &amp; A2388 &amp; "," &amp; B2388</f>
        <v>https://earth.google.com/web/search/-3.08968944246516,-55.54360650807900</v>
      </c>
      <c r="H2388" s="12"/>
      <c r="I2388" s="12"/>
      <c r="J2388" s="12"/>
      <c r="K2388" s="12"/>
      <c r="L2388" s="12"/>
      <c r="M2388" s="12"/>
      <c r="N2388" s="12"/>
      <c r="O2388" s="12"/>
      <c r="P2388" s="12"/>
      <c r="Q2388" s="12"/>
      <c r="R2388" s="12"/>
      <c r="S2388" s="12"/>
      <c r="T2388" s="12"/>
      <c r="U2388" s="12"/>
      <c r="V2388" s="12"/>
      <c r="W2388" s="12"/>
      <c r="X2388" s="12"/>
      <c r="Y2388" s="12"/>
      <c r="Z2388" s="12"/>
      <c r="AA2388" s="12"/>
    </row>
    <row r="2389" ht="26.25" customHeight="1">
      <c r="A2389" s="28" t="s">
        <v>4788</v>
      </c>
      <c r="B2389" s="29" t="s">
        <v>4789</v>
      </c>
      <c r="C2389" s="30">
        <v>3.0</v>
      </c>
      <c r="D2389" s="31">
        <v>137.0</v>
      </c>
      <c r="E2389" s="31">
        <v>2.0</v>
      </c>
      <c r="F2389" s="32" t="str">
        <f t="array" ref="F2389">"https://www.google.com/maps/search/?api=1&amp;query=" &amp; A2389 &amp; "," &amp; B2389</f>
        <v>https://www.google.com/maps/search/?api=1&amp;query=-30.89711684454430,-55.54310111984060</v>
      </c>
      <c r="G2389" s="33" t="str">
        <f t="array" ref="G2389">"https://earth.google.com/web/search/" &amp; A2389 &amp; "," &amp; B2389</f>
        <v>https://earth.google.com/web/search/-30.89711684454430,-55.54310111984060</v>
      </c>
      <c r="H2389" s="12"/>
      <c r="I2389" s="12"/>
      <c r="J2389" s="12"/>
      <c r="K2389" s="12"/>
      <c r="L2389" s="12"/>
      <c r="M2389" s="12"/>
      <c r="N2389" s="12"/>
      <c r="O2389" s="12"/>
      <c r="P2389" s="12"/>
      <c r="Q2389" s="12"/>
      <c r="R2389" s="12"/>
      <c r="S2389" s="12"/>
      <c r="T2389" s="12"/>
      <c r="U2389" s="12"/>
      <c r="V2389" s="12"/>
      <c r="W2389" s="12"/>
      <c r="X2389" s="12"/>
      <c r="Y2389" s="12"/>
      <c r="Z2389" s="12"/>
      <c r="AA2389" s="12"/>
    </row>
    <row r="2390" ht="26.25" customHeight="1">
      <c r="A2390" s="34" t="s">
        <v>4790</v>
      </c>
      <c r="B2390" s="35" t="s">
        <v>4791</v>
      </c>
      <c r="C2390" s="36">
        <v>3.0</v>
      </c>
      <c r="D2390" s="37">
        <v>137.0</v>
      </c>
      <c r="E2390" s="37">
        <v>3.0</v>
      </c>
      <c r="F2390" s="24" t="str">
        <f t="array" ref="F2390">"https://www.google.com/maps/search/?api=1&amp;query=" &amp; A2390 &amp; "," &amp; B2390</f>
        <v>https://www.google.com/maps/search/?api=1&amp;query=-30.89707612307750,-55.54299206676870</v>
      </c>
      <c r="G2390" s="25" t="str">
        <f t="array" ref="G2390">"https://earth.google.com/web/search/" &amp; A2390 &amp; "," &amp; B2390</f>
        <v>https://earth.google.com/web/search/-30.89707612307750,-55.54299206676870</v>
      </c>
      <c r="H2390" s="12"/>
      <c r="I2390" s="12"/>
      <c r="J2390" s="12"/>
      <c r="K2390" s="12"/>
      <c r="L2390" s="12"/>
      <c r="M2390" s="12"/>
      <c r="N2390" s="12"/>
      <c r="O2390" s="12"/>
      <c r="P2390" s="12"/>
      <c r="Q2390" s="12"/>
      <c r="R2390" s="12"/>
      <c r="S2390" s="12"/>
      <c r="T2390" s="12"/>
      <c r="U2390" s="12"/>
      <c r="V2390" s="12"/>
      <c r="W2390" s="12"/>
      <c r="X2390" s="12"/>
      <c r="Y2390" s="12"/>
      <c r="Z2390" s="12"/>
      <c r="AA2390" s="12"/>
    </row>
    <row r="2391" ht="26.25" customHeight="1">
      <c r="A2391" s="28" t="s">
        <v>4792</v>
      </c>
      <c r="B2391" s="29" t="s">
        <v>4793</v>
      </c>
      <c r="C2391" s="30">
        <v>3.0</v>
      </c>
      <c r="D2391" s="31">
        <v>137.0</v>
      </c>
      <c r="E2391" s="31">
        <v>4.0</v>
      </c>
      <c r="F2391" s="32" t="str">
        <f t="array" ref="F2391">"https://www.google.com/maps/search/?api=1&amp;query=" &amp; A2391 &amp; "," &amp; B2391</f>
        <v>https://www.google.com/maps/search/?api=1&amp;query=-30.89700233841460,-55.54289032120990</v>
      </c>
      <c r="G2391" s="33" t="str">
        <f t="array" ref="G2391">"https://earth.google.com/web/search/" &amp; A2391 &amp; "," &amp; B2391</f>
        <v>https://earth.google.com/web/search/-30.89700233841460,-55.54289032120990</v>
      </c>
      <c r="H2391" s="12"/>
      <c r="I2391" s="12"/>
      <c r="J2391" s="12"/>
      <c r="K2391" s="12"/>
      <c r="L2391" s="12"/>
      <c r="M2391" s="12"/>
      <c r="N2391" s="12"/>
      <c r="O2391" s="12"/>
      <c r="P2391" s="12"/>
      <c r="Q2391" s="12"/>
      <c r="R2391" s="12"/>
      <c r="S2391" s="12"/>
      <c r="T2391" s="12"/>
      <c r="U2391" s="12"/>
      <c r="V2391" s="12"/>
      <c r="W2391" s="12"/>
      <c r="X2391" s="12"/>
      <c r="Y2391" s="12"/>
      <c r="Z2391" s="12"/>
      <c r="AA2391" s="12"/>
    </row>
    <row r="2392" ht="26.25" customHeight="1">
      <c r="A2392" s="34" t="s">
        <v>4794</v>
      </c>
      <c r="B2392" s="35" t="s">
        <v>4795</v>
      </c>
      <c r="C2392" s="36">
        <v>3.0</v>
      </c>
      <c r="D2392" s="37">
        <v>137.0</v>
      </c>
      <c r="E2392" s="37">
        <v>5.0</v>
      </c>
      <c r="F2392" s="24" t="str">
        <f t="array" ref="F2392">"https://www.google.com/maps/search/?api=1&amp;query=" &amp; A2392 &amp; "," &amp; B2392</f>
        <v>https://www.google.com/maps/search/?api=1&amp;query=-3.08967903494199,-55.54275705388480</v>
      </c>
      <c r="G2392" s="25" t="str">
        <f t="array" ref="G2392">"https://earth.google.com/web/search/" &amp; A2392 &amp; "," &amp; B2392</f>
        <v>https://earth.google.com/web/search/-3.08967903494199,-55.54275705388480</v>
      </c>
      <c r="H2392" s="12"/>
      <c r="I2392" s="12"/>
      <c r="J2392" s="12"/>
      <c r="K2392" s="12"/>
      <c r="L2392" s="12"/>
      <c r="M2392" s="12"/>
      <c r="N2392" s="12"/>
      <c r="O2392" s="12"/>
      <c r="P2392" s="12"/>
      <c r="Q2392" s="12"/>
      <c r="R2392" s="12"/>
      <c r="S2392" s="12"/>
      <c r="T2392" s="12"/>
      <c r="U2392" s="12"/>
      <c r="V2392" s="12"/>
      <c r="W2392" s="12"/>
      <c r="X2392" s="12"/>
      <c r="Y2392" s="12"/>
      <c r="Z2392" s="12"/>
      <c r="AA2392" s="12"/>
    </row>
    <row r="2393" ht="26.25" customHeight="1">
      <c r="A2393" s="28" t="s">
        <v>4796</v>
      </c>
      <c r="B2393" s="29" t="s">
        <v>4797</v>
      </c>
      <c r="C2393" s="30">
        <v>3.0</v>
      </c>
      <c r="D2393" s="31">
        <v>137.0</v>
      </c>
      <c r="E2393" s="31">
        <v>6.0</v>
      </c>
      <c r="F2393" s="32" t="str">
        <f t="array" ref="F2393">"https://www.google.com/maps/search/?api=1&amp;query=" &amp; A2393 &amp; "," &amp; B2393</f>
        <v>https://www.google.com/maps/search/?api=1&amp;query=-30.89631055232060,-55.54272656151050</v>
      </c>
      <c r="G2393" s="33" t="str">
        <f t="array" ref="G2393">"https://earth.google.com/web/search/" &amp; A2393 &amp; "," &amp; B2393</f>
        <v>https://earth.google.com/web/search/-30.89631055232060,-55.54272656151050</v>
      </c>
      <c r="H2393" s="12"/>
      <c r="I2393" s="12"/>
      <c r="J2393" s="12"/>
      <c r="K2393" s="12"/>
      <c r="L2393" s="12"/>
      <c r="M2393" s="12"/>
      <c r="N2393" s="12"/>
      <c r="O2393" s="12"/>
      <c r="P2393" s="12"/>
      <c r="Q2393" s="12"/>
      <c r="R2393" s="12"/>
      <c r="S2393" s="12"/>
      <c r="T2393" s="12"/>
      <c r="U2393" s="12"/>
      <c r="V2393" s="12"/>
      <c r="W2393" s="12"/>
      <c r="X2393" s="12"/>
      <c r="Y2393" s="12"/>
      <c r="Z2393" s="12"/>
      <c r="AA2393" s="12"/>
    </row>
    <row r="2394" ht="26.25" customHeight="1">
      <c r="A2394" s="34" t="s">
        <v>4798</v>
      </c>
      <c r="B2394" s="35" t="s">
        <v>4799</v>
      </c>
      <c r="C2394" s="36">
        <v>3.0</v>
      </c>
      <c r="D2394" s="37">
        <v>137.0</v>
      </c>
      <c r="E2394" s="37">
        <v>7.0</v>
      </c>
      <c r="F2394" s="24" t="str">
        <f t="array" ref="F2394">"https://www.google.com/maps/search/?api=1&amp;query=" &amp; A2394 &amp; "," &amp; B2394</f>
        <v>https://www.google.com/maps/search/?api=1&amp;query=-30.89622338814430,-55.54291568296620</v>
      </c>
      <c r="G2394" s="25" t="str">
        <f t="array" ref="G2394">"https://earth.google.com/web/search/" &amp; A2394 &amp; "," &amp; B2394</f>
        <v>https://earth.google.com/web/search/-30.89622338814430,-55.54291568296620</v>
      </c>
      <c r="H2394" s="12"/>
      <c r="I2394" s="12"/>
      <c r="J2394" s="12"/>
      <c r="K2394" s="12"/>
      <c r="L2394" s="12"/>
      <c r="M2394" s="12"/>
      <c r="N2394" s="12"/>
      <c r="O2394" s="12"/>
      <c r="P2394" s="12"/>
      <c r="Q2394" s="12"/>
      <c r="R2394" s="12"/>
      <c r="S2394" s="12"/>
      <c r="T2394" s="12"/>
      <c r="U2394" s="12"/>
      <c r="V2394" s="12"/>
      <c r="W2394" s="12"/>
      <c r="X2394" s="12"/>
      <c r="Y2394" s="12"/>
      <c r="Z2394" s="12"/>
      <c r="AA2394" s="12"/>
    </row>
    <row r="2395" ht="26.25" customHeight="1">
      <c r="A2395" s="28" t="s">
        <v>4800</v>
      </c>
      <c r="B2395" s="29" t="s">
        <v>4801</v>
      </c>
      <c r="C2395" s="30">
        <v>3.0</v>
      </c>
      <c r="D2395" s="31">
        <v>137.0</v>
      </c>
      <c r="E2395" s="31">
        <v>8.0</v>
      </c>
      <c r="F2395" s="32" t="str">
        <f t="array" ref="F2395">"https://www.google.com/maps/search/?api=1&amp;query=" &amp; A2395 &amp; "," &amp; B2395</f>
        <v>https://www.google.com/maps/search/?api=1&amp;query=-30.89613571760060,-55.54338656596660</v>
      </c>
      <c r="G2395" s="33" t="str">
        <f t="array" ref="G2395">"https://earth.google.com/web/search/" &amp; A2395 &amp; "," &amp; B2395</f>
        <v>https://earth.google.com/web/search/-30.89613571760060,-55.54338656596660</v>
      </c>
      <c r="H2395" s="12"/>
      <c r="I2395" s="12"/>
      <c r="J2395" s="12"/>
      <c r="K2395" s="12"/>
      <c r="L2395" s="12"/>
      <c r="M2395" s="12"/>
      <c r="N2395" s="12"/>
      <c r="O2395" s="12"/>
      <c r="P2395" s="12"/>
      <c r="Q2395" s="12"/>
      <c r="R2395" s="12"/>
      <c r="S2395" s="12"/>
      <c r="T2395" s="12"/>
      <c r="U2395" s="12"/>
      <c r="V2395" s="12"/>
      <c r="W2395" s="12"/>
      <c r="X2395" s="12"/>
      <c r="Y2395" s="12"/>
      <c r="Z2395" s="12"/>
      <c r="AA2395" s="12"/>
    </row>
    <row r="2396" ht="26.25" customHeight="1">
      <c r="A2396" s="34" t="s">
        <v>4802</v>
      </c>
      <c r="B2396" s="35" t="s">
        <v>4803</v>
      </c>
      <c r="C2396" s="36">
        <v>3.0</v>
      </c>
      <c r="D2396" s="37">
        <v>137.0</v>
      </c>
      <c r="E2396" s="37">
        <v>9.0</v>
      </c>
      <c r="F2396" s="24" t="str">
        <f t="array" ref="F2396">"https://www.google.com/maps/search/?api=1&amp;query=" &amp; A2396 &amp; "," &amp; B2396</f>
        <v>https://www.google.com/maps/search/?api=1&amp;query=-30.89623283954990,-55.54345647520420</v>
      </c>
      <c r="G2396" s="25" t="str">
        <f t="array" ref="G2396">"https://earth.google.com/web/search/" &amp; A2396 &amp; "," &amp; B2396</f>
        <v>https://earth.google.com/web/search/-30.89623283954990,-55.54345647520420</v>
      </c>
      <c r="H2396" s="12"/>
      <c r="I2396" s="12"/>
      <c r="J2396" s="12"/>
      <c r="K2396" s="12"/>
      <c r="L2396" s="12"/>
      <c r="M2396" s="12"/>
      <c r="N2396" s="12"/>
      <c r="O2396" s="12"/>
      <c r="P2396" s="12"/>
      <c r="Q2396" s="12"/>
      <c r="R2396" s="12"/>
      <c r="S2396" s="12"/>
      <c r="T2396" s="12"/>
      <c r="U2396" s="12"/>
      <c r="V2396" s="12"/>
      <c r="W2396" s="12"/>
      <c r="X2396" s="12"/>
      <c r="Y2396" s="12"/>
      <c r="Z2396" s="12"/>
      <c r="AA2396" s="12"/>
    </row>
    <row r="2397" ht="26.25" customHeight="1">
      <c r="A2397" s="28" t="s">
        <v>4804</v>
      </c>
      <c r="B2397" s="29" t="s">
        <v>4805</v>
      </c>
      <c r="C2397" s="30">
        <v>3.0</v>
      </c>
      <c r="D2397" s="31">
        <v>137.0</v>
      </c>
      <c r="E2397" s="31">
        <v>10.0</v>
      </c>
      <c r="F2397" s="32" t="str">
        <f t="array" ref="F2397">"https://www.google.com/maps/search/?api=1&amp;query=" &amp; A2397 &amp; "," &amp; B2397</f>
        <v>https://www.google.com/maps/search/?api=1&amp;query=-3.08963527946785,-55.54356328085310</v>
      </c>
      <c r="G2397" s="33" t="str">
        <f t="array" ref="G2397">"https://earth.google.com/web/search/" &amp; A2397 &amp; "," &amp; B2397</f>
        <v>https://earth.google.com/web/search/-3.08963527946785,-55.54356328085310</v>
      </c>
      <c r="H2397" s="12"/>
      <c r="I2397" s="12"/>
      <c r="J2397" s="12"/>
      <c r="K2397" s="12"/>
      <c r="L2397" s="12"/>
      <c r="M2397" s="12"/>
      <c r="N2397" s="12"/>
      <c r="O2397" s="12"/>
      <c r="P2397" s="12"/>
      <c r="Q2397" s="12"/>
      <c r="R2397" s="12"/>
      <c r="S2397" s="12"/>
      <c r="T2397" s="12"/>
      <c r="U2397" s="12"/>
      <c r="V2397" s="12"/>
      <c r="W2397" s="12"/>
      <c r="X2397" s="12"/>
      <c r="Y2397" s="12"/>
      <c r="Z2397" s="12"/>
      <c r="AA2397" s="12"/>
    </row>
    <row r="2398" ht="26.25" customHeight="1">
      <c r="A2398" s="34" t="s">
        <v>4806</v>
      </c>
      <c r="B2398" s="35" t="s">
        <v>4807</v>
      </c>
      <c r="C2398" s="36">
        <v>3.0</v>
      </c>
      <c r="D2398" s="37">
        <v>137.0</v>
      </c>
      <c r="E2398" s="37">
        <v>11.0</v>
      </c>
      <c r="F2398" s="24" t="str">
        <f t="array" ref="F2398">"https://www.google.com/maps/search/?api=1&amp;query=" &amp; A2398 &amp; "," &amp; B2398</f>
        <v>https://www.google.com/maps/search/?api=1&amp;query=-30.89639149595200,-55.54359936461930</v>
      </c>
      <c r="G2398" s="25" t="str">
        <f t="array" ref="G2398">"https://earth.google.com/web/search/" &amp; A2398 &amp; "," &amp; B2398</f>
        <v>https://earth.google.com/web/search/-30.89639149595200,-55.54359936461930</v>
      </c>
      <c r="H2398" s="12"/>
      <c r="I2398" s="12"/>
      <c r="J2398" s="12"/>
      <c r="K2398" s="12"/>
      <c r="L2398" s="12"/>
      <c r="M2398" s="12"/>
      <c r="N2398" s="12"/>
      <c r="O2398" s="12"/>
      <c r="P2398" s="12"/>
      <c r="Q2398" s="12"/>
      <c r="R2398" s="12"/>
      <c r="S2398" s="12"/>
      <c r="T2398" s="12"/>
      <c r="U2398" s="12"/>
      <c r="V2398" s="12"/>
      <c r="W2398" s="12"/>
      <c r="X2398" s="12"/>
      <c r="Y2398" s="12"/>
      <c r="Z2398" s="12"/>
      <c r="AA2398" s="12"/>
    </row>
    <row r="2399" ht="26.25" customHeight="1">
      <c r="A2399" s="28" t="s">
        <v>4808</v>
      </c>
      <c r="B2399" s="29" t="s">
        <v>4809</v>
      </c>
      <c r="C2399" s="30">
        <v>3.0</v>
      </c>
      <c r="D2399" s="31">
        <v>137.0</v>
      </c>
      <c r="E2399" s="31">
        <v>12.0</v>
      </c>
      <c r="F2399" s="32" t="str">
        <f t="array" ref="F2399">"https://www.google.com/maps/search/?api=1&amp;query=" &amp; A2399 &amp; "," &amp; B2399</f>
        <v>https://www.google.com/maps/search/?api=1&amp;query=-30.89650643693930,-55.54365934674280</v>
      </c>
      <c r="G2399" s="33" t="str">
        <f t="array" ref="G2399">"https://earth.google.com/web/search/" &amp; A2399 &amp; "," &amp; B2399</f>
        <v>https://earth.google.com/web/search/-30.89650643693930,-55.54365934674280</v>
      </c>
      <c r="H2399" s="12"/>
      <c r="I2399" s="12"/>
      <c r="J2399" s="12"/>
      <c r="K2399" s="12"/>
      <c r="L2399" s="12"/>
      <c r="M2399" s="12"/>
      <c r="N2399" s="12"/>
      <c r="O2399" s="12"/>
      <c r="P2399" s="12"/>
      <c r="Q2399" s="12"/>
      <c r="R2399" s="12"/>
      <c r="S2399" s="12"/>
      <c r="T2399" s="12"/>
      <c r="U2399" s="12"/>
      <c r="V2399" s="12"/>
      <c r="W2399" s="12"/>
      <c r="X2399" s="12"/>
      <c r="Y2399" s="12"/>
      <c r="Z2399" s="12"/>
      <c r="AA2399" s="12"/>
    </row>
    <row r="2400" ht="26.25" customHeight="1">
      <c r="A2400" s="34" t="s">
        <v>4810</v>
      </c>
      <c r="B2400" s="35" t="s">
        <v>4811</v>
      </c>
      <c r="C2400" s="36">
        <v>3.0</v>
      </c>
      <c r="D2400" s="37">
        <v>137.0</v>
      </c>
      <c r="E2400" s="37">
        <v>13.0</v>
      </c>
      <c r="F2400" s="24" t="str">
        <f t="array" ref="F2400">"https://www.google.com/maps/search/?api=1&amp;query=" &amp; A2400 &amp; "," &amp; B2400</f>
        <v>https://www.google.com/maps/search/?api=1&amp;query=-30.89654939791440,-55.54373187460520</v>
      </c>
      <c r="G2400" s="25" t="str">
        <f t="array" ref="G2400">"https://earth.google.com/web/search/" &amp; A2400 &amp; "," &amp; B2400</f>
        <v>https://earth.google.com/web/search/-30.89654939791440,-55.54373187460520</v>
      </c>
      <c r="H2400" s="12"/>
      <c r="I2400" s="12"/>
      <c r="J2400" s="12"/>
      <c r="K2400" s="12"/>
      <c r="L2400" s="12"/>
      <c r="M2400" s="12"/>
      <c r="N2400" s="12"/>
      <c r="O2400" s="12"/>
      <c r="P2400" s="12"/>
      <c r="Q2400" s="12"/>
      <c r="R2400" s="12"/>
      <c r="S2400" s="12"/>
      <c r="T2400" s="12"/>
      <c r="U2400" s="12"/>
      <c r="V2400" s="12"/>
      <c r="W2400" s="12"/>
      <c r="X2400" s="12"/>
      <c r="Y2400" s="12"/>
      <c r="Z2400" s="12"/>
      <c r="AA2400" s="12"/>
    </row>
    <row r="2401" ht="26.25" customHeight="1">
      <c r="A2401" s="28" t="s">
        <v>4812</v>
      </c>
      <c r="B2401" s="29" t="s">
        <v>4813</v>
      </c>
      <c r="C2401" s="30">
        <v>3.0</v>
      </c>
      <c r="D2401" s="31">
        <v>137.0</v>
      </c>
      <c r="E2401" s="31">
        <v>14.0</v>
      </c>
      <c r="F2401" s="32" t="str">
        <f t="array" ref="F2401">"https://www.google.com/maps/search/?api=1&amp;query=" &amp; A2401 &amp; "," &amp; B2401</f>
        <v>https://www.google.com/maps/search/?api=1&amp;query=-30.89662323731410,-55.54376257314190</v>
      </c>
      <c r="G2401" s="33" t="str">
        <f t="array" ref="G2401">"https://earth.google.com/web/search/" &amp; A2401 &amp; "," &amp; B2401</f>
        <v>https://earth.google.com/web/search/-30.89662323731410,-55.54376257314190</v>
      </c>
      <c r="H2401" s="12"/>
      <c r="I2401" s="12"/>
      <c r="J2401" s="12"/>
      <c r="K2401" s="12"/>
      <c r="L2401" s="12"/>
      <c r="M2401" s="12"/>
      <c r="N2401" s="12"/>
      <c r="O2401" s="12"/>
      <c r="P2401" s="12"/>
      <c r="Q2401" s="12"/>
      <c r="R2401" s="12"/>
      <c r="S2401" s="12"/>
      <c r="T2401" s="12"/>
      <c r="U2401" s="12"/>
      <c r="V2401" s="12"/>
      <c r="W2401" s="12"/>
      <c r="X2401" s="12"/>
      <c r="Y2401" s="12"/>
      <c r="Z2401" s="12"/>
      <c r="AA2401" s="12"/>
    </row>
    <row r="2402" ht="26.25" customHeight="1">
      <c r="A2402" s="34" t="s">
        <v>4814</v>
      </c>
      <c r="B2402" s="35" t="s">
        <v>4815</v>
      </c>
      <c r="C2402" s="36">
        <v>3.0</v>
      </c>
      <c r="D2402" s="37">
        <v>138.0</v>
      </c>
      <c r="E2402" s="37">
        <v>1.0</v>
      </c>
      <c r="F2402" s="24" t="str">
        <f t="array" ref="F2402">"https://www.google.com/maps/search/?api=1&amp;query=" &amp; A2402 &amp; "," &amp; B2402</f>
        <v>https://www.google.com/maps/search/?api=1&amp;query=-30.89631246942760,-55.54460523190030</v>
      </c>
      <c r="G2402" s="25" t="str">
        <f t="array" ref="G2402">"https://earth.google.com/web/search/" &amp; A2402 &amp; "," &amp; B2402</f>
        <v>https://earth.google.com/web/search/-30.89631246942760,-55.54460523190030</v>
      </c>
      <c r="H2402" s="12"/>
      <c r="I2402" s="12"/>
      <c r="J2402" s="12"/>
      <c r="K2402" s="12"/>
      <c r="L2402" s="12"/>
      <c r="M2402" s="12"/>
      <c r="N2402" s="12"/>
      <c r="O2402" s="12"/>
      <c r="P2402" s="12"/>
      <c r="Q2402" s="12"/>
      <c r="R2402" s="12"/>
      <c r="S2402" s="12"/>
      <c r="T2402" s="12"/>
      <c r="U2402" s="12"/>
      <c r="V2402" s="12"/>
      <c r="W2402" s="12"/>
      <c r="X2402" s="12"/>
      <c r="Y2402" s="12"/>
      <c r="Z2402" s="12"/>
      <c r="AA2402" s="12"/>
    </row>
    <row r="2403" ht="26.25" customHeight="1">
      <c r="A2403" s="28" t="s">
        <v>4816</v>
      </c>
      <c r="B2403" s="29" t="s">
        <v>4817</v>
      </c>
      <c r="C2403" s="30">
        <v>3.0</v>
      </c>
      <c r="D2403" s="31">
        <v>138.0</v>
      </c>
      <c r="E2403" s="31">
        <v>2.0</v>
      </c>
      <c r="F2403" s="32" t="str">
        <f t="array" ref="F2403">"https://www.google.com/maps/search/?api=1&amp;query=" &amp; A2403 &amp; "," &amp; B2403</f>
        <v>https://www.google.com/maps/search/?api=1&amp;query=-30.89642903320960,-55.54431725243680</v>
      </c>
      <c r="G2403" s="33" t="str">
        <f t="array" ref="G2403">"https://earth.google.com/web/search/" &amp; A2403 &amp; "," &amp; B2403</f>
        <v>https://earth.google.com/web/search/-30.89642903320960,-55.54431725243680</v>
      </c>
      <c r="H2403" s="12"/>
      <c r="I2403" s="12"/>
      <c r="J2403" s="12"/>
      <c r="K2403" s="12"/>
      <c r="L2403" s="12"/>
      <c r="M2403" s="12"/>
      <c r="N2403" s="12"/>
      <c r="O2403" s="12"/>
      <c r="P2403" s="12"/>
      <c r="Q2403" s="12"/>
      <c r="R2403" s="12"/>
      <c r="S2403" s="12"/>
      <c r="T2403" s="12"/>
      <c r="U2403" s="12"/>
      <c r="V2403" s="12"/>
      <c r="W2403" s="12"/>
      <c r="X2403" s="12"/>
      <c r="Y2403" s="12"/>
      <c r="Z2403" s="12"/>
      <c r="AA2403" s="12"/>
    </row>
    <row r="2404" ht="26.25" customHeight="1">
      <c r="A2404" s="34" t="s">
        <v>4818</v>
      </c>
      <c r="B2404" s="35" t="s">
        <v>4819</v>
      </c>
      <c r="C2404" s="36">
        <v>3.0</v>
      </c>
      <c r="D2404" s="37">
        <v>138.0</v>
      </c>
      <c r="E2404" s="37">
        <v>3.0</v>
      </c>
      <c r="F2404" s="24" t="str">
        <f t="array" ref="F2404">"https://www.google.com/maps/search/?api=1&amp;query=" &amp; A2404 &amp; "," &amp; B2404</f>
        <v>https://www.google.com/maps/search/?api=1&amp;query=-30.89663605745540,-5.55439683469322</v>
      </c>
      <c r="G2404" s="25" t="str">
        <f t="array" ref="G2404">"https://earth.google.com/web/search/" &amp; A2404 &amp; "," &amp; B2404</f>
        <v>https://earth.google.com/web/search/-30.89663605745540,-5.55439683469322</v>
      </c>
      <c r="H2404" s="12"/>
      <c r="I2404" s="12"/>
      <c r="J2404" s="12"/>
      <c r="K2404" s="12"/>
      <c r="L2404" s="12"/>
      <c r="M2404" s="12"/>
      <c r="N2404" s="12"/>
      <c r="O2404" s="12"/>
      <c r="P2404" s="12"/>
      <c r="Q2404" s="12"/>
      <c r="R2404" s="12"/>
      <c r="S2404" s="12"/>
      <c r="T2404" s="12"/>
      <c r="U2404" s="12"/>
      <c r="V2404" s="12"/>
      <c r="W2404" s="12"/>
      <c r="X2404" s="12"/>
      <c r="Y2404" s="12"/>
      <c r="Z2404" s="12"/>
      <c r="AA2404" s="12"/>
    </row>
    <row r="2405" ht="26.25" customHeight="1">
      <c r="A2405" s="28" t="s">
        <v>4820</v>
      </c>
      <c r="B2405" s="29" t="s">
        <v>4821</v>
      </c>
      <c r="C2405" s="30">
        <v>3.0</v>
      </c>
      <c r="D2405" s="31">
        <v>138.0</v>
      </c>
      <c r="E2405" s="31">
        <v>4.0</v>
      </c>
      <c r="F2405" s="32" t="str">
        <f t="array" ref="F2405">"https://www.google.com/maps/search/?api=1&amp;query=" &amp; A2405 &amp; "," &amp; B2405</f>
        <v>https://www.google.com/maps/search/?api=1&amp;query=-30.89656052213450,-55.54389346603980</v>
      </c>
      <c r="G2405" s="33" t="str">
        <f t="array" ref="G2405">"https://earth.google.com/web/search/" &amp; A2405 &amp; "," &amp; B2405</f>
        <v>https://earth.google.com/web/search/-30.89656052213450,-55.54389346603980</v>
      </c>
      <c r="H2405" s="12"/>
      <c r="I2405" s="12"/>
      <c r="J2405" s="12"/>
      <c r="K2405" s="12"/>
      <c r="L2405" s="12"/>
      <c r="M2405" s="12"/>
      <c r="N2405" s="12"/>
      <c r="O2405" s="12"/>
      <c r="P2405" s="12"/>
      <c r="Q2405" s="12"/>
      <c r="R2405" s="12"/>
      <c r="S2405" s="12"/>
      <c r="T2405" s="12"/>
      <c r="U2405" s="12"/>
      <c r="V2405" s="12"/>
      <c r="W2405" s="12"/>
      <c r="X2405" s="12"/>
      <c r="Y2405" s="12"/>
      <c r="Z2405" s="12"/>
      <c r="AA2405" s="12"/>
    </row>
    <row r="2406" ht="26.25" customHeight="1">
      <c r="A2406" s="34" t="s">
        <v>4822</v>
      </c>
      <c r="B2406" s="35" t="s">
        <v>4823</v>
      </c>
      <c r="C2406" s="36">
        <v>3.0</v>
      </c>
      <c r="D2406" s="37">
        <v>138.0</v>
      </c>
      <c r="E2406" s="37">
        <v>5.0</v>
      </c>
      <c r="F2406" s="24" t="str">
        <f t="array" ref="F2406">"https://www.google.com/maps/search/?api=1&amp;query=" &amp; A2406 &amp; "," &amp; B2406</f>
        <v>https://www.google.com/maps/search/?api=1&amp;query=-30.89628448505170,-55.54363661763280</v>
      </c>
      <c r="G2406" s="25" t="str">
        <f t="array" ref="G2406">"https://earth.google.com/web/search/" &amp; A2406 &amp; "," &amp; B2406</f>
        <v>https://earth.google.com/web/search/-30.89628448505170,-55.54363661763280</v>
      </c>
      <c r="H2406" s="12"/>
      <c r="I2406" s="12"/>
      <c r="J2406" s="12"/>
      <c r="K2406" s="12"/>
      <c r="L2406" s="12"/>
      <c r="M2406" s="12"/>
      <c r="N2406" s="12"/>
      <c r="O2406" s="12"/>
      <c r="P2406" s="12"/>
      <c r="Q2406" s="12"/>
      <c r="R2406" s="12"/>
      <c r="S2406" s="12"/>
      <c r="T2406" s="12"/>
      <c r="U2406" s="12"/>
      <c r="V2406" s="12"/>
      <c r="W2406" s="12"/>
      <c r="X2406" s="12"/>
      <c r="Y2406" s="12"/>
      <c r="Z2406" s="12"/>
      <c r="AA2406" s="12"/>
    </row>
    <row r="2407" ht="26.25" customHeight="1">
      <c r="A2407" s="28" t="s">
        <v>4824</v>
      </c>
      <c r="B2407" s="29" t="s">
        <v>4825</v>
      </c>
      <c r="C2407" s="30">
        <v>3.0</v>
      </c>
      <c r="D2407" s="31">
        <v>138.0</v>
      </c>
      <c r="E2407" s="31">
        <v>6.0</v>
      </c>
      <c r="F2407" s="32" t="str">
        <f t="array" ref="F2407">"https://www.google.com/maps/search/?api=1&amp;query=" &amp; A2407 &amp; "," &amp; B2407</f>
        <v>https://www.google.com/maps/search/?api=1&amp;query=-30.89623056410370,-55.54358142549040</v>
      </c>
      <c r="G2407" s="33" t="str">
        <f t="array" ref="G2407">"https://earth.google.com/web/search/" &amp; A2407 &amp; "," &amp; B2407</f>
        <v>https://earth.google.com/web/search/-30.89623056410370,-55.54358142549040</v>
      </c>
      <c r="H2407" s="12"/>
      <c r="I2407" s="12"/>
      <c r="J2407" s="12"/>
      <c r="K2407" s="12"/>
      <c r="L2407" s="12"/>
      <c r="M2407" s="12"/>
      <c r="N2407" s="12"/>
      <c r="O2407" s="12"/>
      <c r="P2407" s="12"/>
      <c r="Q2407" s="12"/>
      <c r="R2407" s="12"/>
      <c r="S2407" s="12"/>
      <c r="T2407" s="12"/>
      <c r="U2407" s="12"/>
      <c r="V2407" s="12"/>
      <c r="W2407" s="12"/>
      <c r="X2407" s="12"/>
      <c r="Y2407" s="12"/>
      <c r="Z2407" s="12"/>
      <c r="AA2407" s="12"/>
    </row>
    <row r="2408" ht="26.25" customHeight="1">
      <c r="A2408" s="34" t="s">
        <v>4826</v>
      </c>
      <c r="B2408" s="35" t="s">
        <v>4827</v>
      </c>
      <c r="C2408" s="36">
        <v>3.0</v>
      </c>
      <c r="D2408" s="37">
        <v>138.0</v>
      </c>
      <c r="E2408" s="37">
        <v>7.0</v>
      </c>
      <c r="F2408" s="24" t="str">
        <f t="array" ref="F2408">"https://www.google.com/maps/search/?api=1&amp;query=" &amp; A2408 &amp; "," &amp; B2408</f>
        <v>https://www.google.com/maps/search/?api=1&amp;query=-30.89616524619570,-55.54354581739220</v>
      </c>
      <c r="G2408" s="25" t="str">
        <f t="array" ref="G2408">"https://earth.google.com/web/search/" &amp; A2408 &amp; "," &amp; B2408</f>
        <v>https://earth.google.com/web/search/-30.89616524619570,-55.54354581739220</v>
      </c>
      <c r="H2408" s="12"/>
      <c r="I2408" s="12"/>
      <c r="J2408" s="12"/>
      <c r="K2408" s="12"/>
      <c r="L2408" s="12"/>
      <c r="M2408" s="12"/>
      <c r="N2408" s="12"/>
      <c r="O2408" s="12"/>
      <c r="P2408" s="12"/>
      <c r="Q2408" s="12"/>
      <c r="R2408" s="12"/>
      <c r="S2408" s="12"/>
      <c r="T2408" s="12"/>
      <c r="U2408" s="12"/>
      <c r="V2408" s="12"/>
      <c r="W2408" s="12"/>
      <c r="X2408" s="12"/>
      <c r="Y2408" s="12"/>
      <c r="Z2408" s="12"/>
      <c r="AA2408" s="12"/>
    </row>
    <row r="2409" ht="26.25" customHeight="1">
      <c r="A2409" s="28" t="s">
        <v>4828</v>
      </c>
      <c r="B2409" s="29" t="s">
        <v>4829</v>
      </c>
      <c r="C2409" s="30">
        <v>3.0</v>
      </c>
      <c r="D2409" s="31">
        <v>138.0</v>
      </c>
      <c r="E2409" s="31">
        <v>8.0</v>
      </c>
      <c r="F2409" s="32" t="str">
        <f t="array" ref="F2409">"https://www.google.com/maps/search/?api=1&amp;query=" &amp; A2409 &amp; "," &amp; B2409</f>
        <v>https://www.google.com/maps/search/?api=1&amp;query=-3.08955826198353,-55.54419884727070</v>
      </c>
      <c r="G2409" s="33" t="str">
        <f t="array" ref="G2409">"https://earth.google.com/web/search/" &amp; A2409 &amp; "," &amp; B2409</f>
        <v>https://earth.google.com/web/search/-3.08955826198353,-55.54419884727070</v>
      </c>
      <c r="H2409" s="12"/>
      <c r="I2409" s="12"/>
      <c r="J2409" s="12"/>
      <c r="K2409" s="12"/>
      <c r="L2409" s="12"/>
      <c r="M2409" s="12"/>
      <c r="N2409" s="12"/>
      <c r="O2409" s="12"/>
      <c r="P2409" s="12"/>
      <c r="Q2409" s="12"/>
      <c r="R2409" s="12"/>
      <c r="S2409" s="12"/>
      <c r="T2409" s="12"/>
      <c r="U2409" s="12"/>
      <c r="V2409" s="12"/>
      <c r="W2409" s="12"/>
      <c r="X2409" s="12"/>
      <c r="Y2409" s="12"/>
      <c r="Z2409" s="12"/>
      <c r="AA2409" s="12"/>
    </row>
    <row r="2410" ht="26.25" customHeight="1">
      <c r="A2410" s="34" t="s">
        <v>4830</v>
      </c>
      <c r="B2410" s="35" t="s">
        <v>4831</v>
      </c>
      <c r="C2410" s="36">
        <v>3.0</v>
      </c>
      <c r="D2410" s="37">
        <v>138.0</v>
      </c>
      <c r="E2410" s="37">
        <v>9.0</v>
      </c>
      <c r="F2410" s="24" t="str">
        <f t="array" ref="F2410">"https://www.google.com/maps/search/?api=1&amp;query=" &amp; A2410 &amp; "," &amp; B2410</f>
        <v>https://www.google.com/maps/search/?api=1&amp;query=-30.89563505624520,-55.54425256996480</v>
      </c>
      <c r="G2410" s="25" t="str">
        <f t="array" ref="G2410">"https://earth.google.com/web/search/" &amp; A2410 &amp; "," &amp; B2410</f>
        <v>https://earth.google.com/web/search/-30.89563505624520,-55.54425256996480</v>
      </c>
      <c r="H2410" s="12"/>
      <c r="I2410" s="12"/>
      <c r="J2410" s="12"/>
      <c r="K2410" s="12"/>
      <c r="L2410" s="12"/>
      <c r="M2410" s="12"/>
      <c r="N2410" s="12"/>
      <c r="O2410" s="12"/>
      <c r="P2410" s="12"/>
      <c r="Q2410" s="12"/>
      <c r="R2410" s="12"/>
      <c r="S2410" s="12"/>
      <c r="T2410" s="12"/>
      <c r="U2410" s="12"/>
      <c r="V2410" s="12"/>
      <c r="W2410" s="12"/>
      <c r="X2410" s="12"/>
      <c r="Y2410" s="12"/>
      <c r="Z2410" s="12"/>
      <c r="AA2410" s="12"/>
    </row>
    <row r="2411" ht="26.25" customHeight="1">
      <c r="A2411" s="28" t="s">
        <v>4832</v>
      </c>
      <c r="B2411" s="29" t="s">
        <v>4833</v>
      </c>
      <c r="C2411" s="30">
        <v>3.0</v>
      </c>
      <c r="D2411" s="31">
        <v>138.0</v>
      </c>
      <c r="E2411" s="31">
        <v>10.0</v>
      </c>
      <c r="F2411" s="32" t="str">
        <f t="array" ref="F2411">"https://www.google.com/maps/search/?api=1&amp;query=" &amp; A2411 &amp; "," &amp; B2411</f>
        <v>https://www.google.com/maps/search/?api=1&amp;query=-30.89568251764530,-55.54430040730450</v>
      </c>
      <c r="G2411" s="33" t="str">
        <f t="array" ref="G2411">"https://earth.google.com/web/search/" &amp; A2411 &amp; "," &amp; B2411</f>
        <v>https://earth.google.com/web/search/-30.89568251764530,-55.54430040730450</v>
      </c>
      <c r="H2411" s="12"/>
      <c r="I2411" s="12"/>
      <c r="J2411" s="12"/>
      <c r="K2411" s="12"/>
      <c r="L2411" s="12"/>
      <c r="M2411" s="12"/>
      <c r="N2411" s="12"/>
      <c r="O2411" s="12"/>
      <c r="P2411" s="12"/>
      <c r="Q2411" s="12"/>
      <c r="R2411" s="12"/>
      <c r="S2411" s="12"/>
      <c r="T2411" s="12"/>
      <c r="U2411" s="12"/>
      <c r="V2411" s="12"/>
      <c r="W2411" s="12"/>
      <c r="X2411" s="12"/>
      <c r="Y2411" s="12"/>
      <c r="Z2411" s="12"/>
      <c r="AA2411" s="12"/>
    </row>
    <row r="2412" ht="26.25" customHeight="1">
      <c r="A2412" s="34" t="s">
        <v>4834</v>
      </c>
      <c r="B2412" s="35" t="s">
        <v>4835</v>
      </c>
      <c r="C2412" s="36">
        <v>3.0</v>
      </c>
      <c r="D2412" s="37">
        <v>138.0</v>
      </c>
      <c r="E2412" s="37">
        <v>11.0</v>
      </c>
      <c r="F2412" s="24" t="str">
        <f t="array" ref="F2412">"https://www.google.com/maps/search/?api=1&amp;query=" &amp; A2412 &amp; "," &amp; B2412</f>
        <v>https://www.google.com/maps/search/?api=1&amp;query=-0.30895764111486,-55.54431383629270</v>
      </c>
      <c r="G2412" s="25" t="str">
        <f t="array" ref="G2412">"https://earth.google.com/web/search/" &amp; A2412 &amp; "," &amp; B2412</f>
        <v>https://earth.google.com/web/search/-0.30895764111486,-55.54431383629270</v>
      </c>
      <c r="H2412" s="12"/>
      <c r="I2412" s="12"/>
      <c r="J2412" s="12"/>
      <c r="K2412" s="12"/>
      <c r="L2412" s="12"/>
      <c r="M2412" s="12"/>
      <c r="N2412" s="12"/>
      <c r="O2412" s="12"/>
      <c r="P2412" s="12"/>
      <c r="Q2412" s="12"/>
      <c r="R2412" s="12"/>
      <c r="S2412" s="12"/>
      <c r="T2412" s="12"/>
      <c r="U2412" s="12"/>
      <c r="V2412" s="12"/>
      <c r="W2412" s="12"/>
      <c r="X2412" s="12"/>
      <c r="Y2412" s="12"/>
      <c r="Z2412" s="12"/>
      <c r="AA2412" s="12"/>
    </row>
    <row r="2413" ht="26.25" customHeight="1">
      <c r="A2413" s="28" t="s">
        <v>4836</v>
      </c>
      <c r="B2413" s="29" t="s">
        <v>4837</v>
      </c>
      <c r="C2413" s="30">
        <v>3.0</v>
      </c>
      <c r="D2413" s="31">
        <v>138.0</v>
      </c>
      <c r="E2413" s="31">
        <v>12.0</v>
      </c>
      <c r="F2413" s="32" t="str">
        <f t="array" ref="F2413">"https://www.google.com/maps/search/?api=1&amp;query=" &amp; A2413 &amp; "," &amp; B2413</f>
        <v>https://www.google.com/maps/search/?api=1&amp;query=-30.89581736809010,-55.54437753170000</v>
      </c>
      <c r="G2413" s="33" t="str">
        <f t="array" ref="G2413">"https://earth.google.com/web/search/" &amp; A2413 &amp; "," &amp; B2413</f>
        <v>https://earth.google.com/web/search/-30.89581736809010,-55.54437753170000</v>
      </c>
      <c r="H2413" s="12"/>
      <c r="I2413" s="12"/>
      <c r="J2413" s="12"/>
      <c r="K2413" s="12"/>
      <c r="L2413" s="12"/>
      <c r="M2413" s="12"/>
      <c r="N2413" s="12"/>
      <c r="O2413" s="12"/>
      <c r="P2413" s="12"/>
      <c r="Q2413" s="12"/>
      <c r="R2413" s="12"/>
      <c r="S2413" s="12"/>
      <c r="T2413" s="12"/>
      <c r="U2413" s="12"/>
      <c r="V2413" s="12"/>
      <c r="W2413" s="12"/>
      <c r="X2413" s="12"/>
      <c r="Y2413" s="12"/>
      <c r="Z2413" s="12"/>
      <c r="AA2413" s="12"/>
    </row>
    <row r="2414" ht="26.25" customHeight="1">
      <c r="A2414" s="34" t="s">
        <v>4838</v>
      </c>
      <c r="B2414" s="35" t="s">
        <v>4839</v>
      </c>
      <c r="C2414" s="36">
        <v>3.0</v>
      </c>
      <c r="D2414" s="37">
        <v>138.0</v>
      </c>
      <c r="E2414" s="37">
        <v>13.0</v>
      </c>
      <c r="F2414" s="24" t="str">
        <f t="array" ref="F2414">"https://www.google.com/maps/search/?api=1&amp;query=" &amp; A2414 &amp; "," &amp; B2414</f>
        <v>https://www.google.com/maps/search/?api=1&amp;query=-30.89591898156430,-55.54448735428520</v>
      </c>
      <c r="G2414" s="25" t="str">
        <f t="array" ref="G2414">"https://earth.google.com/web/search/" &amp; A2414 &amp; "," &amp; B2414</f>
        <v>https://earth.google.com/web/search/-30.89591898156430,-55.54448735428520</v>
      </c>
      <c r="H2414" s="12"/>
      <c r="I2414" s="12"/>
      <c r="J2414" s="12"/>
      <c r="K2414" s="12"/>
      <c r="L2414" s="12"/>
      <c r="M2414" s="12"/>
      <c r="N2414" s="12"/>
      <c r="O2414" s="12"/>
      <c r="P2414" s="12"/>
      <c r="Q2414" s="12"/>
      <c r="R2414" s="12"/>
      <c r="S2414" s="12"/>
      <c r="T2414" s="12"/>
      <c r="U2414" s="12"/>
      <c r="V2414" s="12"/>
      <c r="W2414" s="12"/>
      <c r="X2414" s="12"/>
      <c r="Y2414" s="12"/>
      <c r="Z2414" s="12"/>
      <c r="AA2414" s="12"/>
    </row>
    <row r="2415" ht="26.25" customHeight="1">
      <c r="A2415" s="28" t="s">
        <v>4840</v>
      </c>
      <c r="B2415" s="29" t="s">
        <v>4841</v>
      </c>
      <c r="C2415" s="30">
        <v>3.0</v>
      </c>
      <c r="D2415" s="31">
        <v>138.0</v>
      </c>
      <c r="E2415" s="31">
        <v>14.0</v>
      </c>
      <c r="F2415" s="32" t="str">
        <f t="array" ref="F2415">"https://www.google.com/maps/search/?api=1&amp;query=" &amp; A2415 &amp; "," &amp; B2415</f>
        <v>https://www.google.com/maps/search/?api=1&amp;query=-30.89604634295180,-55.54458262622480</v>
      </c>
      <c r="G2415" s="33" t="str">
        <f t="array" ref="G2415">"https://earth.google.com/web/search/" &amp; A2415 &amp; "," &amp; B2415</f>
        <v>https://earth.google.com/web/search/-30.89604634295180,-55.54458262622480</v>
      </c>
      <c r="H2415" s="12"/>
      <c r="I2415" s="12"/>
      <c r="J2415" s="12"/>
      <c r="K2415" s="12"/>
      <c r="L2415" s="12"/>
      <c r="M2415" s="12"/>
      <c r="N2415" s="12"/>
      <c r="O2415" s="12"/>
      <c r="P2415" s="12"/>
      <c r="Q2415" s="12"/>
      <c r="R2415" s="12"/>
      <c r="S2415" s="12"/>
      <c r="T2415" s="12"/>
      <c r="U2415" s="12"/>
      <c r="V2415" s="12"/>
      <c r="W2415" s="12"/>
      <c r="X2415" s="12"/>
      <c r="Y2415" s="12"/>
      <c r="Z2415" s="12"/>
      <c r="AA2415" s="12"/>
    </row>
    <row r="2416" ht="26.25" customHeight="1">
      <c r="A2416" s="34" t="s">
        <v>4842</v>
      </c>
      <c r="B2416" s="35" t="s">
        <v>4843</v>
      </c>
      <c r="C2416" s="36">
        <v>3.0</v>
      </c>
      <c r="D2416" s="37">
        <v>139.0</v>
      </c>
      <c r="E2416" s="37">
        <v>1.0</v>
      </c>
      <c r="F2416" s="24" t="str">
        <f t="array" ref="F2416">"https://www.google.com/maps/search/?api=1&amp;query=" &amp; A2416 &amp; "," &amp; B2416</f>
        <v>https://www.google.com/maps/search/?api=1&amp;query=-30.89573964555640,-55.54560520930030</v>
      </c>
      <c r="G2416" s="25" t="str">
        <f t="array" ref="G2416">"https://earth.google.com/web/search/" &amp; A2416 &amp; "," &amp; B2416</f>
        <v>https://earth.google.com/web/search/-30.89573964555640,-55.54560520930030</v>
      </c>
      <c r="H2416" s="12"/>
      <c r="I2416" s="12"/>
      <c r="J2416" s="12"/>
      <c r="K2416" s="12"/>
      <c r="L2416" s="12"/>
      <c r="M2416" s="12"/>
      <c r="N2416" s="12"/>
      <c r="O2416" s="12"/>
      <c r="P2416" s="12"/>
      <c r="Q2416" s="12"/>
      <c r="R2416" s="12"/>
      <c r="S2416" s="12"/>
      <c r="T2416" s="12"/>
      <c r="U2416" s="12"/>
      <c r="V2416" s="12"/>
      <c r="W2416" s="12"/>
      <c r="X2416" s="12"/>
      <c r="Y2416" s="12"/>
      <c r="Z2416" s="12"/>
      <c r="AA2416" s="12"/>
    </row>
    <row r="2417" ht="26.25" customHeight="1">
      <c r="A2417" s="28" t="s">
        <v>4844</v>
      </c>
      <c r="B2417" s="29" t="s">
        <v>4845</v>
      </c>
      <c r="C2417" s="30">
        <v>3.0</v>
      </c>
      <c r="D2417" s="31">
        <v>139.0</v>
      </c>
      <c r="E2417" s="31">
        <v>2.0</v>
      </c>
      <c r="F2417" s="32" t="str">
        <f t="array" ref="F2417">"https://www.google.com/maps/search/?api=1&amp;query=" &amp; A2417 &amp; "," &amp; B2417</f>
        <v>https://www.google.com/maps/search/?api=1&amp;query=-30.89587939493500,-55.54538416521960</v>
      </c>
      <c r="G2417" s="33" t="str">
        <f t="array" ref="G2417">"https://earth.google.com/web/search/" &amp; A2417 &amp; "," &amp; B2417</f>
        <v>https://earth.google.com/web/search/-30.89587939493500,-55.54538416521960</v>
      </c>
      <c r="H2417" s="12"/>
      <c r="I2417" s="12"/>
      <c r="J2417" s="12"/>
      <c r="K2417" s="12"/>
      <c r="L2417" s="12"/>
      <c r="M2417" s="12"/>
      <c r="N2417" s="12"/>
      <c r="O2417" s="12"/>
      <c r="P2417" s="12"/>
      <c r="Q2417" s="12"/>
      <c r="R2417" s="12"/>
      <c r="S2417" s="12"/>
      <c r="T2417" s="12"/>
      <c r="U2417" s="12"/>
      <c r="V2417" s="12"/>
      <c r="W2417" s="12"/>
      <c r="X2417" s="12"/>
      <c r="Y2417" s="12"/>
      <c r="Z2417" s="12"/>
      <c r="AA2417" s="12"/>
    </row>
    <row r="2418" ht="26.25" customHeight="1">
      <c r="A2418" s="34" t="s">
        <v>4846</v>
      </c>
      <c r="B2418" s="35" t="s">
        <v>4847</v>
      </c>
      <c r="C2418" s="36">
        <v>3.0</v>
      </c>
      <c r="D2418" s="37">
        <v>139.0</v>
      </c>
      <c r="E2418" s="37">
        <v>3.0</v>
      </c>
      <c r="F2418" s="24" t="str">
        <f t="array" ref="F2418">"https://www.google.com/maps/search/?api=1&amp;query=" &amp; A2418 &amp; "," &amp; B2418</f>
        <v>https://www.google.com/maps/search/?api=1&amp;query=-30.89608025021410,-55.54505904662910</v>
      </c>
      <c r="G2418" s="25" t="str">
        <f t="array" ref="G2418">"https://earth.google.com/web/search/" &amp; A2418 &amp; "," &amp; B2418</f>
        <v>https://earth.google.com/web/search/-30.89608025021410,-55.54505904662910</v>
      </c>
      <c r="H2418" s="12"/>
      <c r="I2418" s="12"/>
      <c r="J2418" s="12"/>
      <c r="K2418" s="12"/>
      <c r="L2418" s="12"/>
      <c r="M2418" s="12"/>
      <c r="N2418" s="12"/>
      <c r="O2418" s="12"/>
      <c r="P2418" s="12"/>
      <c r="Q2418" s="12"/>
      <c r="R2418" s="12"/>
      <c r="S2418" s="12"/>
      <c r="T2418" s="12"/>
      <c r="U2418" s="12"/>
      <c r="V2418" s="12"/>
      <c r="W2418" s="12"/>
      <c r="X2418" s="12"/>
      <c r="Y2418" s="12"/>
      <c r="Z2418" s="12"/>
      <c r="AA2418" s="12"/>
    </row>
    <row r="2419" ht="26.25" customHeight="1">
      <c r="A2419" s="28" t="s">
        <v>4848</v>
      </c>
      <c r="B2419" s="29" t="s">
        <v>4849</v>
      </c>
      <c r="C2419" s="30">
        <v>3.0</v>
      </c>
      <c r="D2419" s="31">
        <v>139.0</v>
      </c>
      <c r="E2419" s="31">
        <v>4.0</v>
      </c>
      <c r="F2419" s="32" t="str">
        <f t="array" ref="F2419">"https://www.google.com/maps/search/?api=1&amp;query=" &amp; A2419 &amp; "," &amp; B2419</f>
        <v>https://www.google.com/maps/search/?api=1&amp;query=-30.89595576182310,-55.54468251854630</v>
      </c>
      <c r="G2419" s="33" t="str">
        <f t="array" ref="G2419">"https://earth.google.com/web/search/" &amp; A2419 &amp; "," &amp; B2419</f>
        <v>https://earth.google.com/web/search/-30.89595576182310,-55.54468251854630</v>
      </c>
      <c r="H2419" s="12"/>
      <c r="I2419" s="12"/>
      <c r="J2419" s="12"/>
      <c r="K2419" s="12"/>
      <c r="L2419" s="12"/>
      <c r="M2419" s="12"/>
      <c r="N2419" s="12"/>
      <c r="O2419" s="12"/>
      <c r="P2419" s="12"/>
      <c r="Q2419" s="12"/>
      <c r="R2419" s="12"/>
      <c r="S2419" s="12"/>
      <c r="T2419" s="12"/>
      <c r="U2419" s="12"/>
      <c r="V2419" s="12"/>
      <c r="W2419" s="12"/>
      <c r="X2419" s="12"/>
      <c r="Y2419" s="12"/>
      <c r="Z2419" s="12"/>
      <c r="AA2419" s="12"/>
    </row>
    <row r="2420" ht="26.25" customHeight="1">
      <c r="A2420" s="34" t="s">
        <v>4850</v>
      </c>
      <c r="B2420" s="35" t="s">
        <v>4851</v>
      </c>
      <c r="C2420" s="36">
        <v>3.0</v>
      </c>
      <c r="D2420" s="37">
        <v>139.0</v>
      </c>
      <c r="E2420" s="37">
        <v>5.0</v>
      </c>
      <c r="F2420" s="24" t="str">
        <f t="array" ref="F2420">"https://www.google.com/maps/search/?api=1&amp;query=" &amp; A2420 &amp; "," &amp; B2420</f>
        <v>https://www.google.com/maps/search/?api=1&amp;query=-30.89589021445630,-5.55446499860211</v>
      </c>
      <c r="G2420" s="25" t="str">
        <f t="array" ref="G2420">"https://earth.google.com/web/search/" &amp; A2420 &amp; "," &amp; B2420</f>
        <v>https://earth.google.com/web/search/-30.89589021445630,-5.55446499860211</v>
      </c>
      <c r="H2420" s="12"/>
      <c r="I2420" s="12"/>
      <c r="J2420" s="12"/>
      <c r="K2420" s="12"/>
      <c r="L2420" s="12"/>
      <c r="M2420" s="12"/>
      <c r="N2420" s="12"/>
      <c r="O2420" s="12"/>
      <c r="P2420" s="12"/>
      <c r="Q2420" s="12"/>
      <c r="R2420" s="12"/>
      <c r="S2420" s="12"/>
      <c r="T2420" s="12"/>
      <c r="U2420" s="12"/>
      <c r="V2420" s="12"/>
      <c r="W2420" s="12"/>
      <c r="X2420" s="12"/>
      <c r="Y2420" s="12"/>
      <c r="Z2420" s="12"/>
      <c r="AA2420" s="12"/>
    </row>
    <row r="2421" ht="26.25" customHeight="1">
      <c r="A2421" s="28" t="s">
        <v>4852</v>
      </c>
      <c r="B2421" s="29" t="s">
        <v>4853</v>
      </c>
      <c r="C2421" s="30">
        <v>3.0</v>
      </c>
      <c r="D2421" s="31">
        <v>139.0</v>
      </c>
      <c r="E2421" s="31">
        <v>6.0</v>
      </c>
      <c r="F2421" s="32" t="str">
        <f t="array" ref="F2421">"https://www.google.com/maps/search/?api=1&amp;query=" &amp; A2421 &amp; "," &amp; B2421</f>
        <v>https://www.google.com/maps/search/?api=1&amp;query=-30.89581658397790,-55.54459057927560</v>
      </c>
      <c r="G2421" s="33" t="str">
        <f t="array" ref="G2421">"https://earth.google.com/web/search/" &amp; A2421 &amp; "," &amp; B2421</f>
        <v>https://earth.google.com/web/search/-30.89581658397790,-55.54459057927560</v>
      </c>
      <c r="H2421" s="12"/>
      <c r="I2421" s="12"/>
      <c r="J2421" s="12"/>
      <c r="K2421" s="12"/>
      <c r="L2421" s="12"/>
      <c r="M2421" s="12"/>
      <c r="N2421" s="12"/>
      <c r="O2421" s="12"/>
      <c r="P2421" s="12"/>
      <c r="Q2421" s="12"/>
      <c r="R2421" s="12"/>
      <c r="S2421" s="12"/>
      <c r="T2421" s="12"/>
      <c r="U2421" s="12"/>
      <c r="V2421" s="12"/>
      <c r="W2421" s="12"/>
      <c r="X2421" s="12"/>
      <c r="Y2421" s="12"/>
      <c r="Z2421" s="12"/>
      <c r="AA2421" s="12"/>
    </row>
    <row r="2422" ht="26.25" customHeight="1">
      <c r="A2422" s="34" t="s">
        <v>4854</v>
      </c>
      <c r="B2422" s="35" t="s">
        <v>4855</v>
      </c>
      <c r="C2422" s="36">
        <v>3.0</v>
      </c>
      <c r="D2422" s="37">
        <v>139.0</v>
      </c>
      <c r="E2422" s="37">
        <v>7.0</v>
      </c>
      <c r="F2422" s="24" t="str">
        <f t="array" ref="F2422">"https://www.google.com/maps/search/?api=1&amp;query=" &amp; A2422 &amp; "," &amp; B2422</f>
        <v>https://www.google.com/maps/search/?api=1&amp;query=-30.89521154968470,-55.54524759663930</v>
      </c>
      <c r="G2422" s="25" t="str">
        <f t="array" ref="G2422">"https://earth.google.com/web/search/" &amp; A2422 &amp; "," &amp; B2422</f>
        <v>https://earth.google.com/web/search/-30.89521154968470,-55.54524759663930</v>
      </c>
      <c r="H2422" s="12"/>
      <c r="I2422" s="12"/>
      <c r="J2422" s="12"/>
      <c r="K2422" s="12"/>
      <c r="L2422" s="12"/>
      <c r="M2422" s="12"/>
      <c r="N2422" s="12"/>
      <c r="O2422" s="12"/>
      <c r="P2422" s="12"/>
      <c r="Q2422" s="12"/>
      <c r="R2422" s="12"/>
      <c r="S2422" s="12"/>
      <c r="T2422" s="12"/>
      <c r="U2422" s="12"/>
      <c r="V2422" s="12"/>
      <c r="W2422" s="12"/>
      <c r="X2422" s="12"/>
      <c r="Y2422" s="12"/>
      <c r="Z2422" s="12"/>
      <c r="AA2422" s="12"/>
    </row>
    <row r="2423" ht="26.25" customHeight="1">
      <c r="A2423" s="28" t="s">
        <v>4856</v>
      </c>
      <c r="B2423" s="29" t="s">
        <v>4857</v>
      </c>
      <c r="C2423" s="30">
        <v>3.0</v>
      </c>
      <c r="D2423" s="31">
        <v>139.0</v>
      </c>
      <c r="E2423" s="31">
        <v>8.0</v>
      </c>
      <c r="F2423" s="32" t="str">
        <f t="array" ref="F2423">"https://www.google.com/maps/search/?api=1&amp;query=" &amp; A2423 &amp; "," &amp; B2423</f>
        <v>https://www.google.com/maps/search/?api=1&amp;query=-3.08954802408838,-55.54540929046530</v>
      </c>
      <c r="G2423" s="33" t="str">
        <f t="array" ref="G2423">"https://earth.google.com/web/search/" &amp; A2423 &amp; "," &amp; B2423</f>
        <v>https://earth.google.com/web/search/-3.08954802408838,-55.54540929046530</v>
      </c>
      <c r="H2423" s="12"/>
      <c r="I2423" s="12"/>
      <c r="J2423" s="12"/>
      <c r="K2423" s="12"/>
      <c r="L2423" s="12"/>
      <c r="M2423" s="12"/>
      <c r="N2423" s="12"/>
      <c r="O2423" s="12"/>
      <c r="P2423" s="12"/>
      <c r="Q2423" s="12"/>
      <c r="R2423" s="12"/>
      <c r="S2423" s="12"/>
      <c r="T2423" s="12"/>
      <c r="U2423" s="12"/>
      <c r="V2423" s="12"/>
      <c r="W2423" s="12"/>
      <c r="X2423" s="12"/>
      <c r="Y2423" s="12"/>
      <c r="Z2423" s="12"/>
      <c r="AA2423" s="12"/>
    </row>
    <row r="2424" ht="26.25" customHeight="1">
      <c r="A2424" s="34" t="s">
        <v>4858</v>
      </c>
      <c r="B2424" s="35" t="s">
        <v>4859</v>
      </c>
      <c r="C2424" s="36">
        <v>3.0</v>
      </c>
      <c r="D2424" s="37">
        <v>139.0</v>
      </c>
      <c r="E2424" s="37">
        <v>9.0</v>
      </c>
      <c r="F2424" s="24" t="str">
        <f t="array" ref="F2424">"https://www.google.com/maps/search/?api=1&amp;query=" &amp; A2424 &amp; "," &amp; B2424</f>
        <v>https://www.google.com/maps/search/?api=1&amp;query=-30.89554368764020,-55.54546784730950</v>
      </c>
      <c r="G2424" s="25" t="str">
        <f t="array" ref="G2424">"https://earth.google.com/web/search/" &amp; A2424 &amp; "," &amp; B2424</f>
        <v>https://earth.google.com/web/search/-30.89554368764020,-55.54546784730950</v>
      </c>
      <c r="H2424" s="12"/>
      <c r="I2424" s="12"/>
      <c r="J2424" s="12"/>
      <c r="K2424" s="12"/>
      <c r="L2424" s="12"/>
      <c r="M2424" s="12"/>
      <c r="N2424" s="12"/>
      <c r="O2424" s="12"/>
      <c r="P2424" s="12"/>
      <c r="Q2424" s="12"/>
      <c r="R2424" s="12"/>
      <c r="S2424" s="12"/>
      <c r="T2424" s="12"/>
      <c r="U2424" s="12"/>
      <c r="V2424" s="12"/>
      <c r="W2424" s="12"/>
      <c r="X2424" s="12"/>
      <c r="Y2424" s="12"/>
      <c r="Z2424" s="12"/>
      <c r="AA2424" s="12"/>
    </row>
    <row r="2425" ht="26.25" customHeight="1">
      <c r="A2425" s="28" t="s">
        <v>4860</v>
      </c>
      <c r="B2425" s="29" t="s">
        <v>4861</v>
      </c>
      <c r="C2425" s="30">
        <v>3.0</v>
      </c>
      <c r="D2425" s="31">
        <v>139.0</v>
      </c>
      <c r="E2425" s="31">
        <v>10.0</v>
      </c>
      <c r="F2425" s="32" t="str">
        <f t="array" ref="F2425">"https://www.google.com/maps/search/?api=1&amp;query=" &amp; A2425 &amp; "," &amp; B2425</f>
        <v>https://www.google.com/maps/search/?api=1&amp;query=-30.89561124805680,-55.54553895244640</v>
      </c>
      <c r="G2425" s="33" t="str">
        <f t="array" ref="G2425">"https://earth.google.com/web/search/" &amp; A2425 &amp; "," &amp; B2425</f>
        <v>https://earth.google.com/web/search/-30.89561124805680,-55.54553895244640</v>
      </c>
      <c r="H2425" s="12"/>
      <c r="I2425" s="12"/>
      <c r="J2425" s="12"/>
      <c r="K2425" s="12"/>
      <c r="L2425" s="12"/>
      <c r="M2425" s="12"/>
      <c r="N2425" s="12"/>
      <c r="O2425" s="12"/>
      <c r="P2425" s="12"/>
      <c r="Q2425" s="12"/>
      <c r="R2425" s="12"/>
      <c r="S2425" s="12"/>
      <c r="T2425" s="12"/>
      <c r="U2425" s="12"/>
      <c r="V2425" s="12"/>
      <c r="W2425" s="12"/>
      <c r="X2425" s="12"/>
      <c r="Y2425" s="12"/>
      <c r="Z2425" s="12"/>
      <c r="AA2425" s="12"/>
    </row>
    <row r="2426" ht="26.25" customHeight="1">
      <c r="A2426" s="34" t="s">
        <v>4862</v>
      </c>
      <c r="B2426" s="35" t="s">
        <v>4863</v>
      </c>
      <c r="C2426" s="36">
        <v>3.0</v>
      </c>
      <c r="D2426" s="37">
        <v>140.0</v>
      </c>
      <c r="E2426" s="37">
        <v>1.0</v>
      </c>
      <c r="F2426" s="24" t="str">
        <f t="array" ref="F2426">"https://www.google.com/maps/search/?api=1&amp;query=" &amp; A2426 &amp; "," &amp; B2426</f>
        <v>https://www.google.com/maps/search/?api=1&amp;query=-30.89521560340640,-55.54654447447310</v>
      </c>
      <c r="G2426" s="25" t="str">
        <f t="array" ref="G2426">"https://earth.google.com/web/search/" &amp; A2426 &amp; "," &amp; B2426</f>
        <v>https://earth.google.com/web/search/-30.89521560340640,-55.54654447447310</v>
      </c>
      <c r="H2426" s="12"/>
      <c r="I2426" s="12"/>
      <c r="J2426" s="12"/>
      <c r="K2426" s="12"/>
      <c r="L2426" s="12"/>
      <c r="M2426" s="12"/>
      <c r="N2426" s="12"/>
      <c r="O2426" s="12"/>
      <c r="P2426" s="12"/>
      <c r="Q2426" s="12"/>
      <c r="R2426" s="12"/>
      <c r="S2426" s="12"/>
      <c r="T2426" s="12"/>
      <c r="U2426" s="12"/>
      <c r="V2426" s="12"/>
      <c r="W2426" s="12"/>
      <c r="X2426" s="12"/>
      <c r="Y2426" s="12"/>
      <c r="Z2426" s="12"/>
      <c r="AA2426" s="12"/>
    </row>
    <row r="2427" ht="26.25" customHeight="1">
      <c r="A2427" s="28" t="s">
        <v>4864</v>
      </c>
      <c r="B2427" s="29" t="s">
        <v>4865</v>
      </c>
      <c r="C2427" s="30">
        <v>3.0</v>
      </c>
      <c r="D2427" s="31">
        <v>140.0</v>
      </c>
      <c r="E2427" s="31">
        <v>2.0</v>
      </c>
      <c r="F2427" s="32" t="str">
        <f t="array" ref="F2427">"https://www.google.com/maps/search/?api=1&amp;query=" &amp; A2427 &amp; "," &amp; B2427</f>
        <v>https://www.google.com/maps/search/?api=1&amp;query=-30.89529425104490,-5.55465096515038</v>
      </c>
      <c r="G2427" s="33" t="str">
        <f t="array" ref="G2427">"https://earth.google.com/web/search/" &amp; A2427 &amp; "," &amp; B2427</f>
        <v>https://earth.google.com/web/search/-30.89529425104490,-5.55465096515038</v>
      </c>
      <c r="H2427" s="12"/>
      <c r="I2427" s="12"/>
      <c r="J2427" s="12"/>
      <c r="K2427" s="12"/>
      <c r="L2427" s="12"/>
      <c r="M2427" s="12"/>
      <c r="N2427" s="12"/>
      <c r="O2427" s="12"/>
      <c r="P2427" s="12"/>
      <c r="Q2427" s="12"/>
      <c r="R2427" s="12"/>
      <c r="S2427" s="12"/>
      <c r="T2427" s="12"/>
      <c r="U2427" s="12"/>
      <c r="V2427" s="12"/>
      <c r="W2427" s="12"/>
      <c r="X2427" s="12"/>
      <c r="Y2427" s="12"/>
      <c r="Z2427" s="12"/>
      <c r="AA2427" s="12"/>
    </row>
    <row r="2428" ht="26.25" customHeight="1">
      <c r="A2428" s="34" t="s">
        <v>4866</v>
      </c>
      <c r="B2428" s="35" t="s">
        <v>4867</v>
      </c>
      <c r="C2428" s="36">
        <v>3.0</v>
      </c>
      <c r="D2428" s="37">
        <v>140.0</v>
      </c>
      <c r="E2428" s="37">
        <v>3.0</v>
      </c>
      <c r="F2428" s="24" t="str">
        <f t="array" ref="F2428">"https://www.google.com/maps/search/?api=1&amp;query=" &amp; A2428 &amp; "," &amp; B2428</f>
        <v>https://www.google.com/maps/search/?api=1&amp;query=-30.89535548134660,-5.55464235699462</v>
      </c>
      <c r="G2428" s="25" t="str">
        <f t="array" ref="G2428">"https://earth.google.com/web/search/" &amp; A2428 &amp; "," &amp; B2428</f>
        <v>https://earth.google.com/web/search/-30.89535548134660,-5.55464235699462</v>
      </c>
      <c r="H2428" s="12"/>
      <c r="I2428" s="12"/>
      <c r="J2428" s="12"/>
      <c r="K2428" s="12"/>
      <c r="L2428" s="12"/>
      <c r="M2428" s="12"/>
      <c r="N2428" s="12"/>
      <c r="O2428" s="12"/>
      <c r="P2428" s="12"/>
      <c r="Q2428" s="12"/>
      <c r="R2428" s="12"/>
      <c r="S2428" s="12"/>
      <c r="T2428" s="12"/>
      <c r="U2428" s="12"/>
      <c r="V2428" s="12"/>
      <c r="W2428" s="12"/>
      <c r="X2428" s="12"/>
      <c r="Y2428" s="12"/>
      <c r="Z2428" s="12"/>
      <c r="AA2428" s="12"/>
    </row>
    <row r="2429" ht="26.25" customHeight="1">
      <c r="A2429" s="28" t="s">
        <v>4868</v>
      </c>
      <c r="B2429" s="29" t="s">
        <v>4869</v>
      </c>
      <c r="C2429" s="30">
        <v>3.0</v>
      </c>
      <c r="D2429" s="31">
        <v>140.0</v>
      </c>
      <c r="E2429" s="31">
        <v>4.0</v>
      </c>
      <c r="F2429" s="32" t="str">
        <f t="array" ref="F2429">"https://www.google.com/maps/search/?api=1&amp;query=" &amp; A2429 &amp; "," &amp; B2429</f>
        <v>https://www.google.com/maps/search/?api=1&amp;query=-30.89539795682580,-5.55463385861229</v>
      </c>
      <c r="G2429" s="33" t="str">
        <f t="array" ref="G2429">"https://earth.google.com/web/search/" &amp; A2429 &amp; "," &amp; B2429</f>
        <v>https://earth.google.com/web/search/-30.89539795682580,-5.55463385861229</v>
      </c>
      <c r="H2429" s="12"/>
      <c r="I2429" s="12"/>
      <c r="J2429" s="12"/>
      <c r="K2429" s="12"/>
      <c r="L2429" s="12"/>
      <c r="M2429" s="12"/>
      <c r="N2429" s="12"/>
      <c r="O2429" s="12"/>
      <c r="P2429" s="12"/>
      <c r="Q2429" s="12"/>
      <c r="R2429" s="12"/>
      <c r="S2429" s="12"/>
      <c r="T2429" s="12"/>
      <c r="U2429" s="12"/>
      <c r="V2429" s="12"/>
      <c r="W2429" s="12"/>
      <c r="X2429" s="12"/>
      <c r="Y2429" s="12"/>
      <c r="Z2429" s="12"/>
      <c r="AA2429" s="12"/>
    </row>
    <row r="2430" ht="26.25" customHeight="1">
      <c r="A2430" s="34" t="s">
        <v>4870</v>
      </c>
      <c r="B2430" s="35" t="s">
        <v>4871</v>
      </c>
      <c r="C2430" s="36">
        <v>3.0</v>
      </c>
      <c r="D2430" s="37">
        <v>140.0</v>
      </c>
      <c r="E2430" s="37">
        <v>5.0</v>
      </c>
      <c r="F2430" s="24" t="str">
        <f t="array" ref="F2430">"https://www.google.com/maps/search/?api=1&amp;query=" &amp; A2430 &amp; "," &amp; B2430</f>
        <v>https://www.google.com/maps/search/?api=1&amp;query=-30.89543253857610,-55.54627223215960</v>
      </c>
      <c r="G2430" s="25" t="str">
        <f t="array" ref="G2430">"https://earth.google.com/web/search/" &amp; A2430 &amp; "," &amp; B2430</f>
        <v>https://earth.google.com/web/search/-30.89543253857610,-55.54627223215960</v>
      </c>
      <c r="H2430" s="12"/>
      <c r="I2430" s="12"/>
      <c r="J2430" s="12"/>
      <c r="K2430" s="12"/>
      <c r="L2430" s="12"/>
      <c r="M2430" s="12"/>
      <c r="N2430" s="12"/>
      <c r="O2430" s="12"/>
      <c r="P2430" s="12"/>
      <c r="Q2430" s="12"/>
      <c r="R2430" s="12"/>
      <c r="S2430" s="12"/>
      <c r="T2430" s="12"/>
      <c r="U2430" s="12"/>
      <c r="V2430" s="12"/>
      <c r="W2430" s="12"/>
      <c r="X2430" s="12"/>
      <c r="Y2430" s="12"/>
      <c r="Z2430" s="12"/>
      <c r="AA2430" s="12"/>
    </row>
    <row r="2431" ht="26.25" customHeight="1">
      <c r="A2431" s="28" t="s">
        <v>4872</v>
      </c>
      <c r="B2431" s="29" t="s">
        <v>4873</v>
      </c>
      <c r="C2431" s="30">
        <v>3.0</v>
      </c>
      <c r="D2431" s="31">
        <v>140.0</v>
      </c>
      <c r="E2431" s="31">
        <v>6.0</v>
      </c>
      <c r="F2431" s="32" t="str">
        <f t="array" ref="F2431">"https://www.google.com/maps/search/?api=1&amp;query=" &amp; A2431 &amp; "," &amp; B2431</f>
        <v>https://www.google.com/maps/search/?api=1&amp;query=-30.89551309291920,-5.55461420272436</v>
      </c>
      <c r="G2431" s="33" t="str">
        <f t="array" ref="G2431">"https://earth.google.com/web/search/" &amp; A2431 &amp; "," &amp; B2431</f>
        <v>https://earth.google.com/web/search/-30.89551309291920,-5.55461420272436</v>
      </c>
      <c r="H2431" s="12"/>
      <c r="I2431" s="12"/>
      <c r="J2431" s="12"/>
      <c r="K2431" s="12"/>
      <c r="L2431" s="12"/>
      <c r="M2431" s="12"/>
      <c r="N2431" s="12"/>
      <c r="O2431" s="12"/>
      <c r="P2431" s="12"/>
      <c r="Q2431" s="12"/>
      <c r="R2431" s="12"/>
      <c r="S2431" s="12"/>
      <c r="T2431" s="12"/>
      <c r="U2431" s="12"/>
      <c r="V2431" s="12"/>
      <c r="W2431" s="12"/>
      <c r="X2431" s="12"/>
      <c r="Y2431" s="12"/>
      <c r="Z2431" s="12"/>
      <c r="AA2431" s="12"/>
    </row>
    <row r="2432" ht="26.25" customHeight="1">
      <c r="A2432" s="34" t="s">
        <v>4874</v>
      </c>
      <c r="B2432" s="35" t="s">
        <v>4875</v>
      </c>
      <c r="C2432" s="36">
        <v>3.0</v>
      </c>
      <c r="D2432" s="37">
        <v>140.0</v>
      </c>
      <c r="E2432" s="37">
        <v>7.0</v>
      </c>
      <c r="F2432" s="24" t="str">
        <f t="array" ref="F2432">"https://www.google.com/maps/search/?api=1&amp;query=" &amp; A2432 &amp; "," &amp; B2432</f>
        <v>https://www.google.com/maps/search/?api=1&amp;query=-30.89557748698880,-55.54596618929900</v>
      </c>
      <c r="G2432" s="25" t="str">
        <f t="array" ref="G2432">"https://earth.google.com/web/search/" &amp; A2432 &amp; "," &amp; B2432</f>
        <v>https://earth.google.com/web/search/-30.89557748698880,-55.54596618929900</v>
      </c>
      <c r="H2432" s="12"/>
      <c r="I2432" s="12"/>
      <c r="J2432" s="12"/>
      <c r="K2432" s="12"/>
      <c r="L2432" s="12"/>
      <c r="M2432" s="12"/>
      <c r="N2432" s="12"/>
      <c r="O2432" s="12"/>
      <c r="P2432" s="12"/>
      <c r="Q2432" s="12"/>
      <c r="R2432" s="12"/>
      <c r="S2432" s="12"/>
      <c r="T2432" s="12"/>
      <c r="U2432" s="12"/>
      <c r="V2432" s="12"/>
      <c r="W2432" s="12"/>
      <c r="X2432" s="12"/>
      <c r="Y2432" s="12"/>
      <c r="Z2432" s="12"/>
      <c r="AA2432" s="12"/>
    </row>
    <row r="2433" ht="26.25" customHeight="1">
      <c r="A2433" s="28" t="s">
        <v>4876</v>
      </c>
      <c r="B2433" s="29" t="s">
        <v>4877</v>
      </c>
      <c r="C2433" s="30">
        <v>3.0</v>
      </c>
      <c r="D2433" s="31">
        <v>140.0</v>
      </c>
      <c r="E2433" s="31">
        <v>8.0</v>
      </c>
      <c r="F2433" s="32" t="str">
        <f t="array" ref="F2433">"https://www.google.com/maps/search/?api=1&amp;query=" &amp; A2433 &amp; "," &amp; B2433</f>
        <v>https://www.google.com/maps/search/?api=1&amp;query=-30.89566950618160,-55.54571614957500</v>
      </c>
      <c r="G2433" s="33" t="str">
        <f t="array" ref="G2433">"https://earth.google.com/web/search/" &amp; A2433 &amp; "," &amp; B2433</f>
        <v>https://earth.google.com/web/search/-30.89566950618160,-55.54571614957500</v>
      </c>
      <c r="H2433" s="12"/>
      <c r="I2433" s="12"/>
      <c r="J2433" s="12"/>
      <c r="K2433" s="12"/>
      <c r="L2433" s="12"/>
      <c r="M2433" s="12"/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/>
    </row>
    <row r="2434" ht="26.25" customHeight="1">
      <c r="A2434" s="34" t="s">
        <v>4878</v>
      </c>
      <c r="B2434" s="35" t="s">
        <v>4879</v>
      </c>
      <c r="C2434" s="36">
        <v>3.0</v>
      </c>
      <c r="D2434" s="37">
        <v>140.0</v>
      </c>
      <c r="E2434" s="37">
        <v>9.0</v>
      </c>
      <c r="F2434" s="24" t="str">
        <f t="array" ref="F2434">"https://www.google.com/maps/search/?api=1&amp;query=" &amp; A2434 &amp; "," &amp; B2434</f>
        <v>https://www.google.com/maps/search/?api=1&amp;query=-30.89557062630560,-55.54564419696090</v>
      </c>
      <c r="G2434" s="25" t="str">
        <f t="array" ref="G2434">"https://earth.google.com/web/search/" &amp; A2434 &amp; "," &amp; B2434</f>
        <v>https://earth.google.com/web/search/-30.89557062630560,-55.54564419696090</v>
      </c>
      <c r="H2434" s="12"/>
      <c r="I2434" s="12"/>
      <c r="J2434" s="12"/>
      <c r="K2434" s="12"/>
      <c r="L2434" s="12"/>
      <c r="M2434" s="12"/>
      <c r="N2434" s="12"/>
      <c r="O2434" s="12"/>
      <c r="P2434" s="12"/>
      <c r="Q2434" s="12"/>
      <c r="R2434" s="12"/>
      <c r="S2434" s="12"/>
      <c r="T2434" s="12"/>
      <c r="U2434" s="12"/>
      <c r="V2434" s="12"/>
      <c r="W2434" s="12"/>
      <c r="X2434" s="12"/>
      <c r="Y2434" s="12"/>
      <c r="Z2434" s="12"/>
      <c r="AA2434" s="12"/>
    </row>
    <row r="2435" ht="26.25" customHeight="1">
      <c r="A2435" s="28" t="s">
        <v>4880</v>
      </c>
      <c r="B2435" s="29" t="s">
        <v>4881</v>
      </c>
      <c r="C2435" s="30">
        <v>3.0</v>
      </c>
      <c r="D2435" s="31">
        <v>140.0</v>
      </c>
      <c r="E2435" s="31">
        <v>10.0</v>
      </c>
      <c r="F2435" s="32" t="str">
        <f t="array" ref="F2435">"https://www.google.com/maps/search/?api=1&amp;query=" &amp; A2435 &amp; "," &amp; B2435</f>
        <v>https://www.google.com/maps/search/?api=1&amp;query=-30.89548748646210,-0.05554558325377</v>
      </c>
      <c r="G2435" s="33" t="str">
        <f t="array" ref="G2435">"https://earth.google.com/web/search/" &amp; A2435 &amp; "," &amp; B2435</f>
        <v>https://earth.google.com/web/search/-30.89548748646210,-0.05554558325377</v>
      </c>
      <c r="H2435" s="12"/>
      <c r="I2435" s="12"/>
      <c r="J2435" s="12"/>
      <c r="K2435" s="12"/>
      <c r="L2435" s="12"/>
      <c r="M2435" s="12"/>
      <c r="N2435" s="12"/>
      <c r="O2435" s="12"/>
      <c r="P2435" s="12"/>
      <c r="Q2435" s="12"/>
      <c r="R2435" s="12"/>
      <c r="S2435" s="12"/>
      <c r="T2435" s="12"/>
      <c r="U2435" s="12"/>
      <c r="V2435" s="12"/>
      <c r="W2435" s="12"/>
      <c r="X2435" s="12"/>
      <c r="Y2435" s="12"/>
      <c r="Z2435" s="12"/>
      <c r="AA2435" s="12"/>
    </row>
    <row r="2436" ht="26.25" customHeight="1">
      <c r="A2436" s="34" t="s">
        <v>4882</v>
      </c>
      <c r="B2436" s="35" t="s">
        <v>4883</v>
      </c>
      <c r="C2436" s="36">
        <v>3.0</v>
      </c>
      <c r="D2436" s="37">
        <v>140.0</v>
      </c>
      <c r="E2436" s="37">
        <v>11.0</v>
      </c>
      <c r="F2436" s="24" t="str">
        <f t="array" ref="F2436">"https://www.google.com/maps/search/?api=1&amp;query=" &amp; A2436 &amp; "," &amp; B2436</f>
        <v>https://www.google.com/maps/search/?api=1&amp;query=-30.89530327163570,-55.54548381933460</v>
      </c>
      <c r="G2436" s="25" t="str">
        <f t="array" ref="G2436">"https://earth.google.com/web/search/" &amp; A2436 &amp; "," &amp; B2436</f>
        <v>https://earth.google.com/web/search/-30.89530327163570,-55.54548381933460</v>
      </c>
      <c r="H2436" s="12"/>
      <c r="I2436" s="12"/>
      <c r="J2436" s="12"/>
      <c r="K2436" s="12"/>
      <c r="L2436" s="12"/>
      <c r="M2436" s="12"/>
      <c r="N2436" s="12"/>
      <c r="O2436" s="12"/>
      <c r="P2436" s="12"/>
      <c r="Q2436" s="12"/>
      <c r="R2436" s="12"/>
      <c r="S2436" s="12"/>
      <c r="T2436" s="12"/>
      <c r="U2436" s="12"/>
      <c r="V2436" s="12"/>
      <c r="W2436" s="12"/>
      <c r="X2436" s="12"/>
      <c r="Y2436" s="12"/>
      <c r="Z2436" s="12"/>
      <c r="AA2436" s="12"/>
    </row>
    <row r="2437" ht="26.25" customHeight="1">
      <c r="A2437" s="28" t="s">
        <v>4884</v>
      </c>
      <c r="B2437" s="29" t="s">
        <v>4885</v>
      </c>
      <c r="C2437" s="30">
        <v>3.0</v>
      </c>
      <c r="D2437" s="31">
        <v>140.0</v>
      </c>
      <c r="E2437" s="31">
        <v>12.0</v>
      </c>
      <c r="F2437" s="32" t="str">
        <f t="array" ref="F2437">"https://www.google.com/maps/search/?api=1&amp;query=" &amp; A2437 &amp; "," &amp; B2437</f>
        <v>https://www.google.com/maps/search/?api=1&amp;query=-30.89458204562910,-55.54598648914450</v>
      </c>
      <c r="G2437" s="33" t="str">
        <f t="array" ref="G2437">"https://earth.google.com/web/search/" &amp; A2437 &amp; "," &amp; B2437</f>
        <v>https://earth.google.com/web/search/-30.89458204562910,-55.54598648914450</v>
      </c>
      <c r="H2437" s="12"/>
      <c r="I2437" s="12"/>
      <c r="J2437" s="12"/>
      <c r="K2437" s="12"/>
      <c r="L2437" s="12"/>
      <c r="M2437" s="12"/>
      <c r="N2437" s="12"/>
      <c r="O2437" s="12"/>
      <c r="P2437" s="12"/>
      <c r="Q2437" s="12"/>
      <c r="R2437" s="12"/>
      <c r="S2437" s="12"/>
      <c r="T2437" s="12"/>
      <c r="U2437" s="12"/>
      <c r="V2437" s="12"/>
      <c r="W2437" s="12"/>
      <c r="X2437" s="12"/>
      <c r="Y2437" s="12"/>
      <c r="Z2437" s="12"/>
      <c r="AA2437" s="12"/>
    </row>
    <row r="2438" ht="26.25" customHeight="1">
      <c r="A2438" s="34" t="s">
        <v>4886</v>
      </c>
      <c r="B2438" s="35" t="s">
        <v>4887</v>
      </c>
      <c r="C2438" s="36">
        <v>3.0</v>
      </c>
      <c r="D2438" s="37">
        <v>140.0</v>
      </c>
      <c r="E2438" s="37">
        <v>13.0</v>
      </c>
      <c r="F2438" s="24" t="str">
        <f t="array" ref="F2438">"https://www.google.com/maps/search/?api=1&amp;query=" &amp; A2438 &amp; "," &amp; B2438</f>
        <v>https://www.google.com/maps/search/?api=1&amp;query=-30.89474000813100,-55.54615128507530</v>
      </c>
      <c r="G2438" s="25" t="str">
        <f t="array" ref="G2438">"https://earth.google.com/web/search/" &amp; A2438 &amp; "," &amp; B2438</f>
        <v>https://earth.google.com/web/search/-30.89474000813100,-55.54615128507530</v>
      </c>
      <c r="H2438" s="12"/>
      <c r="I2438" s="12"/>
      <c r="J2438" s="12"/>
      <c r="K2438" s="12"/>
      <c r="L2438" s="12"/>
      <c r="M2438" s="12"/>
      <c r="N2438" s="12"/>
      <c r="O2438" s="12"/>
      <c r="P2438" s="12"/>
      <c r="Q2438" s="12"/>
      <c r="R2438" s="12"/>
      <c r="S2438" s="12"/>
      <c r="T2438" s="12"/>
      <c r="U2438" s="12"/>
      <c r="V2438" s="12"/>
      <c r="W2438" s="12"/>
      <c r="X2438" s="12"/>
      <c r="Y2438" s="12"/>
      <c r="Z2438" s="12"/>
      <c r="AA2438" s="12"/>
    </row>
    <row r="2439" ht="26.25" customHeight="1">
      <c r="A2439" s="28" t="s">
        <v>4888</v>
      </c>
      <c r="B2439" s="29" t="s">
        <v>4889</v>
      </c>
      <c r="C2439" s="30">
        <v>3.0</v>
      </c>
      <c r="D2439" s="31">
        <v>140.0</v>
      </c>
      <c r="E2439" s="31">
        <v>14.0</v>
      </c>
      <c r="F2439" s="32" t="str">
        <f t="array" ref="F2439">"https://www.google.com/maps/search/?api=1&amp;query=" &amp; A2439 &amp; "," &amp; B2439</f>
        <v>https://www.google.com/maps/search/?api=1&amp;query=-30.89478704268900,-55.54622959798370</v>
      </c>
      <c r="G2439" s="33" t="str">
        <f t="array" ref="G2439">"https://earth.google.com/web/search/" &amp; A2439 &amp; "," &amp; B2439</f>
        <v>https://earth.google.com/web/search/-30.89478704268900,-55.54622959798370</v>
      </c>
      <c r="H2439" s="12"/>
      <c r="I2439" s="12"/>
      <c r="J2439" s="12"/>
      <c r="K2439" s="12"/>
      <c r="L2439" s="12"/>
      <c r="M2439" s="12"/>
      <c r="N2439" s="12"/>
      <c r="O2439" s="12"/>
      <c r="P2439" s="12"/>
      <c r="Q2439" s="12"/>
      <c r="R2439" s="12"/>
      <c r="S2439" s="12"/>
      <c r="T2439" s="12"/>
      <c r="U2439" s="12"/>
      <c r="V2439" s="12"/>
      <c r="W2439" s="12"/>
      <c r="X2439" s="12"/>
      <c r="Y2439" s="12"/>
      <c r="Z2439" s="12"/>
      <c r="AA2439" s="12"/>
    </row>
    <row r="2440" ht="26.25" customHeight="1">
      <c r="A2440" s="34" t="s">
        <v>4890</v>
      </c>
      <c r="B2440" s="35" t="s">
        <v>4891</v>
      </c>
      <c r="C2440" s="36">
        <v>3.0</v>
      </c>
      <c r="D2440" s="37">
        <v>140.0</v>
      </c>
      <c r="E2440" s="37">
        <v>15.0</v>
      </c>
      <c r="F2440" s="24" t="str">
        <f t="array" ref="F2440">"https://www.google.com/maps/search/?api=1&amp;query=" &amp; A2440 &amp; "," &amp; B2440</f>
        <v>https://www.google.com/maps/search/?api=1&amp;query=-3.08949004916734,-55.54628284614550</v>
      </c>
      <c r="G2440" s="25" t="str">
        <f t="array" ref="G2440">"https://earth.google.com/web/search/" &amp; A2440 &amp; "," &amp; B2440</f>
        <v>https://earth.google.com/web/search/-3.08949004916734,-55.54628284614550</v>
      </c>
      <c r="H2440" s="12"/>
      <c r="I2440" s="12"/>
      <c r="J2440" s="12"/>
      <c r="K2440" s="12"/>
      <c r="L2440" s="12"/>
      <c r="M2440" s="12"/>
      <c r="N2440" s="12"/>
      <c r="O2440" s="12"/>
      <c r="P2440" s="12"/>
      <c r="Q2440" s="12"/>
      <c r="R2440" s="12"/>
      <c r="S2440" s="12"/>
      <c r="T2440" s="12"/>
      <c r="U2440" s="12"/>
      <c r="V2440" s="12"/>
      <c r="W2440" s="12"/>
      <c r="X2440" s="12"/>
      <c r="Y2440" s="12"/>
      <c r="Z2440" s="12"/>
      <c r="AA2440" s="12"/>
    </row>
    <row r="2441" ht="26.25" customHeight="1">
      <c r="A2441" s="28" t="s">
        <v>4892</v>
      </c>
      <c r="B2441" s="29" t="s">
        <v>4893</v>
      </c>
      <c r="C2441" s="30">
        <v>3.0</v>
      </c>
      <c r="D2441" s="31">
        <v>140.0</v>
      </c>
      <c r="E2441" s="31">
        <v>16.0</v>
      </c>
      <c r="F2441" s="32" t="str">
        <f t="array" ref="F2441">"https://www.google.com/maps/search/?api=1&amp;query=" &amp; A2441 &amp; "," &amp; B2441</f>
        <v>https://www.google.com/maps/search/?api=1&amp;query=-30.89495493170410,-5.55463382071024</v>
      </c>
      <c r="G2441" s="33" t="str">
        <f t="array" ref="G2441">"https://earth.google.com/web/search/" &amp; A2441 &amp; "," &amp; B2441</f>
        <v>https://earth.google.com/web/search/-30.89495493170410,-5.55463382071024</v>
      </c>
      <c r="H2441" s="12"/>
      <c r="I2441" s="12"/>
      <c r="J2441" s="12"/>
      <c r="K2441" s="12"/>
      <c r="L2441" s="12"/>
      <c r="M2441" s="12"/>
      <c r="N2441" s="12"/>
      <c r="O2441" s="12"/>
      <c r="P2441" s="12"/>
      <c r="Q2441" s="12"/>
      <c r="R2441" s="12"/>
      <c r="S2441" s="12"/>
      <c r="T2441" s="12"/>
      <c r="U2441" s="12"/>
      <c r="V2441" s="12"/>
      <c r="W2441" s="12"/>
      <c r="X2441" s="12"/>
      <c r="Y2441" s="12"/>
      <c r="Z2441" s="12"/>
      <c r="AA2441" s="12"/>
    </row>
    <row r="2442" ht="26.25" customHeight="1">
      <c r="A2442" s="34" t="s">
        <v>4894</v>
      </c>
      <c r="B2442" s="35" t="s">
        <v>4895</v>
      </c>
      <c r="C2442" s="36">
        <v>3.0</v>
      </c>
      <c r="D2442" s="37">
        <v>141.0</v>
      </c>
      <c r="E2442" s="37">
        <v>1.0</v>
      </c>
      <c r="F2442" s="24" t="str">
        <f t="array" ref="F2442">"https://www.google.com/maps/search/?api=1&amp;query=" &amp; A2442 &amp; "," &amp; B2442</f>
        <v>https://www.google.com/maps/search/?api=1&amp;query=-30.89477666870140,-55.54741580554670</v>
      </c>
      <c r="G2442" s="25" t="str">
        <f t="array" ref="G2442">"https://earth.google.com/web/search/" &amp; A2442 &amp; "," &amp; B2442</f>
        <v>https://earth.google.com/web/search/-30.89477666870140,-55.54741580554670</v>
      </c>
      <c r="H2442" s="12"/>
      <c r="I2442" s="12"/>
      <c r="J2442" s="12"/>
      <c r="K2442" s="12"/>
      <c r="L2442" s="12"/>
      <c r="M2442" s="12"/>
      <c r="N2442" s="12"/>
      <c r="O2442" s="12"/>
      <c r="P2442" s="12"/>
      <c r="Q2442" s="12"/>
      <c r="R2442" s="12"/>
      <c r="S2442" s="12"/>
      <c r="T2442" s="12"/>
      <c r="U2442" s="12"/>
      <c r="V2442" s="12"/>
      <c r="W2442" s="12"/>
      <c r="X2442" s="12"/>
      <c r="Y2442" s="12"/>
      <c r="Z2442" s="12"/>
      <c r="AA2442" s="12"/>
    </row>
    <row r="2443" ht="26.25" customHeight="1">
      <c r="A2443" s="28" t="s">
        <v>4896</v>
      </c>
      <c r="B2443" s="29" t="s">
        <v>4897</v>
      </c>
      <c r="C2443" s="30">
        <v>3.0</v>
      </c>
      <c r="D2443" s="31">
        <v>141.0</v>
      </c>
      <c r="E2443" s="31">
        <v>2.0</v>
      </c>
      <c r="F2443" s="32" t="str">
        <f t="array" ref="F2443">"https://www.google.com/maps/search/?api=1&amp;query=" &amp; A2443 &amp; "," &amp; B2443</f>
        <v>https://www.google.com/maps/search/?api=1&amp;query=-30.89484480660130,-5.55473251087411</v>
      </c>
      <c r="G2443" s="33" t="str">
        <f t="array" ref="G2443">"https://earth.google.com/web/search/" &amp; A2443 &amp; "," &amp; B2443</f>
        <v>https://earth.google.com/web/search/-30.89484480660130,-5.55473251087411</v>
      </c>
      <c r="H2443" s="12"/>
      <c r="I2443" s="12"/>
      <c r="J2443" s="12"/>
      <c r="K2443" s="12"/>
      <c r="L2443" s="12"/>
      <c r="M2443" s="12"/>
      <c r="N2443" s="12"/>
      <c r="O2443" s="12"/>
      <c r="P2443" s="12"/>
      <c r="Q2443" s="12"/>
      <c r="R2443" s="12"/>
      <c r="S2443" s="12"/>
      <c r="T2443" s="12"/>
      <c r="U2443" s="12"/>
      <c r="V2443" s="12"/>
      <c r="W2443" s="12"/>
      <c r="X2443" s="12"/>
      <c r="Y2443" s="12"/>
      <c r="Z2443" s="12"/>
      <c r="AA2443" s="12"/>
    </row>
    <row r="2444" ht="26.25" customHeight="1">
      <c r="A2444" s="34" t="s">
        <v>4898</v>
      </c>
      <c r="B2444" s="35" t="s">
        <v>4899</v>
      </c>
      <c r="C2444" s="36">
        <v>3.0</v>
      </c>
      <c r="D2444" s="37">
        <v>141.0</v>
      </c>
      <c r="E2444" s="37">
        <v>3.0</v>
      </c>
      <c r="F2444" s="24" t="str">
        <f t="array" ref="F2444">"https://www.google.com/maps/search/?api=1&amp;query=" &amp; A2444 &amp; "," &amp; B2444</f>
        <v>https://www.google.com/maps/search/?api=1&amp;query=-30.89503218613940,-55.54699676915860</v>
      </c>
      <c r="G2444" s="25" t="str">
        <f t="array" ref="G2444">"https://earth.google.com/web/search/" &amp; A2444 &amp; "," &amp; B2444</f>
        <v>https://earth.google.com/web/search/-30.89503218613940,-55.54699676915860</v>
      </c>
      <c r="H2444" s="12"/>
      <c r="I2444" s="12"/>
      <c r="J2444" s="12"/>
      <c r="K2444" s="12"/>
      <c r="L2444" s="12"/>
      <c r="M2444" s="12"/>
      <c r="N2444" s="12"/>
      <c r="O2444" s="12"/>
      <c r="P2444" s="12"/>
      <c r="Q2444" s="12"/>
      <c r="R2444" s="12"/>
      <c r="S2444" s="12"/>
      <c r="T2444" s="12"/>
      <c r="U2444" s="12"/>
      <c r="V2444" s="12"/>
      <c r="W2444" s="12"/>
      <c r="X2444" s="12"/>
      <c r="Y2444" s="12"/>
      <c r="Z2444" s="12"/>
      <c r="AA2444" s="12"/>
    </row>
    <row r="2445" ht="26.25" customHeight="1">
      <c r="A2445" s="28" t="s">
        <v>4900</v>
      </c>
      <c r="B2445" s="29" t="s">
        <v>4901</v>
      </c>
      <c r="C2445" s="30">
        <v>3.0</v>
      </c>
      <c r="D2445" s="31">
        <v>141.0</v>
      </c>
      <c r="E2445" s="31">
        <v>4.0</v>
      </c>
      <c r="F2445" s="32" t="str">
        <f t="array" ref="F2445">"https://www.google.com/maps/search/?api=1&amp;query=" &amp; A2445 &amp; "," &amp; B2445</f>
        <v>https://www.google.com/maps/search/?api=1&amp;query=-3.08950797317899,-55.54691529112670</v>
      </c>
      <c r="G2445" s="33" t="str">
        <f t="array" ref="G2445">"https://earth.google.com/web/search/" &amp; A2445 &amp; "," &amp; B2445</f>
        <v>https://earth.google.com/web/search/-3.08950797317899,-55.54691529112670</v>
      </c>
      <c r="H2445" s="12"/>
      <c r="I2445" s="12"/>
      <c r="J2445" s="12"/>
      <c r="K2445" s="12"/>
      <c r="L2445" s="12"/>
      <c r="M2445" s="12"/>
      <c r="N2445" s="12"/>
      <c r="O2445" s="12"/>
      <c r="P2445" s="12"/>
      <c r="Q2445" s="12"/>
      <c r="R2445" s="12"/>
      <c r="S2445" s="12"/>
      <c r="T2445" s="12"/>
      <c r="U2445" s="12"/>
      <c r="V2445" s="12"/>
      <c r="W2445" s="12"/>
      <c r="X2445" s="12"/>
      <c r="Y2445" s="12"/>
      <c r="Z2445" s="12"/>
      <c r="AA2445" s="12"/>
    </row>
    <row r="2446" ht="26.25" customHeight="1">
      <c r="A2446" s="34" t="s">
        <v>4902</v>
      </c>
      <c r="B2446" s="35" t="s">
        <v>4903</v>
      </c>
      <c r="C2446" s="36">
        <v>3.0</v>
      </c>
      <c r="D2446" s="37">
        <v>141.0</v>
      </c>
      <c r="E2446" s="37">
        <v>5.0</v>
      </c>
      <c r="F2446" s="24" t="str">
        <f t="array" ref="F2446">"https://www.google.com/maps/search/?api=1&amp;query=" &amp; A2446 &amp; "," &amp; B2446</f>
        <v>https://www.google.com/maps/search/?api=1&amp;query=-30.89511293292910,-55.54685499738610</v>
      </c>
      <c r="G2446" s="25" t="str">
        <f t="array" ref="G2446">"https://earth.google.com/web/search/" &amp; A2446 &amp; "," &amp; B2446</f>
        <v>https://earth.google.com/web/search/-30.89511293292910,-55.54685499738610</v>
      </c>
      <c r="H2446" s="12"/>
      <c r="I2446" s="12"/>
      <c r="J2446" s="12"/>
      <c r="K2446" s="12"/>
      <c r="L2446" s="12"/>
      <c r="M2446" s="12"/>
      <c r="N2446" s="12"/>
      <c r="O2446" s="12"/>
      <c r="P2446" s="12"/>
      <c r="Q2446" s="12"/>
      <c r="R2446" s="12"/>
      <c r="S2446" s="12"/>
      <c r="T2446" s="12"/>
      <c r="U2446" s="12"/>
      <c r="V2446" s="12"/>
      <c r="W2446" s="12"/>
      <c r="X2446" s="12"/>
      <c r="Y2446" s="12"/>
      <c r="Z2446" s="12"/>
      <c r="AA2446" s="12"/>
    </row>
    <row r="2447" ht="26.25" customHeight="1">
      <c r="A2447" s="28" t="s">
        <v>4904</v>
      </c>
      <c r="B2447" s="29" t="s">
        <v>4905</v>
      </c>
      <c r="C2447" s="30">
        <v>3.0</v>
      </c>
      <c r="D2447" s="31">
        <v>141.0</v>
      </c>
      <c r="E2447" s="31">
        <v>6.0</v>
      </c>
      <c r="F2447" s="32" t="str">
        <f t="array" ref="F2447">"https://www.google.com/maps/search/?api=1&amp;query=" &amp; A2447 &amp; "," &amp; B2447</f>
        <v>https://www.google.com/maps/search/?api=1&amp;query=-30.89476915984140,-55.54633398689030</v>
      </c>
      <c r="G2447" s="33" t="str">
        <f t="array" ref="G2447">"https://earth.google.com/web/search/" &amp; A2447 &amp; "," &amp; B2447</f>
        <v>https://earth.google.com/web/search/-30.89476915984140,-55.54633398689030</v>
      </c>
      <c r="H2447" s="12"/>
      <c r="I2447" s="12"/>
      <c r="J2447" s="12"/>
      <c r="K2447" s="12"/>
      <c r="L2447" s="12"/>
      <c r="M2447" s="12"/>
      <c r="N2447" s="12"/>
      <c r="O2447" s="12"/>
      <c r="P2447" s="12"/>
      <c r="Q2447" s="12"/>
      <c r="R2447" s="12"/>
      <c r="S2447" s="12"/>
      <c r="T2447" s="12"/>
      <c r="U2447" s="12"/>
      <c r="V2447" s="12"/>
      <c r="W2447" s="12"/>
      <c r="X2447" s="12"/>
      <c r="Y2447" s="12"/>
      <c r="Z2447" s="12"/>
      <c r="AA2447" s="12"/>
    </row>
    <row r="2448" ht="26.25" customHeight="1">
      <c r="A2448" s="34" t="s">
        <v>4906</v>
      </c>
      <c r="B2448" s="35" t="s">
        <v>4907</v>
      </c>
      <c r="C2448" s="36">
        <v>3.0</v>
      </c>
      <c r="D2448" s="37">
        <v>141.0</v>
      </c>
      <c r="E2448" s="37">
        <v>7.0</v>
      </c>
      <c r="F2448" s="24" t="str">
        <f t="array" ref="F2448">"https://www.google.com/maps/search/?api=1&amp;query=" &amp; A2448 &amp; "," &amp; B2448</f>
        <v>https://www.google.com/maps/search/?api=1&amp;query=-30.89463562059960,-55.54622060374720</v>
      </c>
      <c r="G2448" s="25" t="str">
        <f t="array" ref="G2448">"https://earth.google.com/web/search/" &amp; A2448 &amp; "," &amp; B2448</f>
        <v>https://earth.google.com/web/search/-30.89463562059960,-55.54622060374720</v>
      </c>
      <c r="H2448" s="12"/>
      <c r="I2448" s="12"/>
      <c r="J2448" s="12"/>
      <c r="K2448" s="12"/>
      <c r="L2448" s="12"/>
      <c r="M2448" s="12"/>
      <c r="N2448" s="12"/>
      <c r="O2448" s="12"/>
      <c r="P2448" s="12"/>
      <c r="Q2448" s="12"/>
      <c r="R2448" s="12"/>
      <c r="S2448" s="12"/>
      <c r="T2448" s="12"/>
      <c r="U2448" s="12"/>
      <c r="V2448" s="12"/>
      <c r="W2448" s="12"/>
      <c r="X2448" s="12"/>
      <c r="Y2448" s="12"/>
      <c r="Z2448" s="12"/>
      <c r="AA2448" s="12"/>
    </row>
    <row r="2449" ht="26.25" customHeight="1">
      <c r="A2449" s="28" t="s">
        <v>4908</v>
      </c>
      <c r="B2449" s="29" t="s">
        <v>4909</v>
      </c>
      <c r="C2449" s="30">
        <v>3.0</v>
      </c>
      <c r="D2449" s="31">
        <v>141.0</v>
      </c>
      <c r="E2449" s="31">
        <v>8.0</v>
      </c>
      <c r="F2449" s="32" t="str">
        <f t="array" ref="F2449">"https://www.google.com/maps/search/?api=1&amp;query=" &amp; A2449 &amp; "," &amp; B2449</f>
        <v>https://www.google.com/maps/search/?api=1&amp;query=-30.89455179431800,-55.54616405010840</v>
      </c>
      <c r="G2449" s="33" t="str">
        <f t="array" ref="G2449">"https://earth.google.com/web/search/" &amp; A2449 &amp; "," &amp; B2449</f>
        <v>https://earth.google.com/web/search/-30.89455179431800,-55.54616405010840</v>
      </c>
      <c r="H2449" s="12"/>
      <c r="I2449" s="12"/>
      <c r="J2449" s="12"/>
      <c r="K2449" s="12"/>
      <c r="L2449" s="12"/>
      <c r="M2449" s="12"/>
      <c r="N2449" s="12"/>
      <c r="O2449" s="12"/>
      <c r="P2449" s="12"/>
      <c r="Q2449" s="12"/>
      <c r="R2449" s="12"/>
      <c r="S2449" s="12"/>
      <c r="T2449" s="12"/>
      <c r="U2449" s="12"/>
      <c r="V2449" s="12"/>
      <c r="W2449" s="12"/>
      <c r="X2449" s="12"/>
      <c r="Y2449" s="12"/>
      <c r="Z2449" s="12"/>
      <c r="AA2449" s="12"/>
    </row>
    <row r="2450" ht="26.25" customHeight="1">
      <c r="A2450" s="34" t="s">
        <v>4910</v>
      </c>
      <c r="B2450" s="35" t="s">
        <v>4911</v>
      </c>
      <c r="C2450" s="36">
        <v>3.0</v>
      </c>
      <c r="D2450" s="37">
        <v>141.0</v>
      </c>
      <c r="E2450" s="37">
        <v>9.0</v>
      </c>
      <c r="F2450" s="24" t="str">
        <f t="array" ref="F2450">"https://www.google.com/maps/search/?api=1&amp;query=" &amp; A2450 &amp; "," &amp; B2450</f>
        <v>https://www.google.com/maps/search/?api=1&amp;query=-30.89447340494930,-55.54618103633790</v>
      </c>
      <c r="G2450" s="25" t="str">
        <f t="array" ref="G2450">"https://earth.google.com/web/search/" &amp; A2450 &amp; "," &amp; B2450</f>
        <v>https://earth.google.com/web/search/-30.89447340494930,-55.54618103633790</v>
      </c>
      <c r="H2450" s="12"/>
      <c r="I2450" s="12"/>
      <c r="J2450" s="12"/>
      <c r="K2450" s="12"/>
      <c r="L2450" s="12"/>
      <c r="M2450" s="12"/>
      <c r="N2450" s="12"/>
      <c r="O2450" s="12"/>
      <c r="P2450" s="12"/>
      <c r="Q2450" s="12"/>
      <c r="R2450" s="12"/>
      <c r="S2450" s="12"/>
      <c r="T2450" s="12"/>
      <c r="U2450" s="12"/>
      <c r="V2450" s="12"/>
      <c r="W2450" s="12"/>
      <c r="X2450" s="12"/>
      <c r="Y2450" s="12"/>
      <c r="Z2450" s="12"/>
      <c r="AA2450" s="12"/>
    </row>
    <row r="2451" ht="26.25" customHeight="1">
      <c r="A2451" s="28" t="s">
        <v>4912</v>
      </c>
      <c r="B2451" s="29" t="s">
        <v>4913</v>
      </c>
      <c r="C2451" s="30">
        <v>3.0</v>
      </c>
      <c r="D2451" s="31">
        <v>141.0</v>
      </c>
      <c r="E2451" s="31">
        <v>10.0</v>
      </c>
      <c r="F2451" s="32" t="str">
        <f t="array" ref="F2451">"https://www.google.com/maps/search/?api=1&amp;query=" &amp; A2451 &amp; "," &amp; B2451</f>
        <v>https://www.google.com/maps/search/?api=1&amp;query=-30.89419262639260,-55.54674622118730</v>
      </c>
      <c r="G2451" s="33" t="str">
        <f t="array" ref="G2451">"https://earth.google.com/web/search/" &amp; A2451 &amp; "," &amp; B2451</f>
        <v>https://earth.google.com/web/search/-30.89419262639260,-55.54674622118730</v>
      </c>
      <c r="H2451" s="12"/>
      <c r="I2451" s="12"/>
      <c r="J2451" s="12"/>
      <c r="K2451" s="12"/>
      <c r="L2451" s="12"/>
      <c r="M2451" s="12"/>
      <c r="N2451" s="12"/>
      <c r="O2451" s="12"/>
      <c r="P2451" s="12"/>
      <c r="Q2451" s="12"/>
      <c r="R2451" s="12"/>
      <c r="S2451" s="12"/>
      <c r="T2451" s="12"/>
      <c r="U2451" s="12"/>
      <c r="V2451" s="12"/>
      <c r="W2451" s="12"/>
      <c r="X2451" s="12"/>
      <c r="Y2451" s="12"/>
      <c r="Z2451" s="12"/>
      <c r="AA2451" s="12"/>
    </row>
    <row r="2452" ht="26.25" customHeight="1">
      <c r="A2452" s="34" t="s">
        <v>4914</v>
      </c>
      <c r="B2452" s="35" t="s">
        <v>4915</v>
      </c>
      <c r="C2452" s="36">
        <v>3.0</v>
      </c>
      <c r="D2452" s="37">
        <v>141.0</v>
      </c>
      <c r="E2452" s="37">
        <v>11.0</v>
      </c>
      <c r="F2452" s="24" t="str">
        <f t="array" ref="F2452">"https://www.google.com/maps/search/?api=1&amp;query=" &amp; A2452 &amp; "," &amp; B2452</f>
        <v>https://www.google.com/maps/search/?api=1&amp;query=-0.30894128418614,-5.55468473042114</v>
      </c>
      <c r="G2452" s="25" t="str">
        <f t="array" ref="G2452">"https://earth.google.com/web/search/" &amp; A2452 &amp; "," &amp; B2452</f>
        <v>https://earth.google.com/web/search/-0.30894128418614,-5.55468473042114</v>
      </c>
      <c r="H2452" s="12"/>
      <c r="I2452" s="12"/>
      <c r="J2452" s="12"/>
      <c r="K2452" s="12"/>
      <c r="L2452" s="12"/>
      <c r="M2452" s="12"/>
      <c r="N2452" s="12"/>
      <c r="O2452" s="12"/>
      <c r="P2452" s="12"/>
      <c r="Q2452" s="12"/>
      <c r="R2452" s="12"/>
      <c r="S2452" s="12"/>
      <c r="T2452" s="12"/>
      <c r="U2452" s="12"/>
      <c r="V2452" s="12"/>
      <c r="W2452" s="12"/>
      <c r="X2452" s="12"/>
      <c r="Y2452" s="12"/>
      <c r="Z2452" s="12"/>
      <c r="AA2452" s="12"/>
    </row>
    <row r="2453" ht="26.25" customHeight="1">
      <c r="A2453" s="28" t="s">
        <v>4916</v>
      </c>
      <c r="B2453" s="29" t="s">
        <v>4917</v>
      </c>
      <c r="C2453" s="30">
        <v>3.0</v>
      </c>
      <c r="D2453" s="31">
        <v>141.0</v>
      </c>
      <c r="E2453" s="31">
        <v>12.0</v>
      </c>
      <c r="F2453" s="32" t="str">
        <f t="array" ref="F2453">"https://www.google.com/maps/search/?api=1&amp;query=" &amp; A2453 &amp; "," &amp; B2453</f>
        <v>https://www.google.com/maps/search/?api=1&amp;query=-30.89461043997100,-55.54735498445260</v>
      </c>
      <c r="G2453" s="33" t="str">
        <f t="array" ref="G2453">"https://earth.google.com/web/search/" &amp; A2453 &amp; "," &amp; B2453</f>
        <v>https://earth.google.com/web/search/-30.89461043997100,-55.54735498445260</v>
      </c>
      <c r="H2453" s="12"/>
      <c r="I2453" s="12"/>
      <c r="J2453" s="12"/>
      <c r="K2453" s="12"/>
      <c r="L2453" s="12"/>
      <c r="M2453" s="12"/>
      <c r="N2453" s="12"/>
      <c r="O2453" s="12"/>
      <c r="P2453" s="12"/>
      <c r="Q2453" s="12"/>
      <c r="R2453" s="12"/>
      <c r="S2453" s="12"/>
      <c r="T2453" s="12"/>
      <c r="U2453" s="12"/>
      <c r="V2453" s="12"/>
      <c r="W2453" s="12"/>
      <c r="X2453" s="12"/>
      <c r="Y2453" s="12"/>
      <c r="Z2453" s="12"/>
      <c r="AA2453" s="12"/>
    </row>
    <row r="2454" ht="26.25" customHeight="1">
      <c r="A2454" s="34" t="s">
        <v>4918</v>
      </c>
      <c r="B2454" s="35" t="s">
        <v>4919</v>
      </c>
      <c r="C2454" s="36">
        <v>3.0</v>
      </c>
      <c r="D2454" s="37">
        <v>141.0</v>
      </c>
      <c r="E2454" s="37">
        <v>13.0</v>
      </c>
      <c r="F2454" s="24" t="str">
        <f t="array" ref="F2454">"https://www.google.com/maps/search/?api=1&amp;query=" &amp; A2454 &amp; "," &amp; B2454</f>
        <v>https://www.google.com/maps/search/?api=1&amp;query=-30.89470302350860,-55.54740039406480</v>
      </c>
      <c r="G2454" s="25" t="str">
        <f t="array" ref="G2454">"https://earth.google.com/web/search/" &amp; A2454 &amp; "," &amp; B2454</f>
        <v>https://earth.google.com/web/search/-30.89470302350860,-55.54740039406480</v>
      </c>
      <c r="H2454" s="12"/>
      <c r="I2454" s="12"/>
      <c r="J2454" s="12"/>
      <c r="K2454" s="12"/>
      <c r="L2454" s="12"/>
      <c r="M2454" s="12"/>
      <c r="N2454" s="12"/>
      <c r="O2454" s="12"/>
      <c r="P2454" s="12"/>
      <c r="Q2454" s="12"/>
      <c r="R2454" s="12"/>
      <c r="S2454" s="12"/>
      <c r="T2454" s="12"/>
      <c r="U2454" s="12"/>
      <c r="V2454" s="12"/>
      <c r="W2454" s="12"/>
      <c r="X2454" s="12"/>
      <c r="Y2454" s="12"/>
      <c r="Z2454" s="12"/>
      <c r="AA2454" s="12"/>
    </row>
    <row r="2455" ht="26.25" customHeight="1">
      <c r="A2455" s="28" t="s">
        <v>4920</v>
      </c>
      <c r="B2455" s="29" t="s">
        <v>4921</v>
      </c>
      <c r="C2455" s="30">
        <v>3.0</v>
      </c>
      <c r="D2455" s="31">
        <v>142.0</v>
      </c>
      <c r="E2455" s="31">
        <v>1.0</v>
      </c>
      <c r="F2455" s="32" t="str">
        <f t="array" ref="F2455">"https://www.google.com/maps/search/?api=1&amp;query=" &amp; A2455 &amp; "," &amp; B2455</f>
        <v>https://www.google.com/maps/search/?api=1&amp;query=-30.89388717384210,-55.54729576878560</v>
      </c>
      <c r="G2455" s="33" t="str">
        <f t="array" ref="G2455">"https://earth.google.com/web/search/" &amp; A2455 &amp; "," &amp; B2455</f>
        <v>https://earth.google.com/web/search/-30.89388717384210,-55.54729576878560</v>
      </c>
      <c r="H2455" s="12"/>
      <c r="I2455" s="12"/>
      <c r="J2455" s="12"/>
      <c r="K2455" s="12"/>
      <c r="L2455" s="12"/>
      <c r="M2455" s="12"/>
      <c r="N2455" s="12"/>
      <c r="O2455" s="12"/>
      <c r="P2455" s="12"/>
      <c r="Q2455" s="12"/>
      <c r="R2455" s="12"/>
      <c r="S2455" s="12"/>
      <c r="T2455" s="12"/>
      <c r="U2455" s="12"/>
      <c r="V2455" s="12"/>
      <c r="W2455" s="12"/>
      <c r="X2455" s="12"/>
      <c r="Y2455" s="12"/>
      <c r="Z2455" s="12"/>
      <c r="AA2455" s="12"/>
    </row>
    <row r="2456" ht="26.25" customHeight="1">
      <c r="A2456" s="34" t="s">
        <v>4922</v>
      </c>
      <c r="B2456" s="35" t="s">
        <v>4923</v>
      </c>
      <c r="C2456" s="36">
        <v>3.0</v>
      </c>
      <c r="D2456" s="37">
        <v>142.0</v>
      </c>
      <c r="E2456" s="37">
        <v>2.0</v>
      </c>
      <c r="F2456" s="24" t="str">
        <f t="array" ref="F2456">"https://www.google.com/maps/search/?api=1&amp;query=" &amp; A2456 &amp; "," &amp; B2456</f>
        <v>https://www.google.com/maps/search/?api=1&amp;query=-30.89376994286870,-55.54796921698840</v>
      </c>
      <c r="G2456" s="25" t="str">
        <f t="array" ref="G2456">"https://earth.google.com/web/search/" &amp; A2456 &amp; "," &amp; B2456</f>
        <v>https://earth.google.com/web/search/-30.89376994286870,-55.54796921698840</v>
      </c>
      <c r="H2456" s="12"/>
      <c r="I2456" s="12"/>
      <c r="J2456" s="12"/>
      <c r="K2456" s="12"/>
      <c r="L2456" s="12"/>
      <c r="M2456" s="12"/>
      <c r="N2456" s="12"/>
      <c r="O2456" s="12"/>
      <c r="P2456" s="12"/>
      <c r="Q2456" s="12"/>
      <c r="R2456" s="12"/>
      <c r="S2456" s="12"/>
      <c r="T2456" s="12"/>
      <c r="U2456" s="12"/>
      <c r="V2456" s="12"/>
      <c r="W2456" s="12"/>
      <c r="X2456" s="12"/>
      <c r="Y2456" s="12"/>
      <c r="Z2456" s="12"/>
      <c r="AA2456" s="12"/>
    </row>
    <row r="2457" ht="26.25" customHeight="1">
      <c r="A2457" s="28" t="s">
        <v>4924</v>
      </c>
      <c r="B2457" s="29" t="s">
        <v>4925</v>
      </c>
      <c r="C2457" s="30">
        <v>3.0</v>
      </c>
      <c r="D2457" s="31">
        <v>142.0</v>
      </c>
      <c r="E2457" s="31">
        <v>3.0</v>
      </c>
      <c r="F2457" s="32" t="str">
        <f t="array" ref="F2457">"https://www.google.com/maps/search/?api=1&amp;query=" &amp; A2457 &amp; "," &amp; B2457</f>
        <v>https://www.google.com/maps/search/?api=1&amp;query=-30.89368966193730,-55.54776389334950</v>
      </c>
      <c r="G2457" s="33" t="str">
        <f t="array" ref="G2457">"https://earth.google.com/web/search/" &amp; A2457 &amp; "," &amp; B2457</f>
        <v>https://earth.google.com/web/search/-30.89368966193730,-55.54776389334950</v>
      </c>
      <c r="H2457" s="12"/>
      <c r="I2457" s="12"/>
      <c r="J2457" s="12"/>
      <c r="K2457" s="12"/>
      <c r="L2457" s="12"/>
      <c r="M2457" s="12"/>
      <c r="N2457" s="12"/>
      <c r="O2457" s="12"/>
      <c r="P2457" s="12"/>
      <c r="Q2457" s="12"/>
      <c r="R2457" s="12"/>
      <c r="S2457" s="12"/>
      <c r="T2457" s="12"/>
      <c r="U2457" s="12"/>
      <c r="V2457" s="12"/>
      <c r="W2457" s="12"/>
      <c r="X2457" s="12"/>
      <c r="Y2457" s="12"/>
      <c r="Z2457" s="12"/>
      <c r="AA2457" s="12"/>
    </row>
    <row r="2458" ht="26.25" customHeight="1">
      <c r="A2458" s="34" t="s">
        <v>4926</v>
      </c>
      <c r="B2458" s="35" t="s">
        <v>4927</v>
      </c>
      <c r="C2458" s="36">
        <v>3.0</v>
      </c>
      <c r="D2458" s="37">
        <v>166.0</v>
      </c>
      <c r="E2458" s="37">
        <v>1.0</v>
      </c>
      <c r="F2458" s="24" t="str">
        <f t="array" ref="F2458">"https://www.google.com/maps/search/?api=1&amp;query=" &amp; A2458 &amp; "," &amp; B2458</f>
        <v>https://www.google.com/maps/search/?api=1&amp;query=-30.89442157158300,-55.54857453789600</v>
      </c>
      <c r="G2458" s="25" t="str">
        <f t="array" ref="G2458">"https://earth.google.com/web/search/" &amp; A2458 &amp; "," &amp; B2458</f>
        <v>https://earth.google.com/web/search/-30.89442157158300,-55.54857453789600</v>
      </c>
      <c r="H2458" s="12"/>
      <c r="I2458" s="12"/>
      <c r="J2458" s="12"/>
      <c r="K2458" s="12"/>
      <c r="L2458" s="12"/>
      <c r="M2458" s="12"/>
      <c r="N2458" s="12"/>
      <c r="O2458" s="12"/>
      <c r="P2458" s="12"/>
      <c r="Q2458" s="12"/>
      <c r="R2458" s="12"/>
      <c r="S2458" s="12"/>
      <c r="T2458" s="12"/>
      <c r="U2458" s="12"/>
      <c r="V2458" s="12"/>
      <c r="W2458" s="12"/>
      <c r="X2458" s="12"/>
      <c r="Y2458" s="12"/>
      <c r="Z2458" s="12"/>
      <c r="AA2458" s="12"/>
    </row>
    <row r="2459" ht="26.25" customHeight="1">
      <c r="A2459" s="28" t="s">
        <v>4928</v>
      </c>
      <c r="B2459" s="29" t="s">
        <v>4929</v>
      </c>
      <c r="C2459" s="30">
        <v>3.0</v>
      </c>
      <c r="D2459" s="31">
        <v>166.0</v>
      </c>
      <c r="E2459" s="31">
        <v>2.0</v>
      </c>
      <c r="F2459" s="32" t="str">
        <f t="array" ref="F2459">"https://www.google.com/maps/search/?api=1&amp;query=" &amp; A2459 &amp; "," &amp; B2459</f>
        <v>https://www.google.com/maps/search/?api=1&amp;query=-3.08945237738839,-55.54864032622050</v>
      </c>
      <c r="G2459" s="33" t="str">
        <f t="array" ref="G2459">"https://earth.google.com/web/search/" &amp; A2459 &amp; "," &amp; B2459</f>
        <v>https://earth.google.com/web/search/-3.08945237738839,-55.54864032622050</v>
      </c>
      <c r="H2459" s="12"/>
      <c r="I2459" s="12"/>
      <c r="J2459" s="12"/>
      <c r="K2459" s="12"/>
      <c r="L2459" s="12"/>
      <c r="M2459" s="12"/>
      <c r="N2459" s="12"/>
      <c r="O2459" s="12"/>
      <c r="P2459" s="12"/>
      <c r="Q2459" s="12"/>
      <c r="R2459" s="12"/>
      <c r="S2459" s="12"/>
      <c r="T2459" s="12"/>
      <c r="U2459" s="12"/>
      <c r="V2459" s="12"/>
      <c r="W2459" s="12"/>
      <c r="X2459" s="12"/>
      <c r="Y2459" s="12"/>
      <c r="Z2459" s="12"/>
      <c r="AA2459" s="12"/>
    </row>
    <row r="2460" ht="26.25" customHeight="1">
      <c r="A2460" s="34" t="s">
        <v>4930</v>
      </c>
      <c r="B2460" s="35" t="s">
        <v>4931</v>
      </c>
      <c r="C2460" s="36">
        <v>3.0</v>
      </c>
      <c r="D2460" s="37">
        <v>166.0</v>
      </c>
      <c r="E2460" s="37">
        <v>3.0</v>
      </c>
      <c r="F2460" s="24" t="str">
        <f t="array" ref="F2460">"https://www.google.com/maps/search/?api=1&amp;query=" &amp; A2460 &amp; "," &amp; B2460</f>
        <v>https://www.google.com/maps/search/?api=1&amp;query=-30.89461318272940,-55.54872020234390</v>
      </c>
      <c r="G2460" s="25" t="str">
        <f t="array" ref="G2460">"https://earth.google.com/web/search/" &amp; A2460 &amp; "," &amp; B2460</f>
        <v>https://earth.google.com/web/search/-30.89461318272940,-55.54872020234390</v>
      </c>
      <c r="H2460" s="12"/>
      <c r="I2460" s="12"/>
      <c r="J2460" s="12"/>
      <c r="K2460" s="12"/>
      <c r="L2460" s="12"/>
      <c r="M2460" s="12"/>
      <c r="N2460" s="12"/>
      <c r="O2460" s="12"/>
      <c r="P2460" s="12"/>
      <c r="Q2460" s="12"/>
      <c r="R2460" s="12"/>
      <c r="S2460" s="12"/>
      <c r="T2460" s="12"/>
      <c r="U2460" s="12"/>
      <c r="V2460" s="12"/>
      <c r="W2460" s="12"/>
      <c r="X2460" s="12"/>
      <c r="Y2460" s="12"/>
      <c r="Z2460" s="12"/>
      <c r="AA2460" s="12"/>
    </row>
    <row r="2461" ht="26.25" customHeight="1">
      <c r="A2461" s="28" t="s">
        <v>4932</v>
      </c>
      <c r="B2461" s="29" t="s">
        <v>4933</v>
      </c>
      <c r="C2461" s="30">
        <v>3.0</v>
      </c>
      <c r="D2461" s="31">
        <v>166.0</v>
      </c>
      <c r="E2461" s="31">
        <v>4.0</v>
      </c>
      <c r="F2461" s="32" t="str">
        <f t="array" ref="F2461">"https://www.google.com/maps/search/?api=1&amp;query=" &amp; A2461 &amp; "," &amp; B2461</f>
        <v>https://www.google.com/maps/search/?api=1&amp;query=-30.89481137120160,-55.54885726184490</v>
      </c>
      <c r="G2461" s="33" t="str">
        <f t="array" ref="G2461">"https://earth.google.com/web/search/" &amp; A2461 &amp; "," &amp; B2461</f>
        <v>https://earth.google.com/web/search/-30.89481137120160,-55.54885726184490</v>
      </c>
      <c r="H2461" s="12"/>
      <c r="I2461" s="12"/>
      <c r="J2461" s="12"/>
      <c r="K2461" s="12"/>
      <c r="L2461" s="12"/>
      <c r="M2461" s="12"/>
      <c r="N2461" s="12"/>
      <c r="O2461" s="12"/>
      <c r="P2461" s="12"/>
      <c r="Q2461" s="12"/>
      <c r="R2461" s="12"/>
      <c r="S2461" s="12"/>
      <c r="T2461" s="12"/>
      <c r="U2461" s="12"/>
      <c r="V2461" s="12"/>
      <c r="W2461" s="12"/>
      <c r="X2461" s="12"/>
      <c r="Y2461" s="12"/>
      <c r="Z2461" s="12"/>
      <c r="AA2461" s="12"/>
    </row>
    <row r="2462" ht="26.25" customHeight="1">
      <c r="A2462" s="34" t="s">
        <v>4934</v>
      </c>
      <c r="B2462" s="35" t="s">
        <v>4935</v>
      </c>
      <c r="C2462" s="36">
        <v>3.0</v>
      </c>
      <c r="D2462" s="37">
        <v>167.0</v>
      </c>
      <c r="E2462" s="37">
        <v>1.0</v>
      </c>
      <c r="F2462" s="24" t="str">
        <f t="array" ref="F2462">"https://www.google.com/maps/search/?api=1&amp;query=" &amp; A2462 &amp; "," &amp; B2462</f>
        <v>https://www.google.com/maps/search/?api=1&amp;query=-30.89509596701510,-55.54889137725470</v>
      </c>
      <c r="G2462" s="25" t="str">
        <f t="array" ref="G2462">"https://earth.google.com/web/search/" &amp; A2462 &amp; "," &amp; B2462</f>
        <v>https://earth.google.com/web/search/-30.89509596701510,-55.54889137725470</v>
      </c>
      <c r="H2462" s="12"/>
      <c r="I2462" s="12"/>
      <c r="J2462" s="12"/>
      <c r="K2462" s="12"/>
      <c r="L2462" s="12"/>
      <c r="M2462" s="12"/>
      <c r="N2462" s="12"/>
      <c r="O2462" s="12"/>
      <c r="P2462" s="12"/>
      <c r="Q2462" s="12"/>
      <c r="R2462" s="12"/>
      <c r="S2462" s="12"/>
      <c r="T2462" s="12"/>
      <c r="U2462" s="12"/>
      <c r="V2462" s="12"/>
      <c r="W2462" s="12"/>
      <c r="X2462" s="12"/>
      <c r="Y2462" s="12"/>
      <c r="Z2462" s="12"/>
      <c r="AA2462" s="12"/>
    </row>
    <row r="2463" ht="26.25" customHeight="1">
      <c r="A2463" s="28" t="s">
        <v>4936</v>
      </c>
      <c r="B2463" s="29" t="s">
        <v>4937</v>
      </c>
      <c r="C2463" s="30">
        <v>3.0</v>
      </c>
      <c r="D2463" s="31">
        <v>167.0</v>
      </c>
      <c r="E2463" s="31">
        <v>2.0</v>
      </c>
      <c r="F2463" s="32" t="str">
        <f t="array" ref="F2463">"https://www.google.com/maps/search/?api=1&amp;query=" &amp; A2463 &amp; "," &amp; B2463</f>
        <v>https://www.google.com/maps/search/?api=1&amp;query=-30.89517591815300,-55.54874914643900</v>
      </c>
      <c r="G2463" s="33" t="str">
        <f t="array" ref="G2463">"https://earth.google.com/web/search/" &amp; A2463 &amp; "," &amp; B2463</f>
        <v>https://earth.google.com/web/search/-30.89517591815300,-55.54874914643900</v>
      </c>
      <c r="H2463" s="12"/>
      <c r="I2463" s="12"/>
      <c r="J2463" s="12"/>
      <c r="K2463" s="12"/>
      <c r="L2463" s="12"/>
      <c r="M2463" s="12"/>
      <c r="N2463" s="12"/>
      <c r="O2463" s="12"/>
      <c r="P2463" s="12"/>
      <c r="Q2463" s="12"/>
      <c r="R2463" s="12"/>
      <c r="S2463" s="12"/>
      <c r="T2463" s="12"/>
      <c r="U2463" s="12"/>
      <c r="V2463" s="12"/>
      <c r="W2463" s="12"/>
      <c r="X2463" s="12"/>
      <c r="Y2463" s="12"/>
      <c r="Z2463" s="12"/>
      <c r="AA2463" s="12"/>
    </row>
    <row r="2464" ht="26.25" customHeight="1">
      <c r="A2464" s="34" t="s">
        <v>4938</v>
      </c>
      <c r="B2464" s="35" t="s">
        <v>4939</v>
      </c>
      <c r="C2464" s="36">
        <v>3.0</v>
      </c>
      <c r="D2464" s="37">
        <v>167.0</v>
      </c>
      <c r="E2464" s="37">
        <v>3.0</v>
      </c>
      <c r="F2464" s="24" t="str">
        <f t="array" ref="F2464">"https://www.google.com/maps/search/?api=1&amp;query=" &amp; A2464 &amp; "," &amp; B2464</f>
        <v>https://www.google.com/maps/search/?api=1&amp;query=-30.89528268533580,-55.54855365279960</v>
      </c>
      <c r="G2464" s="25" t="str">
        <f t="array" ref="G2464">"https://earth.google.com/web/search/" &amp; A2464 &amp; "," &amp; B2464</f>
        <v>https://earth.google.com/web/search/-30.89528268533580,-55.54855365279960</v>
      </c>
      <c r="H2464" s="12"/>
      <c r="I2464" s="12"/>
      <c r="J2464" s="12"/>
      <c r="K2464" s="12"/>
      <c r="L2464" s="12"/>
      <c r="M2464" s="12"/>
      <c r="N2464" s="12"/>
      <c r="O2464" s="12"/>
      <c r="P2464" s="12"/>
      <c r="Q2464" s="12"/>
      <c r="R2464" s="12"/>
      <c r="S2464" s="12"/>
      <c r="T2464" s="12"/>
      <c r="U2464" s="12"/>
      <c r="V2464" s="12"/>
      <c r="W2464" s="12"/>
      <c r="X2464" s="12"/>
      <c r="Y2464" s="12"/>
      <c r="Z2464" s="12"/>
      <c r="AA2464" s="12"/>
    </row>
    <row r="2465" ht="26.25" customHeight="1">
      <c r="A2465" s="28" t="s">
        <v>4940</v>
      </c>
      <c r="B2465" s="29" t="s">
        <v>4941</v>
      </c>
      <c r="C2465" s="30">
        <v>3.0</v>
      </c>
      <c r="D2465" s="31">
        <v>167.0</v>
      </c>
      <c r="E2465" s="31">
        <v>4.0</v>
      </c>
      <c r="F2465" s="32" t="str">
        <f t="array" ref="F2465">"https://www.google.com/maps/search/?api=1&amp;query=" &amp; A2465 &amp; "," &amp; B2465</f>
        <v>https://www.google.com/maps/search/?api=1&amp;query=-30.89533919107480,-55.54843821655580</v>
      </c>
      <c r="G2465" s="33" t="str">
        <f t="array" ref="G2465">"https://earth.google.com/web/search/" &amp; A2465 &amp; "," &amp; B2465</f>
        <v>https://earth.google.com/web/search/-30.89533919107480,-55.54843821655580</v>
      </c>
      <c r="H2465" s="12"/>
      <c r="I2465" s="12"/>
      <c r="J2465" s="12"/>
      <c r="K2465" s="12"/>
      <c r="L2465" s="12"/>
      <c r="M2465" s="12"/>
      <c r="N2465" s="12"/>
      <c r="O2465" s="12"/>
      <c r="P2465" s="12"/>
      <c r="Q2465" s="12"/>
      <c r="R2465" s="12"/>
      <c r="S2465" s="12"/>
      <c r="T2465" s="12"/>
      <c r="U2465" s="12"/>
      <c r="V2465" s="12"/>
      <c r="W2465" s="12"/>
      <c r="X2465" s="12"/>
      <c r="Y2465" s="12"/>
      <c r="Z2465" s="12"/>
      <c r="AA2465" s="12"/>
    </row>
    <row r="2466" ht="26.25" customHeight="1">
      <c r="A2466" s="34" t="s">
        <v>4942</v>
      </c>
      <c r="B2466" s="35" t="s">
        <v>4943</v>
      </c>
      <c r="C2466" s="36">
        <v>3.0</v>
      </c>
      <c r="D2466" s="37">
        <v>167.0</v>
      </c>
      <c r="E2466" s="37">
        <v>5.0</v>
      </c>
      <c r="F2466" s="24" t="str">
        <f t="array" ref="F2466">"https://www.google.com/maps/search/?api=1&amp;query=" &amp; A2466 &amp; "," &amp; B2466</f>
        <v>https://www.google.com/maps/search/?api=1&amp;query=-30.89502509847080,-55.54776385858470</v>
      </c>
      <c r="G2466" s="25" t="str">
        <f t="array" ref="G2466">"https://earth.google.com/web/search/" &amp; A2466 &amp; "," &amp; B2466</f>
        <v>https://earth.google.com/web/search/-30.89502509847080,-55.54776385858470</v>
      </c>
      <c r="H2466" s="12"/>
      <c r="I2466" s="12"/>
      <c r="J2466" s="12"/>
      <c r="K2466" s="12"/>
      <c r="L2466" s="12"/>
      <c r="M2466" s="12"/>
      <c r="N2466" s="12"/>
      <c r="O2466" s="12"/>
      <c r="P2466" s="12"/>
      <c r="Q2466" s="12"/>
      <c r="R2466" s="12"/>
      <c r="S2466" s="12"/>
      <c r="T2466" s="12"/>
      <c r="U2466" s="12"/>
      <c r="V2466" s="12"/>
      <c r="W2466" s="12"/>
      <c r="X2466" s="12"/>
      <c r="Y2466" s="12"/>
      <c r="Z2466" s="12"/>
      <c r="AA2466" s="12"/>
    </row>
    <row r="2467" ht="26.25" customHeight="1">
      <c r="A2467" s="28" t="s">
        <v>4944</v>
      </c>
      <c r="B2467" s="29" t="s">
        <v>4945</v>
      </c>
      <c r="C2467" s="30">
        <v>3.0</v>
      </c>
      <c r="D2467" s="31">
        <v>167.0</v>
      </c>
      <c r="E2467" s="31">
        <v>6.0</v>
      </c>
      <c r="F2467" s="32" t="str">
        <f t="array" ref="F2467">"https://www.google.com/maps/search/?api=1&amp;query=" &amp; A2467 &amp; "," &amp; B2467</f>
        <v>https://www.google.com/maps/search/?api=1&amp;query=-3.08948896683195,-55.54765488621040</v>
      </c>
      <c r="G2467" s="33" t="str">
        <f t="array" ref="G2467">"https://earth.google.com/web/search/" &amp; A2467 &amp; "," &amp; B2467</f>
        <v>https://earth.google.com/web/search/-3.08948896683195,-55.54765488621040</v>
      </c>
      <c r="H2467" s="12"/>
      <c r="I2467" s="12"/>
      <c r="J2467" s="12"/>
      <c r="K2467" s="12"/>
      <c r="L2467" s="12"/>
      <c r="M2467" s="12"/>
      <c r="N2467" s="12"/>
      <c r="O2467" s="12"/>
      <c r="P2467" s="12"/>
      <c r="Q2467" s="12"/>
      <c r="R2467" s="12"/>
      <c r="S2467" s="12"/>
      <c r="T2467" s="12"/>
      <c r="U2467" s="12"/>
      <c r="V2467" s="12"/>
      <c r="W2467" s="12"/>
      <c r="X2467" s="12"/>
      <c r="Y2467" s="12"/>
      <c r="Z2467" s="12"/>
      <c r="AA2467" s="12"/>
    </row>
    <row r="2468" ht="26.25" customHeight="1">
      <c r="A2468" s="34" t="s">
        <v>4946</v>
      </c>
      <c r="B2468" s="35" t="s">
        <v>4947</v>
      </c>
      <c r="C2468" s="36">
        <v>3.0</v>
      </c>
      <c r="D2468" s="37">
        <v>167.0</v>
      </c>
      <c r="E2468" s="37">
        <v>7.0</v>
      </c>
      <c r="F2468" s="24" t="str">
        <f t="array" ref="F2468">"https://www.google.com/maps/search/?api=1&amp;query=" &amp; A2468 &amp; "," &amp; B2468</f>
        <v>https://www.google.com/maps/search/?api=1&amp;query=-30.89440983995610,-55.54835235594700</v>
      </c>
      <c r="G2468" s="25" t="str">
        <f t="array" ref="G2468">"https://earth.google.com/web/search/" &amp; A2468 &amp; "," &amp; B2468</f>
        <v>https://earth.google.com/web/search/-30.89440983995610,-55.54835235594700</v>
      </c>
      <c r="H2468" s="12"/>
      <c r="I2468" s="12"/>
      <c r="J2468" s="12"/>
      <c r="K2468" s="12"/>
      <c r="L2468" s="12"/>
      <c r="M2468" s="12"/>
      <c r="N2468" s="12"/>
      <c r="O2468" s="12"/>
      <c r="P2468" s="12"/>
      <c r="Q2468" s="12"/>
      <c r="R2468" s="12"/>
      <c r="S2468" s="12"/>
      <c r="T2468" s="12"/>
      <c r="U2468" s="12"/>
      <c r="V2468" s="12"/>
      <c r="W2468" s="12"/>
      <c r="X2468" s="12"/>
      <c r="Y2468" s="12"/>
      <c r="Z2468" s="12"/>
      <c r="AA2468" s="12"/>
    </row>
    <row r="2469" ht="26.25" customHeight="1">
      <c r="A2469" s="28" t="s">
        <v>4948</v>
      </c>
      <c r="B2469" s="29" t="s">
        <v>4949</v>
      </c>
      <c r="C2469" s="30">
        <v>3.0</v>
      </c>
      <c r="D2469" s="31">
        <v>167.0</v>
      </c>
      <c r="E2469" s="31">
        <v>8.0</v>
      </c>
      <c r="F2469" s="32" t="str">
        <f t="array" ref="F2469">"https://www.google.com/maps/search/?api=1&amp;query=" &amp; A2469 &amp; "," &amp; B2469</f>
        <v>https://www.google.com/maps/search/?api=1&amp;query=-30.89476527266340,-55.54870256371030</v>
      </c>
      <c r="G2469" s="33" t="str">
        <f t="array" ref="G2469">"https://earth.google.com/web/search/" &amp; A2469 &amp; "," &amp; B2469</f>
        <v>https://earth.google.com/web/search/-30.89476527266340,-55.54870256371030</v>
      </c>
      <c r="H2469" s="12"/>
      <c r="I2469" s="12"/>
      <c r="J2469" s="12"/>
      <c r="K2469" s="12"/>
      <c r="L2469" s="12"/>
      <c r="M2469" s="12"/>
      <c r="N2469" s="12"/>
      <c r="O2469" s="12"/>
      <c r="P2469" s="12"/>
      <c r="Q2469" s="12"/>
      <c r="R2469" s="12"/>
      <c r="S2469" s="12"/>
      <c r="T2469" s="12"/>
      <c r="U2469" s="12"/>
      <c r="V2469" s="12"/>
      <c r="W2469" s="12"/>
      <c r="X2469" s="12"/>
      <c r="Y2469" s="12"/>
      <c r="Z2469" s="12"/>
      <c r="AA2469" s="12"/>
    </row>
    <row r="2470" ht="26.25" customHeight="1">
      <c r="A2470" s="34" t="s">
        <v>4950</v>
      </c>
      <c r="B2470" s="35" t="s">
        <v>4951</v>
      </c>
      <c r="C2470" s="36">
        <v>3.0</v>
      </c>
      <c r="D2470" s="37">
        <v>167.0</v>
      </c>
      <c r="E2470" s="37">
        <v>9.0</v>
      </c>
      <c r="F2470" s="24" t="str">
        <f t="array" ref="F2470">"https://www.google.com/maps/search/?api=1&amp;query=" &amp; A2470 &amp; "," &amp; B2470</f>
        <v>https://www.google.com/maps/search/?api=1&amp;query=-30.89485231245080,-55.54875010143590</v>
      </c>
      <c r="G2470" s="25" t="str">
        <f t="array" ref="G2470">"https://earth.google.com/web/search/" &amp; A2470 &amp; "," &amp; B2470</f>
        <v>https://earth.google.com/web/search/-30.89485231245080,-55.54875010143590</v>
      </c>
      <c r="H2470" s="12"/>
      <c r="I2470" s="12"/>
      <c r="J2470" s="12"/>
      <c r="K2470" s="12"/>
      <c r="L2470" s="12"/>
      <c r="M2470" s="12"/>
      <c r="N2470" s="12"/>
      <c r="O2470" s="12"/>
      <c r="P2470" s="12"/>
      <c r="Q2470" s="12"/>
      <c r="R2470" s="12"/>
      <c r="S2470" s="12"/>
      <c r="T2470" s="12"/>
      <c r="U2470" s="12"/>
      <c r="V2470" s="12"/>
      <c r="W2470" s="12"/>
      <c r="X2470" s="12"/>
      <c r="Y2470" s="12"/>
      <c r="Z2470" s="12"/>
      <c r="AA2470" s="12"/>
    </row>
    <row r="2471" ht="26.25" customHeight="1">
      <c r="A2471" s="28" t="s">
        <v>4952</v>
      </c>
      <c r="B2471" s="29" t="s">
        <v>4953</v>
      </c>
      <c r="C2471" s="30">
        <v>3.0</v>
      </c>
      <c r="D2471" s="31">
        <v>168.0</v>
      </c>
      <c r="E2471" s="31">
        <v>1.0</v>
      </c>
      <c r="F2471" s="32" t="str">
        <f t="array" ref="F2471">"https://www.google.com/maps/search/?api=1&amp;query=" &amp; A2471 &amp; "," &amp; B2471</f>
        <v>https://www.google.com/maps/search/?api=1&amp;query=-3.08956668859523,-55.54789848741800</v>
      </c>
      <c r="G2471" s="33" t="str">
        <f t="array" ref="G2471">"https://earth.google.com/web/search/" &amp; A2471 &amp; "," &amp; B2471</f>
        <v>https://earth.google.com/web/search/-3.08956668859523,-55.54789848741800</v>
      </c>
      <c r="H2471" s="12"/>
      <c r="I2471" s="12"/>
      <c r="J2471" s="12"/>
      <c r="K2471" s="12"/>
      <c r="L2471" s="12"/>
      <c r="M2471" s="12"/>
      <c r="N2471" s="12"/>
      <c r="O2471" s="12"/>
      <c r="P2471" s="12"/>
      <c r="Q2471" s="12"/>
      <c r="R2471" s="12"/>
      <c r="S2471" s="12"/>
      <c r="T2471" s="12"/>
      <c r="U2471" s="12"/>
      <c r="V2471" s="12"/>
      <c r="W2471" s="12"/>
      <c r="X2471" s="12"/>
      <c r="Y2471" s="12"/>
      <c r="Z2471" s="12"/>
      <c r="AA2471" s="12"/>
    </row>
    <row r="2472" ht="26.25" customHeight="1">
      <c r="A2472" s="34" t="s">
        <v>4954</v>
      </c>
      <c r="B2472" s="35" t="s">
        <v>4955</v>
      </c>
      <c r="C2472" s="36">
        <v>3.0</v>
      </c>
      <c r="D2472" s="37">
        <v>168.0</v>
      </c>
      <c r="E2472" s="37">
        <v>2.0</v>
      </c>
      <c r="F2472" s="24" t="str">
        <f t="array" ref="F2472">"https://www.google.com/maps/search/?api=1&amp;query=" &amp; A2472 &amp; "," &amp; B2472</f>
        <v>https://www.google.com/maps/search/?api=1&amp;query=-30.89576881186310,-55.54768203642540</v>
      </c>
      <c r="G2472" s="25" t="str">
        <f t="array" ref="G2472">"https://earth.google.com/web/search/" &amp; A2472 &amp; "," &amp; B2472</f>
        <v>https://earth.google.com/web/search/-30.89576881186310,-55.54768203642540</v>
      </c>
      <c r="H2472" s="12"/>
      <c r="I2472" s="12"/>
      <c r="J2472" s="12"/>
      <c r="K2472" s="12"/>
      <c r="L2472" s="12"/>
      <c r="M2472" s="12"/>
      <c r="N2472" s="12"/>
      <c r="O2472" s="12"/>
      <c r="P2472" s="12"/>
      <c r="Q2472" s="12"/>
      <c r="R2472" s="12"/>
      <c r="S2472" s="12"/>
      <c r="T2472" s="12"/>
      <c r="U2472" s="12"/>
      <c r="V2472" s="12"/>
      <c r="W2472" s="12"/>
      <c r="X2472" s="12"/>
      <c r="Y2472" s="12"/>
      <c r="Z2472" s="12"/>
      <c r="AA2472" s="12"/>
    </row>
    <row r="2473" ht="26.25" customHeight="1">
      <c r="A2473" s="28" t="s">
        <v>4956</v>
      </c>
      <c r="B2473" s="29" t="s">
        <v>4957</v>
      </c>
      <c r="C2473" s="30">
        <v>3.0</v>
      </c>
      <c r="D2473" s="31">
        <v>168.0</v>
      </c>
      <c r="E2473" s="31">
        <v>3.0</v>
      </c>
      <c r="F2473" s="32" t="str">
        <f t="array" ref="F2473">"https://www.google.com/maps/search/?api=1&amp;query=" &amp; A2473 &amp; "," &amp; B2473</f>
        <v>https://www.google.com/maps/search/?api=1&amp;query=-30.89591760768850,-55.54742264735790</v>
      </c>
      <c r="G2473" s="33" t="str">
        <f t="array" ref="G2473">"https://earth.google.com/web/search/" &amp; A2473 &amp; "," &amp; B2473</f>
        <v>https://earth.google.com/web/search/-30.89591760768850,-55.54742264735790</v>
      </c>
      <c r="H2473" s="12"/>
      <c r="I2473" s="12"/>
      <c r="J2473" s="12"/>
      <c r="K2473" s="12"/>
      <c r="L2473" s="12"/>
      <c r="M2473" s="12"/>
      <c r="N2473" s="12"/>
      <c r="O2473" s="12"/>
      <c r="P2473" s="12"/>
      <c r="Q2473" s="12"/>
      <c r="R2473" s="12"/>
      <c r="S2473" s="12"/>
      <c r="T2473" s="12"/>
      <c r="U2473" s="12"/>
      <c r="V2473" s="12"/>
      <c r="W2473" s="12"/>
      <c r="X2473" s="12"/>
      <c r="Y2473" s="12"/>
      <c r="Z2473" s="12"/>
      <c r="AA2473" s="12"/>
    </row>
    <row r="2474" ht="26.25" customHeight="1">
      <c r="A2474" s="34" t="s">
        <v>4958</v>
      </c>
      <c r="B2474" s="35" t="s">
        <v>4959</v>
      </c>
      <c r="C2474" s="36">
        <v>3.0</v>
      </c>
      <c r="D2474" s="37">
        <v>168.0</v>
      </c>
      <c r="E2474" s="37">
        <v>4.0</v>
      </c>
      <c r="F2474" s="24" t="str">
        <f t="array" ref="F2474">"https://www.google.com/maps/search/?api=1&amp;query=" &amp; A2474 &amp; "," &amp; B2474</f>
        <v>https://www.google.com/maps/search/?api=1&amp;query=-30.89550810167360,-55.54685273495420</v>
      </c>
      <c r="G2474" s="25" t="str">
        <f t="array" ref="G2474">"https://earth.google.com/web/search/" &amp; A2474 &amp; "," &amp; B2474</f>
        <v>https://earth.google.com/web/search/-30.89550810167360,-55.54685273495420</v>
      </c>
      <c r="H2474" s="12"/>
      <c r="I2474" s="12"/>
      <c r="J2474" s="12"/>
      <c r="K2474" s="12"/>
      <c r="L2474" s="12"/>
      <c r="M2474" s="12"/>
      <c r="N2474" s="12"/>
      <c r="O2474" s="12"/>
      <c r="P2474" s="12"/>
      <c r="Q2474" s="12"/>
      <c r="R2474" s="12"/>
      <c r="S2474" s="12"/>
      <c r="T2474" s="12"/>
      <c r="U2474" s="12"/>
      <c r="V2474" s="12"/>
      <c r="W2474" s="12"/>
      <c r="X2474" s="12"/>
      <c r="Y2474" s="12"/>
      <c r="Z2474" s="12"/>
      <c r="AA2474" s="12"/>
    </row>
    <row r="2475" ht="26.25" customHeight="1">
      <c r="A2475" s="28" t="s">
        <v>4960</v>
      </c>
      <c r="B2475" s="29" t="s">
        <v>4961</v>
      </c>
      <c r="C2475" s="30">
        <v>3.0</v>
      </c>
      <c r="D2475" s="31">
        <v>168.0</v>
      </c>
      <c r="E2475" s="31">
        <v>5.0</v>
      </c>
      <c r="F2475" s="32" t="str">
        <f t="array" ref="F2475">"https://www.google.com/maps/search/?api=1&amp;query=" &amp; A2475 &amp; "," &amp; B2475</f>
        <v>https://www.google.com/maps/search/?api=1&amp;query=-30.89541105773240,-0.55546800420786</v>
      </c>
      <c r="G2475" s="33" t="str">
        <f t="array" ref="G2475">"https://earth.google.com/web/search/" &amp; A2475 &amp; "," &amp; B2475</f>
        <v>https://earth.google.com/web/search/-30.89541105773240,-0.55546800420786</v>
      </c>
      <c r="H2475" s="12"/>
      <c r="I2475" s="12"/>
      <c r="J2475" s="12"/>
      <c r="K2475" s="12"/>
      <c r="L2475" s="12"/>
      <c r="M2475" s="12"/>
      <c r="N2475" s="12"/>
      <c r="O2475" s="12"/>
      <c r="P2475" s="12"/>
      <c r="Q2475" s="12"/>
      <c r="R2475" s="12"/>
      <c r="S2475" s="12"/>
      <c r="T2475" s="12"/>
      <c r="U2475" s="12"/>
      <c r="V2475" s="12"/>
      <c r="W2475" s="12"/>
      <c r="X2475" s="12"/>
      <c r="Y2475" s="12"/>
      <c r="Z2475" s="12"/>
      <c r="AA2475" s="12"/>
    </row>
    <row r="2476" ht="26.25" customHeight="1">
      <c r="A2476" s="34" t="s">
        <v>4962</v>
      </c>
      <c r="B2476" s="35" t="s">
        <v>4963</v>
      </c>
      <c r="C2476" s="36">
        <v>3.0</v>
      </c>
      <c r="D2476" s="37">
        <v>168.0</v>
      </c>
      <c r="E2476" s="37">
        <v>6.0</v>
      </c>
      <c r="F2476" s="24" t="str">
        <f t="array" ref="F2476">"https://www.google.com/maps/search/?api=1&amp;query=" &amp; A2476 &amp; "," &amp; B2476</f>
        <v>https://www.google.com/maps/search/?api=1&amp;query=-30.89514673720480,-55.54699907763990</v>
      </c>
      <c r="G2476" s="25" t="str">
        <f t="array" ref="G2476">"https://earth.google.com/web/search/" &amp; A2476 &amp; "," &amp; B2476</f>
        <v>https://earth.google.com/web/search/-30.89514673720480,-55.54699907763990</v>
      </c>
      <c r="H2476" s="12"/>
      <c r="I2476" s="12"/>
      <c r="J2476" s="12"/>
      <c r="K2476" s="12"/>
      <c r="L2476" s="12"/>
      <c r="M2476" s="12"/>
      <c r="N2476" s="12"/>
      <c r="O2476" s="12"/>
      <c r="P2476" s="12"/>
      <c r="Q2476" s="12"/>
      <c r="R2476" s="12"/>
      <c r="S2476" s="12"/>
      <c r="T2476" s="12"/>
      <c r="U2476" s="12"/>
      <c r="V2476" s="12"/>
      <c r="W2476" s="12"/>
      <c r="X2476" s="12"/>
      <c r="Y2476" s="12"/>
      <c r="Z2476" s="12"/>
      <c r="AA2476" s="12"/>
    </row>
    <row r="2477" ht="26.25" customHeight="1">
      <c r="A2477" s="28" t="s">
        <v>4964</v>
      </c>
      <c r="B2477" s="29" t="s">
        <v>4965</v>
      </c>
      <c r="C2477" s="30">
        <v>3.0</v>
      </c>
      <c r="D2477" s="31">
        <v>168.0</v>
      </c>
      <c r="E2477" s="31">
        <v>7.0</v>
      </c>
      <c r="F2477" s="32" t="str">
        <f t="array" ref="F2477">"https://www.google.com/maps/search/?api=1&amp;query=" &amp; A2477 &amp; "," &amp; B2477</f>
        <v>https://www.google.com/maps/search/?api=1&amp;query=-30.89498414491790,-55.54728738965890</v>
      </c>
      <c r="G2477" s="33" t="str">
        <f t="array" ref="G2477">"https://earth.google.com/web/search/" &amp; A2477 &amp; "," &amp; B2477</f>
        <v>https://earth.google.com/web/search/-30.89498414491790,-55.54728738965890</v>
      </c>
      <c r="H2477" s="12"/>
      <c r="I2477" s="12"/>
      <c r="J2477" s="12"/>
      <c r="K2477" s="12"/>
      <c r="L2477" s="12"/>
      <c r="M2477" s="12"/>
      <c r="N2477" s="12"/>
      <c r="O2477" s="12"/>
      <c r="P2477" s="12"/>
      <c r="Q2477" s="12"/>
      <c r="R2477" s="12"/>
      <c r="S2477" s="12"/>
      <c r="T2477" s="12"/>
      <c r="U2477" s="12"/>
      <c r="V2477" s="12"/>
      <c r="W2477" s="12"/>
      <c r="X2477" s="12"/>
      <c r="Y2477" s="12"/>
      <c r="Z2477" s="12"/>
      <c r="AA2477" s="12"/>
    </row>
    <row r="2478" ht="26.25" customHeight="1">
      <c r="A2478" s="34" t="s">
        <v>4966</v>
      </c>
      <c r="B2478" s="35" t="s">
        <v>4967</v>
      </c>
      <c r="C2478" s="36">
        <v>3.0</v>
      </c>
      <c r="D2478" s="37">
        <v>168.0</v>
      </c>
      <c r="E2478" s="37">
        <v>8.0</v>
      </c>
      <c r="F2478" s="24" t="str">
        <f t="array" ref="F2478">"https://www.google.com/maps/search/?api=1&amp;query=" &amp; A2478 &amp; "," &amp; B2478</f>
        <v>https://www.google.com/maps/search/?api=1&amp;query=-30.89487566450040,-55.54750173165860</v>
      </c>
      <c r="G2478" s="25" t="str">
        <f t="array" ref="G2478">"https://earth.google.com/web/search/" &amp; A2478 &amp; "," &amp; B2478</f>
        <v>https://earth.google.com/web/search/-30.89487566450040,-55.54750173165860</v>
      </c>
      <c r="H2478" s="12"/>
      <c r="I2478" s="12"/>
      <c r="J2478" s="12"/>
      <c r="K2478" s="12"/>
      <c r="L2478" s="12"/>
      <c r="M2478" s="12"/>
      <c r="N2478" s="12"/>
      <c r="O2478" s="12"/>
      <c r="P2478" s="12"/>
      <c r="Q2478" s="12"/>
      <c r="R2478" s="12"/>
      <c r="S2478" s="12"/>
      <c r="T2478" s="12"/>
      <c r="U2478" s="12"/>
      <c r="V2478" s="12"/>
      <c r="W2478" s="12"/>
      <c r="X2478" s="12"/>
      <c r="Y2478" s="12"/>
      <c r="Z2478" s="12"/>
      <c r="AA2478" s="12"/>
    </row>
    <row r="2479" ht="26.25" customHeight="1">
      <c r="A2479" s="28" t="s">
        <v>4968</v>
      </c>
      <c r="B2479" s="29" t="s">
        <v>4969</v>
      </c>
      <c r="C2479" s="30">
        <v>3.0</v>
      </c>
      <c r="D2479" s="31">
        <v>168.0</v>
      </c>
      <c r="E2479" s="31">
        <v>9.0</v>
      </c>
      <c r="F2479" s="32" t="str">
        <f t="array" ref="F2479">"https://www.google.com/maps/search/?api=1&amp;query=" &amp; A2479 &amp; "," &amp; B2479</f>
        <v>https://www.google.com/maps/search/?api=1&amp;query=-30.89504571691240,-55.54765608500090</v>
      </c>
      <c r="G2479" s="33" t="str">
        <f t="array" ref="G2479">"https://earth.google.com/web/search/" &amp; A2479 &amp; "," &amp; B2479</f>
        <v>https://earth.google.com/web/search/-30.89504571691240,-55.54765608500090</v>
      </c>
      <c r="H2479" s="12"/>
      <c r="I2479" s="12"/>
      <c r="J2479" s="12"/>
      <c r="K2479" s="12"/>
      <c r="L2479" s="12"/>
      <c r="M2479" s="12"/>
      <c r="N2479" s="12"/>
      <c r="O2479" s="12"/>
      <c r="P2479" s="12"/>
      <c r="Q2479" s="12"/>
      <c r="R2479" s="12"/>
      <c r="S2479" s="12"/>
      <c r="T2479" s="12"/>
      <c r="U2479" s="12"/>
      <c r="V2479" s="12"/>
      <c r="W2479" s="12"/>
      <c r="X2479" s="12"/>
      <c r="Y2479" s="12"/>
      <c r="Z2479" s="12"/>
      <c r="AA2479" s="12"/>
    </row>
    <row r="2480" ht="26.25" customHeight="1">
      <c r="A2480" s="34" t="s">
        <v>4970</v>
      </c>
      <c r="B2480" s="35" t="s">
        <v>4971</v>
      </c>
      <c r="C2480" s="36">
        <v>3.0</v>
      </c>
      <c r="D2480" s="37">
        <v>169.0</v>
      </c>
      <c r="E2480" s="37">
        <v>1.0</v>
      </c>
      <c r="F2480" s="24" t="str">
        <f t="array" ref="F2480">"https://www.google.com/maps/search/?api=1&amp;query=" &amp; A2480 &amp; "," &amp; B2480</f>
        <v>https://www.google.com/maps/search/?api=1&amp;query=-3.08961221641367,-5.55470092715158</v>
      </c>
      <c r="G2480" s="25" t="str">
        <f t="array" ref="G2480">"https://earth.google.com/web/search/" &amp; A2480 &amp; "," &amp; B2480</f>
        <v>https://earth.google.com/web/search/-3.08961221641367,-5.55470092715158</v>
      </c>
      <c r="H2480" s="12"/>
      <c r="I2480" s="12"/>
      <c r="J2480" s="12"/>
      <c r="K2480" s="12"/>
      <c r="L2480" s="12"/>
      <c r="M2480" s="12"/>
      <c r="N2480" s="12"/>
      <c r="O2480" s="12"/>
      <c r="P2480" s="12"/>
      <c r="Q2480" s="12"/>
      <c r="R2480" s="12"/>
      <c r="S2480" s="12"/>
      <c r="T2480" s="12"/>
      <c r="U2480" s="12"/>
      <c r="V2480" s="12"/>
      <c r="W2480" s="12"/>
      <c r="X2480" s="12"/>
      <c r="Y2480" s="12"/>
      <c r="Z2480" s="12"/>
      <c r="AA2480" s="12"/>
    </row>
    <row r="2481" ht="26.25" customHeight="1">
      <c r="A2481" s="28" t="s">
        <v>4972</v>
      </c>
      <c r="B2481" s="29" t="s">
        <v>4973</v>
      </c>
      <c r="C2481" s="30">
        <v>3.0</v>
      </c>
      <c r="D2481" s="31">
        <v>169.0</v>
      </c>
      <c r="E2481" s="31">
        <v>2.0</v>
      </c>
      <c r="F2481" s="32" t="str">
        <f t="array" ref="F2481">"https://www.google.com/maps/search/?api=1&amp;query=" &amp; A2481 &amp; "," &amp; B2481</f>
        <v>https://www.google.com/maps/search/?api=1&amp;query=-30.89628119113240,-55.54669369395640</v>
      </c>
      <c r="G2481" s="33" t="str">
        <f t="array" ref="G2481">"https://earth.google.com/web/search/" &amp; A2481 &amp; "," &amp; B2481</f>
        <v>https://earth.google.com/web/search/-30.89628119113240,-55.54669369395640</v>
      </c>
      <c r="H2481" s="12"/>
      <c r="I2481" s="12"/>
      <c r="J2481" s="12"/>
      <c r="K2481" s="12"/>
      <c r="L2481" s="12"/>
      <c r="M2481" s="12"/>
      <c r="N2481" s="12"/>
      <c r="O2481" s="12"/>
      <c r="P2481" s="12"/>
      <c r="Q2481" s="12"/>
      <c r="R2481" s="12"/>
      <c r="S2481" s="12"/>
      <c r="T2481" s="12"/>
      <c r="U2481" s="12"/>
      <c r="V2481" s="12"/>
      <c r="W2481" s="12"/>
      <c r="X2481" s="12"/>
      <c r="Y2481" s="12"/>
      <c r="Z2481" s="12"/>
      <c r="AA2481" s="12"/>
    </row>
    <row r="2482" ht="26.25" customHeight="1">
      <c r="A2482" s="34" t="s">
        <v>4974</v>
      </c>
      <c r="B2482" s="35" t="s">
        <v>4975</v>
      </c>
      <c r="C2482" s="36">
        <v>3.0</v>
      </c>
      <c r="D2482" s="37">
        <v>169.0</v>
      </c>
      <c r="E2482" s="37">
        <v>3.0</v>
      </c>
      <c r="F2482" s="24" t="str">
        <f t="array" ref="F2482">"https://www.google.com/maps/search/?api=1&amp;query=" &amp; A2482 &amp; "," &amp; B2482</f>
        <v>https://www.google.com/maps/search/?api=1&amp;query=-30.89635214873740,-5.55465314341753</v>
      </c>
      <c r="G2482" s="25" t="str">
        <f t="array" ref="G2482">"https://earth.google.com/web/search/" &amp; A2482 &amp; "," &amp; B2482</f>
        <v>https://earth.google.com/web/search/-30.89635214873740,-5.55465314341753</v>
      </c>
      <c r="H2482" s="12"/>
      <c r="I2482" s="12"/>
      <c r="J2482" s="12"/>
      <c r="K2482" s="12"/>
      <c r="L2482" s="12"/>
      <c r="M2482" s="12"/>
      <c r="N2482" s="12"/>
      <c r="O2482" s="12"/>
      <c r="P2482" s="12"/>
      <c r="Q2482" s="12"/>
      <c r="R2482" s="12"/>
      <c r="S2482" s="12"/>
      <c r="T2482" s="12"/>
      <c r="U2482" s="12"/>
      <c r="V2482" s="12"/>
      <c r="W2482" s="12"/>
      <c r="X2482" s="12"/>
      <c r="Y2482" s="12"/>
      <c r="Z2482" s="12"/>
      <c r="AA2482" s="12"/>
    </row>
    <row r="2483" ht="26.25" customHeight="1">
      <c r="A2483" s="28" t="s">
        <v>4976</v>
      </c>
      <c r="B2483" s="29" t="s">
        <v>4977</v>
      </c>
      <c r="C2483" s="30">
        <v>3.0</v>
      </c>
      <c r="D2483" s="31">
        <v>169.0</v>
      </c>
      <c r="E2483" s="31">
        <v>4.0</v>
      </c>
      <c r="F2483" s="32" t="str">
        <f t="array" ref="F2483">"https://www.google.com/maps/search/?api=1&amp;query=" &amp; A2483 &amp; "," &amp; B2483</f>
        <v>https://www.google.com/maps/search/?api=1&amp;query=-30.89639646986180,-55.54643594828520</v>
      </c>
      <c r="G2483" s="33" t="str">
        <f t="array" ref="G2483">"https://earth.google.com/web/search/" &amp; A2483 &amp; "," &amp; B2483</f>
        <v>https://earth.google.com/web/search/-30.89639646986180,-55.54643594828520</v>
      </c>
      <c r="H2483" s="12"/>
      <c r="I2483" s="12"/>
      <c r="J2483" s="12"/>
      <c r="K2483" s="12"/>
      <c r="L2483" s="12"/>
      <c r="M2483" s="12"/>
      <c r="N2483" s="12"/>
      <c r="O2483" s="12"/>
      <c r="P2483" s="12"/>
      <c r="Q2483" s="12"/>
      <c r="R2483" s="12"/>
      <c r="S2483" s="12"/>
      <c r="T2483" s="12"/>
      <c r="U2483" s="12"/>
      <c r="V2483" s="12"/>
      <c r="W2483" s="12"/>
      <c r="X2483" s="12"/>
      <c r="Y2483" s="12"/>
      <c r="Z2483" s="12"/>
      <c r="AA2483" s="12"/>
    </row>
    <row r="2484" ht="26.25" customHeight="1">
      <c r="A2484" s="34" t="s">
        <v>4978</v>
      </c>
      <c r="B2484" s="35" t="s">
        <v>4979</v>
      </c>
      <c r="C2484" s="36">
        <v>3.0</v>
      </c>
      <c r="D2484" s="37">
        <v>169.0</v>
      </c>
      <c r="E2484" s="37">
        <v>5.0</v>
      </c>
      <c r="F2484" s="24" t="str">
        <f t="array" ref="F2484">"https://www.google.com/maps/search/?api=1&amp;query=" &amp; A2484 &amp; "," &amp; B2484</f>
        <v>https://www.google.com/maps/search/?api=1&amp;query=-30.89644320577380,-55.54633582846210</v>
      </c>
      <c r="G2484" s="25" t="str">
        <f t="array" ref="G2484">"https://earth.google.com/web/search/" &amp; A2484 &amp; "," &amp; B2484</f>
        <v>https://earth.google.com/web/search/-30.89644320577380,-55.54633582846210</v>
      </c>
      <c r="H2484" s="12"/>
      <c r="I2484" s="12"/>
      <c r="J2484" s="12"/>
      <c r="K2484" s="12"/>
      <c r="L2484" s="12"/>
      <c r="M2484" s="12"/>
      <c r="N2484" s="12"/>
      <c r="O2484" s="12"/>
      <c r="P2484" s="12"/>
      <c r="Q2484" s="12"/>
      <c r="R2484" s="12"/>
      <c r="S2484" s="12"/>
      <c r="T2484" s="12"/>
      <c r="U2484" s="12"/>
      <c r="V2484" s="12"/>
      <c r="W2484" s="12"/>
      <c r="X2484" s="12"/>
      <c r="Y2484" s="12"/>
      <c r="Z2484" s="12"/>
      <c r="AA2484" s="12"/>
    </row>
    <row r="2485" ht="26.25" customHeight="1">
      <c r="A2485" s="28" t="s">
        <v>4980</v>
      </c>
      <c r="B2485" s="29" t="s">
        <v>4981</v>
      </c>
      <c r="C2485" s="30">
        <v>3.0</v>
      </c>
      <c r="D2485" s="31">
        <v>169.0</v>
      </c>
      <c r="E2485" s="31">
        <v>6.0</v>
      </c>
      <c r="F2485" s="32" t="str">
        <f t="array" ref="F2485">"https://www.google.com/maps/search/?api=1&amp;query=" &amp; A2485 &amp; "," &amp; B2485</f>
        <v>https://www.google.com/maps/search/?api=1&amp;query=-30.89642732158980,-55.54623233974340</v>
      </c>
      <c r="G2485" s="33" t="str">
        <f t="array" ref="G2485">"https://earth.google.com/web/search/" &amp; A2485 &amp; "," &amp; B2485</f>
        <v>https://earth.google.com/web/search/-30.89642732158980,-55.54623233974340</v>
      </c>
      <c r="H2485" s="12"/>
      <c r="I2485" s="12"/>
      <c r="J2485" s="12"/>
      <c r="K2485" s="12"/>
      <c r="L2485" s="12"/>
      <c r="M2485" s="12"/>
      <c r="N2485" s="12"/>
      <c r="O2485" s="12"/>
      <c r="P2485" s="12"/>
      <c r="Q2485" s="12"/>
      <c r="R2485" s="12"/>
      <c r="S2485" s="12"/>
      <c r="T2485" s="12"/>
      <c r="U2485" s="12"/>
      <c r="V2485" s="12"/>
      <c r="W2485" s="12"/>
      <c r="X2485" s="12"/>
      <c r="Y2485" s="12"/>
      <c r="Z2485" s="12"/>
      <c r="AA2485" s="12"/>
    </row>
    <row r="2486" ht="26.25" customHeight="1">
      <c r="A2486" s="34" t="s">
        <v>4982</v>
      </c>
      <c r="B2486" s="35" t="s">
        <v>4983</v>
      </c>
      <c r="C2486" s="36">
        <v>3.0</v>
      </c>
      <c r="D2486" s="37">
        <v>169.0</v>
      </c>
      <c r="E2486" s="37">
        <v>7.0</v>
      </c>
      <c r="F2486" s="24" t="str">
        <f t="array" ref="F2486">"https://www.google.com/maps/search/?api=1&amp;query=" &amp; A2486 &amp; "," &amp; B2486</f>
        <v>https://www.google.com/maps/search/?api=1&amp;query=-30.89614870932930,-55.54604816293410</v>
      </c>
      <c r="G2486" s="25" t="str">
        <f t="array" ref="G2486">"https://earth.google.com/web/search/" &amp; A2486 &amp; "," &amp; B2486</f>
        <v>https://earth.google.com/web/search/-30.89614870932930,-55.54604816293410</v>
      </c>
      <c r="H2486" s="12"/>
      <c r="I2486" s="12"/>
      <c r="J2486" s="12"/>
      <c r="K2486" s="12"/>
      <c r="L2486" s="12"/>
      <c r="M2486" s="12"/>
      <c r="N2486" s="12"/>
      <c r="O2486" s="12"/>
      <c r="P2486" s="12"/>
      <c r="Q2486" s="12"/>
      <c r="R2486" s="12"/>
      <c r="S2486" s="12"/>
      <c r="T2486" s="12"/>
      <c r="U2486" s="12"/>
      <c r="V2486" s="12"/>
      <c r="W2486" s="12"/>
      <c r="X2486" s="12"/>
      <c r="Y2486" s="12"/>
      <c r="Z2486" s="12"/>
      <c r="AA2486" s="12"/>
    </row>
    <row r="2487" ht="26.25" customHeight="1">
      <c r="A2487" s="28" t="s">
        <v>4984</v>
      </c>
      <c r="B2487" s="29" t="s">
        <v>4985</v>
      </c>
      <c r="C2487" s="30">
        <v>3.0</v>
      </c>
      <c r="D2487" s="31">
        <v>169.0</v>
      </c>
      <c r="E2487" s="31">
        <v>8.0</v>
      </c>
      <c r="F2487" s="32" t="str">
        <f t="array" ref="F2487">"https://www.google.com/maps/search/?api=1&amp;query=" &amp; A2487 &amp; "," &amp; B2487</f>
        <v>https://www.google.com/maps/search/?api=1&amp;query=-30.89608419696720,-55.54599838597370</v>
      </c>
      <c r="G2487" s="33" t="str">
        <f t="array" ref="G2487">"https://earth.google.com/web/search/" &amp; A2487 &amp; "," &amp; B2487</f>
        <v>https://earth.google.com/web/search/-30.89608419696720,-55.54599838597370</v>
      </c>
      <c r="H2487" s="12"/>
      <c r="I2487" s="12"/>
      <c r="J2487" s="12"/>
      <c r="K2487" s="12"/>
      <c r="L2487" s="12"/>
      <c r="M2487" s="12"/>
      <c r="N2487" s="12"/>
      <c r="O2487" s="12"/>
      <c r="P2487" s="12"/>
      <c r="Q2487" s="12"/>
      <c r="R2487" s="12"/>
      <c r="S2487" s="12"/>
      <c r="T2487" s="12"/>
      <c r="U2487" s="12"/>
      <c r="V2487" s="12"/>
      <c r="W2487" s="12"/>
      <c r="X2487" s="12"/>
      <c r="Y2487" s="12"/>
      <c r="Z2487" s="12"/>
      <c r="AA2487" s="12"/>
    </row>
    <row r="2488" ht="26.25" customHeight="1">
      <c r="A2488" s="34" t="s">
        <v>4986</v>
      </c>
      <c r="B2488" s="35" t="s">
        <v>4987</v>
      </c>
      <c r="C2488" s="36">
        <v>3.0</v>
      </c>
      <c r="D2488" s="37">
        <v>169.0</v>
      </c>
      <c r="E2488" s="37">
        <v>9.0</v>
      </c>
      <c r="F2488" s="24" t="str">
        <f t="array" ref="F2488">"https://www.google.com/maps/search/?api=1&amp;query=" &amp; A2488 &amp; "," &amp; B2488</f>
        <v>https://www.google.com/maps/search/?api=1&amp;query=-3.08954899078364,-55.54632447022150</v>
      </c>
      <c r="G2488" s="25" t="str">
        <f t="array" ref="G2488">"https://earth.google.com/web/search/" &amp; A2488 &amp; "," &amp; B2488</f>
        <v>https://earth.google.com/web/search/-3.08954899078364,-55.54632447022150</v>
      </c>
      <c r="H2488" s="12"/>
      <c r="I2488" s="12"/>
      <c r="J2488" s="12"/>
      <c r="K2488" s="12"/>
      <c r="L2488" s="12"/>
      <c r="M2488" s="12"/>
      <c r="N2488" s="12"/>
      <c r="O2488" s="12"/>
      <c r="P2488" s="12"/>
      <c r="Q2488" s="12"/>
      <c r="R2488" s="12"/>
      <c r="S2488" s="12"/>
      <c r="T2488" s="12"/>
      <c r="U2488" s="12"/>
      <c r="V2488" s="12"/>
      <c r="W2488" s="12"/>
      <c r="X2488" s="12"/>
      <c r="Y2488" s="12"/>
      <c r="Z2488" s="12"/>
      <c r="AA2488" s="12"/>
    </row>
    <row r="2489" ht="26.25" customHeight="1">
      <c r="A2489" s="28" t="s">
        <v>4988</v>
      </c>
      <c r="B2489" s="29" t="s">
        <v>4989</v>
      </c>
      <c r="C2489" s="30">
        <v>3.0</v>
      </c>
      <c r="D2489" s="31">
        <v>169.0</v>
      </c>
      <c r="E2489" s="31">
        <v>10.0</v>
      </c>
      <c r="F2489" s="32" t="str">
        <f t="array" ref="F2489">"https://www.google.com/maps/search/?api=1&amp;query=" &amp; A2489 &amp; "," &amp; B2489</f>
        <v>https://www.google.com/maps/search/?api=1&amp;query=-30.89555176325860,-55.54676895970100</v>
      </c>
      <c r="G2489" s="33" t="str">
        <f t="array" ref="G2489">"https://earth.google.com/web/search/" &amp; A2489 &amp; "," &amp; B2489</f>
        <v>https://earth.google.com/web/search/-30.89555176325860,-55.54676895970100</v>
      </c>
      <c r="H2489" s="12"/>
      <c r="I2489" s="12"/>
      <c r="J2489" s="12"/>
      <c r="K2489" s="12"/>
      <c r="L2489" s="12"/>
      <c r="M2489" s="12"/>
      <c r="N2489" s="12"/>
      <c r="O2489" s="12"/>
      <c r="P2489" s="12"/>
      <c r="Q2489" s="12"/>
      <c r="R2489" s="12"/>
      <c r="S2489" s="12"/>
      <c r="T2489" s="12"/>
      <c r="U2489" s="12"/>
      <c r="V2489" s="12"/>
      <c r="W2489" s="12"/>
      <c r="X2489" s="12"/>
      <c r="Y2489" s="12"/>
      <c r="Z2489" s="12"/>
      <c r="AA2489" s="12"/>
    </row>
    <row r="2490" ht="26.25" customHeight="1">
      <c r="A2490" s="34" t="s">
        <v>4990</v>
      </c>
      <c r="B2490" s="35" t="s">
        <v>4991</v>
      </c>
      <c r="C2490" s="36">
        <v>3.0</v>
      </c>
      <c r="D2490" s="37">
        <v>169.0</v>
      </c>
      <c r="E2490" s="37">
        <v>11.0</v>
      </c>
      <c r="F2490" s="24" t="str">
        <f t="array" ref="F2490">"https://www.google.com/maps/search/?api=1&amp;query=" &amp; A2490 &amp; "," &amp; B2490</f>
        <v>https://www.google.com/maps/search/?api=1&amp;query=-30.89566091296760,-55.54687253355460</v>
      </c>
      <c r="G2490" s="25" t="str">
        <f t="array" ref="G2490">"https://earth.google.com/web/search/" &amp; A2490 &amp; "," &amp; B2490</f>
        <v>https://earth.google.com/web/search/-30.89566091296760,-55.54687253355460</v>
      </c>
      <c r="H2490" s="12"/>
      <c r="I2490" s="12"/>
      <c r="J2490" s="12"/>
      <c r="K2490" s="12"/>
      <c r="L2490" s="12"/>
      <c r="M2490" s="12"/>
      <c r="N2490" s="12"/>
      <c r="O2490" s="12"/>
      <c r="P2490" s="12"/>
      <c r="Q2490" s="12"/>
      <c r="R2490" s="12"/>
      <c r="S2490" s="12"/>
      <c r="T2490" s="12"/>
      <c r="U2490" s="12"/>
      <c r="V2490" s="12"/>
      <c r="W2490" s="12"/>
      <c r="X2490" s="12"/>
      <c r="Y2490" s="12"/>
      <c r="Z2490" s="12"/>
      <c r="AA2490" s="12"/>
    </row>
    <row r="2491" ht="26.25" customHeight="1">
      <c r="A2491" s="28" t="s">
        <v>4992</v>
      </c>
      <c r="B2491" s="29" t="s">
        <v>4993</v>
      </c>
      <c r="C2491" s="30">
        <v>3.0</v>
      </c>
      <c r="D2491" s="31">
        <v>169.0</v>
      </c>
      <c r="E2491" s="31">
        <v>12.0</v>
      </c>
      <c r="F2491" s="32" t="str">
        <f t="array" ref="F2491">"https://www.google.com/maps/search/?api=1&amp;query=" &amp; A2491 &amp; "," &amp; B2491</f>
        <v>https://www.google.com/maps/search/?api=1&amp;query=-3.08957953516865,-55.54692812863510</v>
      </c>
      <c r="G2491" s="33" t="str">
        <f t="array" ref="G2491">"https://earth.google.com/web/search/" &amp; A2491 &amp; "," &amp; B2491</f>
        <v>https://earth.google.com/web/search/-3.08957953516865,-55.54692812863510</v>
      </c>
      <c r="H2491" s="12"/>
      <c r="I2491" s="12"/>
      <c r="J2491" s="12"/>
      <c r="K2491" s="12"/>
      <c r="L2491" s="12"/>
      <c r="M2491" s="12"/>
      <c r="N2491" s="12"/>
      <c r="O2491" s="12"/>
      <c r="P2491" s="12"/>
      <c r="Q2491" s="12"/>
      <c r="R2491" s="12"/>
      <c r="S2491" s="12"/>
      <c r="T2491" s="12"/>
      <c r="U2491" s="12"/>
      <c r="V2491" s="12"/>
      <c r="W2491" s="12"/>
      <c r="X2491" s="12"/>
      <c r="Y2491" s="12"/>
      <c r="Z2491" s="12"/>
      <c r="AA2491" s="12"/>
    </row>
    <row r="2492" ht="26.25" customHeight="1">
      <c r="A2492" s="34" t="s">
        <v>4994</v>
      </c>
      <c r="B2492" s="35" t="s">
        <v>4995</v>
      </c>
      <c r="C2492" s="36">
        <v>3.0</v>
      </c>
      <c r="D2492" s="37">
        <v>169.0</v>
      </c>
      <c r="E2492" s="37">
        <v>13.0</v>
      </c>
      <c r="F2492" s="24" t="str">
        <f t="array" ref="F2492">"https://www.google.com/maps/search/?api=1&amp;query=" &amp; A2492 &amp; "," &amp; B2492</f>
        <v>https://www.google.com/maps/search/?api=1&amp;query=-30.89585890487330,-55.54697456800190</v>
      </c>
      <c r="G2492" s="25" t="str">
        <f t="array" ref="G2492">"https://earth.google.com/web/search/" &amp; A2492 &amp; "," &amp; B2492</f>
        <v>https://earth.google.com/web/search/-30.89585890487330,-55.54697456800190</v>
      </c>
      <c r="H2492" s="12"/>
      <c r="I2492" s="12"/>
      <c r="J2492" s="12"/>
      <c r="K2492" s="12"/>
      <c r="L2492" s="12"/>
      <c r="M2492" s="12"/>
      <c r="N2492" s="12"/>
      <c r="O2492" s="12"/>
      <c r="P2492" s="12"/>
      <c r="Q2492" s="12"/>
      <c r="R2492" s="12"/>
      <c r="S2492" s="12"/>
      <c r="T2492" s="12"/>
      <c r="U2492" s="12"/>
      <c r="V2492" s="12"/>
      <c r="W2492" s="12"/>
      <c r="X2492" s="12"/>
      <c r="Y2492" s="12"/>
      <c r="Z2492" s="12"/>
      <c r="AA2492" s="12"/>
    </row>
    <row r="2493" ht="26.25" customHeight="1">
      <c r="A2493" s="28" t="s">
        <v>4996</v>
      </c>
      <c r="B2493" s="29" t="s">
        <v>4997</v>
      </c>
      <c r="C2493" s="30">
        <v>3.0</v>
      </c>
      <c r="D2493" s="31">
        <v>169.0</v>
      </c>
      <c r="E2493" s="31">
        <v>14.0</v>
      </c>
      <c r="F2493" s="32" t="str">
        <f t="array" ref="F2493">"https://www.google.com/maps/search/?api=1&amp;query=" &amp; A2493 &amp; "," &amp; B2493</f>
        <v>https://www.google.com/maps/search/?api=1&amp;query=-30.89598417578810,-55.54705840063220</v>
      </c>
      <c r="G2493" s="33" t="str">
        <f t="array" ref="G2493">"https://earth.google.com/web/search/" &amp; A2493 &amp; "," &amp; B2493</f>
        <v>https://earth.google.com/web/search/-30.89598417578810,-55.54705840063220</v>
      </c>
      <c r="H2493" s="12"/>
      <c r="I2493" s="12"/>
      <c r="J2493" s="12"/>
      <c r="K2493" s="12"/>
      <c r="L2493" s="12"/>
      <c r="M2493" s="12"/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/>
    </row>
    <row r="2494" ht="26.25" customHeight="1">
      <c r="A2494" s="34" t="s">
        <v>4998</v>
      </c>
      <c r="B2494" s="35" t="s">
        <v>4999</v>
      </c>
      <c r="C2494" s="36">
        <v>3.0</v>
      </c>
      <c r="D2494" s="37">
        <v>170.0</v>
      </c>
      <c r="E2494" s="37">
        <v>1.0</v>
      </c>
      <c r="F2494" s="24" t="str">
        <f t="array" ref="F2494">"https://www.google.com/maps/search/?api=1&amp;query=" &amp; A2494 &amp; "," &amp; B2494</f>
        <v>https://www.google.com/maps/search/?api=1&amp;query=-30.89624851676300,-55.54599530465330</v>
      </c>
      <c r="G2494" s="25" t="str">
        <f t="array" ref="G2494">"https://earth.google.com/web/search/" &amp; A2494 &amp; "," &amp; B2494</f>
        <v>https://earth.google.com/web/search/-30.89624851676300,-55.54599530465330</v>
      </c>
      <c r="H2494" s="12"/>
      <c r="I2494" s="12"/>
      <c r="J2494" s="12"/>
      <c r="K2494" s="12"/>
      <c r="L2494" s="12"/>
      <c r="M2494" s="12"/>
      <c r="N2494" s="12"/>
      <c r="O2494" s="12"/>
      <c r="P2494" s="12"/>
      <c r="Q2494" s="12"/>
      <c r="R2494" s="12"/>
      <c r="S2494" s="12"/>
      <c r="T2494" s="12"/>
      <c r="U2494" s="12"/>
      <c r="V2494" s="12"/>
      <c r="W2494" s="12"/>
      <c r="X2494" s="12"/>
      <c r="Y2494" s="12"/>
      <c r="Z2494" s="12"/>
      <c r="AA2494" s="12"/>
    </row>
    <row r="2495" ht="26.25" customHeight="1">
      <c r="A2495" s="28" t="s">
        <v>5000</v>
      </c>
      <c r="B2495" s="29" t="s">
        <v>5001</v>
      </c>
      <c r="C2495" s="30">
        <v>3.0</v>
      </c>
      <c r="D2495" s="31">
        <v>170.0</v>
      </c>
      <c r="E2495" s="31">
        <v>2.0</v>
      </c>
      <c r="F2495" s="32" t="str">
        <f t="array" ref="F2495">"https://www.google.com/maps/search/?api=1&amp;query=" &amp; A2495 &amp; "," &amp; B2495</f>
        <v>https://www.google.com/maps/search/?api=1&amp;query=-30.89644140918610,-55.54614112683280</v>
      </c>
      <c r="G2495" s="33" t="str">
        <f t="array" ref="G2495">"https://earth.google.com/web/search/" &amp; A2495 &amp; "," &amp; B2495</f>
        <v>https://earth.google.com/web/search/-30.89644140918610,-55.54614112683280</v>
      </c>
      <c r="H2495" s="12"/>
      <c r="I2495" s="12"/>
      <c r="J2495" s="12"/>
      <c r="K2495" s="12"/>
      <c r="L2495" s="12"/>
      <c r="M2495" s="12"/>
      <c r="N2495" s="12"/>
      <c r="O2495" s="12"/>
      <c r="P2495" s="12"/>
      <c r="Q2495" s="12"/>
      <c r="R2495" s="12"/>
      <c r="S2495" s="12"/>
      <c r="T2495" s="12"/>
      <c r="U2495" s="12"/>
      <c r="V2495" s="12"/>
      <c r="W2495" s="12"/>
      <c r="X2495" s="12"/>
      <c r="Y2495" s="12"/>
      <c r="Z2495" s="12"/>
      <c r="AA2495" s="12"/>
    </row>
    <row r="2496" ht="26.25" customHeight="1">
      <c r="A2496" s="34" t="s">
        <v>5002</v>
      </c>
      <c r="B2496" s="35" t="s">
        <v>5003</v>
      </c>
      <c r="C2496" s="36">
        <v>3.0</v>
      </c>
      <c r="D2496" s="37">
        <v>170.0</v>
      </c>
      <c r="E2496" s="37">
        <v>3.0</v>
      </c>
      <c r="F2496" s="24" t="str">
        <f t="array" ref="F2496">"https://www.google.com/maps/search/?api=1&amp;query=" &amp; A2496 &amp; "," &amp; B2496</f>
        <v>https://www.google.com/maps/search/?api=1&amp;query=-3.08966497835882,-55.54596435828820</v>
      </c>
      <c r="G2496" s="25" t="str">
        <f t="array" ref="G2496">"https://earth.google.com/web/search/" &amp; A2496 &amp; "," &amp; B2496</f>
        <v>https://earth.google.com/web/search/-3.08966497835882,-55.54596435828820</v>
      </c>
      <c r="H2496" s="12"/>
      <c r="I2496" s="12"/>
      <c r="J2496" s="12"/>
      <c r="K2496" s="12"/>
      <c r="L2496" s="12"/>
      <c r="M2496" s="12"/>
      <c r="N2496" s="12"/>
      <c r="O2496" s="12"/>
      <c r="P2496" s="12"/>
      <c r="Q2496" s="12"/>
      <c r="R2496" s="12"/>
      <c r="S2496" s="12"/>
      <c r="T2496" s="12"/>
      <c r="U2496" s="12"/>
      <c r="V2496" s="12"/>
      <c r="W2496" s="12"/>
      <c r="X2496" s="12"/>
      <c r="Y2496" s="12"/>
      <c r="Z2496" s="12"/>
      <c r="AA2496" s="12"/>
    </row>
    <row r="2497" ht="26.25" customHeight="1">
      <c r="A2497" s="28" t="s">
        <v>5004</v>
      </c>
      <c r="B2497" s="29" t="s">
        <v>5005</v>
      </c>
      <c r="C2497" s="30">
        <v>3.0</v>
      </c>
      <c r="D2497" s="31">
        <v>170.0</v>
      </c>
      <c r="E2497" s="31">
        <v>4.0</v>
      </c>
      <c r="F2497" s="32" t="str">
        <f t="array" ref="F2497">"https://www.google.com/maps/search/?api=1&amp;query=" &amp; A2497 &amp; "," &amp; B2497</f>
        <v>https://www.google.com/maps/search/?api=1&amp;query=-30.89675928455380,-5.55452328516069</v>
      </c>
      <c r="G2497" s="33" t="str">
        <f t="array" ref="G2497">"https://earth.google.com/web/search/" &amp; A2497 &amp; "," &amp; B2497</f>
        <v>https://earth.google.com/web/search/-30.89675928455380,-5.55452328516069</v>
      </c>
      <c r="H2497" s="12"/>
      <c r="I2497" s="12"/>
      <c r="J2497" s="12"/>
      <c r="K2497" s="12"/>
      <c r="L2497" s="12"/>
      <c r="M2497" s="12"/>
      <c r="N2497" s="12"/>
      <c r="O2497" s="12"/>
      <c r="P2497" s="12"/>
      <c r="Q2497" s="12"/>
      <c r="R2497" s="12"/>
      <c r="S2497" s="12"/>
      <c r="T2497" s="12"/>
      <c r="U2497" s="12"/>
      <c r="V2497" s="12"/>
      <c r="W2497" s="12"/>
      <c r="X2497" s="12"/>
      <c r="Y2497" s="12"/>
      <c r="Z2497" s="12"/>
      <c r="AA2497" s="12"/>
    </row>
    <row r="2498" ht="26.25" customHeight="1">
      <c r="A2498" s="34" t="s">
        <v>5006</v>
      </c>
      <c r="B2498" s="35" t="s">
        <v>5007</v>
      </c>
      <c r="C2498" s="36">
        <v>3.0</v>
      </c>
      <c r="D2498" s="37">
        <v>170.0</v>
      </c>
      <c r="E2498" s="37">
        <v>5.0</v>
      </c>
      <c r="F2498" s="24" t="str">
        <f t="array" ref="F2498">"https://www.google.com/maps/search/?api=1&amp;query=" &amp; A2498 &amp; "," &amp; B2498</f>
        <v>https://www.google.com/maps/search/?api=1&amp;query=-30.89627849324250,-55.54496052628500</v>
      </c>
      <c r="G2498" s="25" t="str">
        <f t="array" ref="G2498">"https://earth.google.com/web/search/" &amp; A2498 &amp; "," &amp; B2498</f>
        <v>https://earth.google.com/web/search/-30.89627849324250,-55.54496052628500</v>
      </c>
      <c r="H2498" s="12"/>
      <c r="I2498" s="12"/>
      <c r="J2498" s="12"/>
      <c r="K2498" s="12"/>
      <c r="L2498" s="12"/>
      <c r="M2498" s="12"/>
      <c r="N2498" s="12"/>
      <c r="O2498" s="12"/>
      <c r="P2498" s="12"/>
      <c r="Q2498" s="12"/>
      <c r="R2498" s="12"/>
      <c r="S2498" s="12"/>
      <c r="T2498" s="12"/>
      <c r="U2498" s="12"/>
      <c r="V2498" s="12"/>
      <c r="W2498" s="12"/>
      <c r="X2498" s="12"/>
      <c r="Y2498" s="12"/>
      <c r="Z2498" s="12"/>
      <c r="AA2498" s="12"/>
    </row>
    <row r="2499" ht="26.25" customHeight="1">
      <c r="A2499" s="28" t="s">
        <v>5008</v>
      </c>
      <c r="B2499" s="29" t="s">
        <v>5009</v>
      </c>
      <c r="C2499" s="30">
        <v>3.0</v>
      </c>
      <c r="D2499" s="31">
        <v>170.0</v>
      </c>
      <c r="E2499" s="31">
        <v>6.0</v>
      </c>
      <c r="F2499" s="32" t="str">
        <f t="array" ref="F2499">"https://www.google.com/maps/search/?api=1&amp;query=" &amp; A2499 &amp; "," &amp; B2499</f>
        <v>https://www.google.com/maps/search/?api=1&amp;query=-30.89621388391430,-55.54503926946520</v>
      </c>
      <c r="G2499" s="33" t="str">
        <f t="array" ref="G2499">"https://earth.google.com/web/search/" &amp; A2499 &amp; "," &amp; B2499</f>
        <v>https://earth.google.com/web/search/-30.89621388391430,-55.54503926946520</v>
      </c>
      <c r="H2499" s="12"/>
      <c r="I2499" s="12"/>
      <c r="J2499" s="12"/>
      <c r="K2499" s="12"/>
      <c r="L2499" s="12"/>
      <c r="M2499" s="12"/>
      <c r="N2499" s="12"/>
      <c r="O2499" s="12"/>
      <c r="P2499" s="12"/>
      <c r="Q2499" s="12"/>
      <c r="R2499" s="12"/>
      <c r="S2499" s="12"/>
      <c r="T2499" s="12"/>
      <c r="U2499" s="12"/>
      <c r="V2499" s="12"/>
      <c r="W2499" s="12"/>
      <c r="X2499" s="12"/>
      <c r="Y2499" s="12"/>
      <c r="Z2499" s="12"/>
      <c r="AA2499" s="12"/>
    </row>
    <row r="2500" ht="26.25" customHeight="1">
      <c r="A2500" s="34" t="s">
        <v>5010</v>
      </c>
      <c r="B2500" s="35" t="s">
        <v>5011</v>
      </c>
      <c r="C2500" s="36">
        <v>3.0</v>
      </c>
      <c r="D2500" s="37">
        <v>170.0</v>
      </c>
      <c r="E2500" s="37">
        <v>7.0</v>
      </c>
      <c r="F2500" s="24" t="str">
        <f t="array" ref="F2500">"https://www.google.com/maps/search/?api=1&amp;query=" &amp; A2500 &amp; "," &amp; B2500</f>
        <v>https://www.google.com/maps/search/?api=1&amp;query=-30.89613707653350,-55.54514110243780</v>
      </c>
      <c r="G2500" s="25" t="str">
        <f t="array" ref="G2500">"https://earth.google.com/web/search/" &amp; A2500 &amp; "," &amp; B2500</f>
        <v>https://earth.google.com/web/search/-30.89613707653350,-55.54514110243780</v>
      </c>
      <c r="H2500" s="12"/>
      <c r="I2500" s="12"/>
      <c r="J2500" s="12"/>
      <c r="K2500" s="12"/>
      <c r="L2500" s="12"/>
      <c r="M2500" s="12"/>
      <c r="N2500" s="12"/>
      <c r="O2500" s="12"/>
      <c r="P2500" s="12"/>
      <c r="Q2500" s="12"/>
      <c r="R2500" s="12"/>
      <c r="S2500" s="12"/>
      <c r="T2500" s="12"/>
      <c r="U2500" s="12"/>
      <c r="V2500" s="12"/>
      <c r="W2500" s="12"/>
      <c r="X2500" s="12"/>
      <c r="Y2500" s="12"/>
      <c r="Z2500" s="12"/>
      <c r="AA2500" s="12"/>
    </row>
    <row r="2501" ht="26.25" customHeight="1">
      <c r="A2501" s="28" t="s">
        <v>5012</v>
      </c>
      <c r="B2501" s="29" t="s">
        <v>5013</v>
      </c>
      <c r="C2501" s="30">
        <v>3.0</v>
      </c>
      <c r="D2501" s="31">
        <v>170.0</v>
      </c>
      <c r="E2501" s="31">
        <v>8.0</v>
      </c>
      <c r="F2501" s="32" t="str">
        <f t="array" ref="F2501">"https://www.google.com/maps/search/?api=1&amp;query=" &amp; A2501 &amp; "," &amp; B2501</f>
        <v>https://www.google.com/maps/search/?api=1&amp;query=-30.89606020466730,-55.54522477881930</v>
      </c>
      <c r="G2501" s="33" t="str">
        <f t="array" ref="G2501">"https://earth.google.com/web/search/" &amp; A2501 &amp; "," &amp; B2501</f>
        <v>https://earth.google.com/web/search/-30.89606020466730,-55.54522477881930</v>
      </c>
      <c r="H2501" s="12"/>
      <c r="I2501" s="12"/>
      <c r="J2501" s="12"/>
      <c r="K2501" s="12"/>
      <c r="L2501" s="12"/>
      <c r="M2501" s="12"/>
      <c r="N2501" s="12"/>
      <c r="O2501" s="12"/>
      <c r="P2501" s="12"/>
      <c r="Q2501" s="12"/>
      <c r="R2501" s="12"/>
      <c r="S2501" s="12"/>
      <c r="T2501" s="12"/>
      <c r="U2501" s="12"/>
      <c r="V2501" s="12"/>
      <c r="W2501" s="12"/>
      <c r="X2501" s="12"/>
      <c r="Y2501" s="12"/>
      <c r="Z2501" s="12"/>
      <c r="AA2501" s="12"/>
    </row>
    <row r="2502" ht="26.25" customHeight="1">
      <c r="A2502" s="34" t="s">
        <v>5014</v>
      </c>
      <c r="B2502" s="35" t="s">
        <v>5015</v>
      </c>
      <c r="C2502" s="36">
        <v>3.0</v>
      </c>
      <c r="D2502" s="37">
        <v>170.0</v>
      </c>
      <c r="E2502" s="37">
        <v>9.0</v>
      </c>
      <c r="F2502" s="24" t="str">
        <f t="array" ref="F2502">"https://www.google.com/maps/search/?api=1&amp;query=" &amp; A2502 &amp; "," &amp; B2502</f>
        <v>https://www.google.com/maps/search/?api=1&amp;query=-30.89668239536870,-55.54517582077340</v>
      </c>
      <c r="G2502" s="25" t="str">
        <f t="array" ref="G2502">"https://earth.google.com/web/search/" &amp; A2502 &amp; "," &amp; B2502</f>
        <v>https://earth.google.com/web/search/-30.89668239536870,-55.54517582077340</v>
      </c>
      <c r="H2502" s="12"/>
      <c r="I2502" s="12"/>
      <c r="J2502" s="12"/>
      <c r="K2502" s="12"/>
      <c r="L2502" s="12"/>
      <c r="M2502" s="12"/>
      <c r="N2502" s="12"/>
      <c r="O2502" s="12"/>
      <c r="P2502" s="12"/>
      <c r="Q2502" s="12"/>
      <c r="R2502" s="12"/>
      <c r="S2502" s="12"/>
      <c r="T2502" s="12"/>
      <c r="U2502" s="12"/>
      <c r="V2502" s="12"/>
      <c r="W2502" s="12"/>
      <c r="X2502" s="12"/>
      <c r="Y2502" s="12"/>
      <c r="Z2502" s="12"/>
      <c r="AA2502" s="12"/>
    </row>
    <row r="2503" ht="26.25" customHeight="1">
      <c r="A2503" s="28" t="s">
        <v>5016</v>
      </c>
      <c r="B2503" s="29" t="s">
        <v>5017</v>
      </c>
      <c r="C2503" s="30">
        <v>3.0</v>
      </c>
      <c r="D2503" s="31">
        <v>171.0</v>
      </c>
      <c r="E2503" s="31">
        <v>1.0</v>
      </c>
      <c r="F2503" s="32" t="str">
        <f t="array" ref="F2503">"https://www.google.com/maps/search/?api=1&amp;query=" &amp; A2503 &amp; "," &amp; B2503</f>
        <v>https://www.google.com/maps/search/?api=1&amp;query=-30.89737195738490,-55.54460523161140</v>
      </c>
      <c r="G2503" s="33" t="str">
        <f t="array" ref="G2503">"https://earth.google.com/web/search/" &amp; A2503 &amp; "," &amp; B2503</f>
        <v>https://earth.google.com/web/search/-30.89737195738490,-55.54460523161140</v>
      </c>
      <c r="H2503" s="12"/>
      <c r="I2503" s="12"/>
      <c r="J2503" s="12"/>
      <c r="K2503" s="12"/>
      <c r="L2503" s="12"/>
      <c r="M2503" s="12"/>
      <c r="N2503" s="12"/>
      <c r="O2503" s="12"/>
      <c r="P2503" s="12"/>
      <c r="Q2503" s="12"/>
      <c r="R2503" s="12"/>
      <c r="S2503" s="12"/>
      <c r="T2503" s="12"/>
      <c r="U2503" s="12"/>
      <c r="V2503" s="12"/>
      <c r="W2503" s="12"/>
      <c r="X2503" s="12"/>
      <c r="Y2503" s="12"/>
      <c r="Z2503" s="12"/>
      <c r="AA2503" s="12"/>
    </row>
    <row r="2504" ht="26.25" customHeight="1">
      <c r="A2504" s="34" t="s">
        <v>5018</v>
      </c>
      <c r="B2504" s="35" t="s">
        <v>5019</v>
      </c>
      <c r="C2504" s="36">
        <v>3.0</v>
      </c>
      <c r="D2504" s="37">
        <v>171.0</v>
      </c>
      <c r="E2504" s="37">
        <v>2.0</v>
      </c>
      <c r="F2504" s="24" t="str">
        <f t="array" ref="F2504">"https://www.google.com/maps/search/?api=1&amp;query=" &amp; A2504 &amp; "," &amp; B2504</f>
        <v>https://www.google.com/maps/search/?api=1&amp;query=-30.89740721177870,-55.54453406215400</v>
      </c>
      <c r="G2504" s="25" t="str">
        <f t="array" ref="G2504">"https://earth.google.com/web/search/" &amp; A2504 &amp; "," &amp; B2504</f>
        <v>https://earth.google.com/web/search/-30.89740721177870,-55.54453406215400</v>
      </c>
      <c r="H2504" s="12"/>
      <c r="I2504" s="12"/>
      <c r="J2504" s="12"/>
      <c r="K2504" s="12"/>
      <c r="L2504" s="12"/>
      <c r="M2504" s="12"/>
      <c r="N2504" s="12"/>
      <c r="O2504" s="12"/>
      <c r="P2504" s="12"/>
      <c r="Q2504" s="12"/>
      <c r="R2504" s="12"/>
      <c r="S2504" s="12"/>
      <c r="T2504" s="12"/>
      <c r="U2504" s="12"/>
      <c r="V2504" s="12"/>
      <c r="W2504" s="12"/>
      <c r="X2504" s="12"/>
      <c r="Y2504" s="12"/>
      <c r="Z2504" s="12"/>
      <c r="AA2504" s="12"/>
    </row>
    <row r="2505" ht="26.25" customHeight="1">
      <c r="A2505" s="28" t="s">
        <v>5020</v>
      </c>
      <c r="B2505" s="29" t="s">
        <v>5021</v>
      </c>
      <c r="C2505" s="30">
        <v>3.0</v>
      </c>
      <c r="D2505" s="31">
        <v>171.0</v>
      </c>
      <c r="E2505" s="31">
        <v>3.0</v>
      </c>
      <c r="F2505" s="32" t="str">
        <f t="array" ref="F2505">"https://www.google.com/maps/search/?api=1&amp;query=" &amp; A2505 &amp; "," &amp; B2505</f>
        <v>https://www.google.com/maps/search/?api=1&amp;query=-30.89698187309500,-55.54412676906230</v>
      </c>
      <c r="G2505" s="33" t="str">
        <f t="array" ref="G2505">"https://earth.google.com/web/search/" &amp; A2505 &amp; "," &amp; B2505</f>
        <v>https://earth.google.com/web/search/-30.89698187309500,-55.54412676906230</v>
      </c>
      <c r="H2505" s="12"/>
      <c r="I2505" s="12"/>
      <c r="J2505" s="12"/>
      <c r="K2505" s="12"/>
      <c r="L2505" s="12"/>
      <c r="M2505" s="12"/>
      <c r="N2505" s="12"/>
      <c r="O2505" s="12"/>
      <c r="P2505" s="12"/>
      <c r="Q2505" s="12"/>
      <c r="R2505" s="12"/>
      <c r="S2505" s="12"/>
      <c r="T2505" s="12"/>
      <c r="U2505" s="12"/>
      <c r="V2505" s="12"/>
      <c r="W2505" s="12"/>
      <c r="X2505" s="12"/>
      <c r="Y2505" s="12"/>
      <c r="Z2505" s="12"/>
      <c r="AA2505" s="12"/>
    </row>
    <row r="2506" ht="26.25" customHeight="1">
      <c r="A2506" s="34" t="s">
        <v>5022</v>
      </c>
      <c r="B2506" s="35" t="s">
        <v>5023</v>
      </c>
      <c r="C2506" s="36">
        <v>3.0</v>
      </c>
      <c r="D2506" s="37">
        <v>171.0</v>
      </c>
      <c r="E2506" s="37">
        <v>4.0</v>
      </c>
      <c r="F2506" s="24" t="str">
        <f t="array" ref="F2506">"https://www.google.com/maps/search/?api=1&amp;query=" &amp; A2506 &amp; "," &amp; B2506</f>
        <v>https://www.google.com/maps/search/?api=1&amp;query=-30.89649113667690,-55.54492947365720</v>
      </c>
      <c r="G2506" s="25" t="str">
        <f t="array" ref="G2506">"https://earth.google.com/web/search/" &amp; A2506 &amp; "," &amp; B2506</f>
        <v>https://earth.google.com/web/search/-30.89649113667690,-55.54492947365720</v>
      </c>
      <c r="H2506" s="12"/>
      <c r="I2506" s="12"/>
      <c r="J2506" s="12"/>
      <c r="K2506" s="12"/>
      <c r="L2506" s="12"/>
      <c r="M2506" s="12"/>
      <c r="N2506" s="12"/>
      <c r="O2506" s="12"/>
      <c r="P2506" s="12"/>
      <c r="Q2506" s="12"/>
      <c r="R2506" s="12"/>
      <c r="S2506" s="12"/>
      <c r="T2506" s="12"/>
      <c r="U2506" s="12"/>
      <c r="V2506" s="12"/>
      <c r="W2506" s="12"/>
      <c r="X2506" s="12"/>
      <c r="Y2506" s="12"/>
      <c r="Z2506" s="12"/>
      <c r="AA2506" s="12"/>
    </row>
    <row r="2507" ht="26.25" customHeight="1">
      <c r="A2507" s="28" t="s">
        <v>5024</v>
      </c>
      <c r="B2507" s="29" t="s">
        <v>5025</v>
      </c>
      <c r="C2507" s="30">
        <v>3.0</v>
      </c>
      <c r="D2507" s="31">
        <v>171.0</v>
      </c>
      <c r="E2507" s="31">
        <v>5.0</v>
      </c>
      <c r="F2507" s="32" t="str">
        <f t="array" ref="F2507">"https://www.google.com/maps/search/?api=1&amp;query=" &amp; A2507 &amp; "," &amp; B2507</f>
        <v>https://www.google.com/maps/search/?api=1&amp;query=-30.89675309944370,-55.54509465427370</v>
      </c>
      <c r="G2507" s="33" t="str">
        <f t="array" ref="G2507">"https://earth.google.com/web/search/" &amp; A2507 &amp; "," &amp; B2507</f>
        <v>https://earth.google.com/web/search/-30.89675309944370,-55.54509465427370</v>
      </c>
      <c r="H2507" s="12"/>
      <c r="I2507" s="12"/>
      <c r="J2507" s="12"/>
      <c r="K2507" s="12"/>
      <c r="L2507" s="12"/>
      <c r="M2507" s="12"/>
      <c r="N2507" s="12"/>
      <c r="O2507" s="12"/>
      <c r="P2507" s="12"/>
      <c r="Q2507" s="12"/>
      <c r="R2507" s="12"/>
      <c r="S2507" s="12"/>
      <c r="T2507" s="12"/>
      <c r="U2507" s="12"/>
      <c r="V2507" s="12"/>
      <c r="W2507" s="12"/>
      <c r="X2507" s="12"/>
      <c r="Y2507" s="12"/>
      <c r="Z2507" s="12"/>
      <c r="AA2507" s="12"/>
    </row>
    <row r="2508" ht="26.25" customHeight="1">
      <c r="A2508" s="34" t="s">
        <v>5026</v>
      </c>
      <c r="B2508" s="35" t="s">
        <v>5027</v>
      </c>
      <c r="C2508" s="36">
        <v>3.0</v>
      </c>
      <c r="D2508" s="37">
        <v>172.0</v>
      </c>
      <c r="E2508" s="37">
        <v>1.0</v>
      </c>
      <c r="F2508" s="24" t="str">
        <f t="array" ref="F2508">"https://www.google.com/maps/search/?api=1&amp;query=" &amp; A2508 &amp; "," &amp; B2508</f>
        <v>https://www.google.com/maps/search/?api=1&amp;query=-30.89769912666350,-55.54397414564790</v>
      </c>
      <c r="G2508" s="25" t="str">
        <f t="array" ref="G2508">"https://earth.google.com/web/search/" &amp; A2508 &amp; "," &amp; B2508</f>
        <v>https://earth.google.com/web/search/-30.89769912666350,-55.54397414564790</v>
      </c>
      <c r="H2508" s="12"/>
      <c r="I2508" s="12"/>
      <c r="J2508" s="12"/>
      <c r="K2508" s="12"/>
      <c r="L2508" s="12"/>
      <c r="M2508" s="12"/>
      <c r="N2508" s="12"/>
      <c r="O2508" s="12"/>
      <c r="P2508" s="12"/>
      <c r="Q2508" s="12"/>
      <c r="R2508" s="12"/>
      <c r="S2508" s="12"/>
      <c r="T2508" s="12"/>
      <c r="U2508" s="12"/>
      <c r="V2508" s="12"/>
      <c r="W2508" s="12"/>
      <c r="X2508" s="12"/>
      <c r="Y2508" s="12"/>
      <c r="Z2508" s="12"/>
      <c r="AA2508" s="12"/>
    </row>
    <row r="2509" ht="26.25" customHeight="1">
      <c r="A2509" s="28" t="s">
        <v>5028</v>
      </c>
      <c r="B2509" s="29" t="s">
        <v>5029</v>
      </c>
      <c r="C2509" s="30">
        <v>3.0</v>
      </c>
      <c r="D2509" s="31">
        <v>172.0</v>
      </c>
      <c r="E2509" s="31">
        <v>2.0</v>
      </c>
      <c r="F2509" s="32" t="str">
        <f t="array" ref="F2509">"https://www.google.com/maps/search/?api=1&amp;query=" &amp; A2509 &amp; "," &amp; B2509</f>
        <v>https://www.google.com/maps/search/?api=1&amp;query=-30.89780988024220,-55.54379673009620</v>
      </c>
      <c r="G2509" s="33" t="str">
        <f t="array" ref="G2509">"https://earth.google.com/web/search/" &amp; A2509 &amp; "," &amp; B2509</f>
        <v>https://earth.google.com/web/search/-30.89780988024220,-55.54379673009620</v>
      </c>
      <c r="H2509" s="12"/>
      <c r="I2509" s="12"/>
      <c r="J2509" s="12"/>
      <c r="K2509" s="12"/>
      <c r="L2509" s="12"/>
      <c r="M2509" s="12"/>
      <c r="N2509" s="12"/>
      <c r="O2509" s="12"/>
      <c r="P2509" s="12"/>
      <c r="Q2509" s="12"/>
      <c r="R2509" s="12"/>
      <c r="S2509" s="12"/>
      <c r="T2509" s="12"/>
      <c r="U2509" s="12"/>
      <c r="V2509" s="12"/>
      <c r="W2509" s="12"/>
      <c r="X2509" s="12"/>
      <c r="Y2509" s="12"/>
      <c r="Z2509" s="12"/>
      <c r="AA2509" s="12"/>
    </row>
    <row r="2510" ht="26.25" customHeight="1">
      <c r="A2510" s="34" t="s">
        <v>5030</v>
      </c>
      <c r="B2510" s="35" t="s">
        <v>5031</v>
      </c>
      <c r="C2510" s="36">
        <v>3.0</v>
      </c>
      <c r="D2510" s="37">
        <v>172.0</v>
      </c>
      <c r="E2510" s="37">
        <v>3.0</v>
      </c>
      <c r="F2510" s="24" t="str">
        <f t="array" ref="F2510">"https://www.google.com/maps/search/?api=1&amp;query=" &amp; A2510 &amp; "," &amp; B2510</f>
        <v>https://www.google.com/maps/search/?api=1&amp;query=-30.89772430851990,-55.54345207388390</v>
      </c>
      <c r="G2510" s="25" t="str">
        <f t="array" ref="G2510">"https://earth.google.com/web/search/" &amp; A2510 &amp; "," &amp; B2510</f>
        <v>https://earth.google.com/web/search/-30.89772430851990,-55.54345207388390</v>
      </c>
      <c r="H2510" s="12"/>
      <c r="I2510" s="12"/>
      <c r="J2510" s="12"/>
      <c r="K2510" s="12"/>
      <c r="L2510" s="12"/>
      <c r="M2510" s="12"/>
      <c r="N2510" s="12"/>
      <c r="O2510" s="12"/>
      <c r="P2510" s="12"/>
      <c r="Q2510" s="12"/>
      <c r="R2510" s="12"/>
      <c r="S2510" s="12"/>
      <c r="T2510" s="12"/>
      <c r="U2510" s="12"/>
      <c r="V2510" s="12"/>
      <c r="W2510" s="12"/>
      <c r="X2510" s="12"/>
      <c r="Y2510" s="12"/>
      <c r="Z2510" s="12"/>
      <c r="AA2510" s="12"/>
    </row>
    <row r="2511" ht="26.25" customHeight="1">
      <c r="A2511" s="28" t="s">
        <v>5032</v>
      </c>
      <c r="B2511" s="29" t="s">
        <v>5033</v>
      </c>
      <c r="C2511" s="30">
        <v>3.0</v>
      </c>
      <c r="D2511" s="31">
        <v>172.0</v>
      </c>
      <c r="E2511" s="31">
        <v>4.0</v>
      </c>
      <c r="F2511" s="32" t="str">
        <f t="array" ref="F2511">"https://www.google.com/maps/search/?api=1&amp;query=" &amp; A2511 &amp; "," &amp; B2511</f>
        <v>https://www.google.com/maps/search/?api=1&amp;query=-30.89754825903110,-0.55543296393345</v>
      </c>
      <c r="G2511" s="33" t="str">
        <f t="array" ref="G2511">"https://earth.google.com/web/search/" &amp; A2511 &amp; "," &amp; B2511</f>
        <v>https://earth.google.com/web/search/-30.89754825903110,-0.55543296393345</v>
      </c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/>
      <c r="S2511" s="12"/>
      <c r="T2511" s="12"/>
      <c r="U2511" s="12"/>
      <c r="V2511" s="12"/>
      <c r="W2511" s="12"/>
      <c r="X2511" s="12"/>
      <c r="Y2511" s="12"/>
      <c r="Z2511" s="12"/>
      <c r="AA2511" s="12"/>
    </row>
    <row r="2512" ht="26.25" customHeight="1">
      <c r="A2512" s="34" t="s">
        <v>5034</v>
      </c>
      <c r="B2512" s="35" t="s">
        <v>5035</v>
      </c>
      <c r="C2512" s="36">
        <v>3.0</v>
      </c>
      <c r="D2512" s="37">
        <v>172.0</v>
      </c>
      <c r="E2512" s="37">
        <v>5.0</v>
      </c>
      <c r="F2512" s="24" t="str">
        <f t="array" ref="F2512">"https://www.google.com/maps/search/?api=1&amp;query=" &amp; A2512 &amp; "," &amp; B2512</f>
        <v>https://www.google.com/maps/search/?api=1&amp;query=-30.89745512297060,-55.54321999896940</v>
      </c>
      <c r="G2512" s="25" t="str">
        <f t="array" ref="G2512">"https://earth.google.com/web/search/" &amp; A2512 &amp; "," &amp; B2512</f>
        <v>https://earth.google.com/web/search/-30.89745512297060,-55.54321999896940</v>
      </c>
      <c r="H2512" s="12"/>
      <c r="I2512" s="12"/>
      <c r="J2512" s="12"/>
      <c r="K2512" s="12"/>
      <c r="L2512" s="12"/>
      <c r="M2512" s="12"/>
      <c r="N2512" s="12"/>
      <c r="O2512" s="12"/>
      <c r="P2512" s="12"/>
      <c r="Q2512" s="12"/>
      <c r="R2512" s="12"/>
      <c r="S2512" s="12"/>
      <c r="T2512" s="12"/>
      <c r="U2512" s="12"/>
      <c r="V2512" s="12"/>
      <c r="W2512" s="12"/>
      <c r="X2512" s="12"/>
      <c r="Y2512" s="12"/>
      <c r="Z2512" s="12"/>
      <c r="AA2512" s="12"/>
    </row>
    <row r="2513" ht="26.25" customHeight="1">
      <c r="A2513" s="28" t="s">
        <v>5036</v>
      </c>
      <c r="B2513" s="29" t="s">
        <v>5037</v>
      </c>
      <c r="C2513" s="30">
        <v>3.0</v>
      </c>
      <c r="D2513" s="31">
        <v>172.0</v>
      </c>
      <c r="E2513" s="31">
        <v>6.0</v>
      </c>
      <c r="F2513" s="32" t="str">
        <f t="array" ref="F2513">"https://www.google.com/maps/search/?api=1&amp;query=" &amp; A2513 &amp; "," &amp; B2513</f>
        <v>https://www.google.com/maps/search/?api=1&amp;query=-30.89713890766150,-55.54320336830860</v>
      </c>
      <c r="G2513" s="33" t="str">
        <f t="array" ref="G2513">"https://earth.google.com/web/search/" &amp; A2513 &amp; "," &amp; B2513</f>
        <v>https://earth.google.com/web/search/-30.89713890766150,-55.54320336830860</v>
      </c>
      <c r="H2513" s="12"/>
      <c r="I2513" s="12"/>
      <c r="J2513" s="12"/>
      <c r="K2513" s="12"/>
      <c r="L2513" s="12"/>
      <c r="M2513" s="12"/>
      <c r="N2513" s="12"/>
      <c r="O2513" s="12"/>
      <c r="P2513" s="12"/>
      <c r="Q2513" s="12"/>
      <c r="R2513" s="12"/>
      <c r="S2513" s="12"/>
      <c r="T2513" s="12"/>
      <c r="U2513" s="12"/>
      <c r="V2513" s="12"/>
      <c r="W2513" s="12"/>
      <c r="X2513" s="12"/>
      <c r="Y2513" s="12"/>
      <c r="Z2513" s="12"/>
      <c r="AA2513" s="12"/>
    </row>
    <row r="2514" ht="26.25" customHeight="1">
      <c r="A2514" s="34" t="s">
        <v>5038</v>
      </c>
      <c r="B2514" s="35" t="s">
        <v>5039</v>
      </c>
      <c r="C2514" s="36">
        <v>3.0</v>
      </c>
      <c r="D2514" s="37">
        <v>172.0</v>
      </c>
      <c r="E2514" s="37">
        <v>7.0</v>
      </c>
      <c r="F2514" s="24" t="str">
        <f t="array" ref="F2514">"https://www.google.com/maps/search/?api=1&amp;query=" &amp; A2514 &amp; "," &amp; B2514</f>
        <v>https://www.google.com/maps/search/?api=1&amp;query=-30.89703271963440,-55.54351727689750</v>
      </c>
      <c r="G2514" s="25" t="str">
        <f t="array" ref="G2514">"https://earth.google.com/web/search/" &amp; A2514 &amp; "," &amp; B2514</f>
        <v>https://earth.google.com/web/search/-30.89703271963440,-55.54351727689750</v>
      </c>
      <c r="H2514" s="12"/>
      <c r="I2514" s="12"/>
      <c r="J2514" s="12"/>
      <c r="K2514" s="12"/>
      <c r="L2514" s="12"/>
      <c r="M2514" s="12"/>
      <c r="N2514" s="12"/>
      <c r="O2514" s="12"/>
      <c r="P2514" s="12"/>
      <c r="Q2514" s="12"/>
      <c r="R2514" s="12"/>
      <c r="S2514" s="12"/>
      <c r="T2514" s="12"/>
      <c r="U2514" s="12"/>
      <c r="V2514" s="12"/>
      <c r="W2514" s="12"/>
      <c r="X2514" s="12"/>
      <c r="Y2514" s="12"/>
      <c r="Z2514" s="12"/>
      <c r="AA2514" s="12"/>
    </row>
    <row r="2515" ht="26.25" customHeight="1">
      <c r="A2515" s="28" t="s">
        <v>5040</v>
      </c>
      <c r="B2515" s="29" t="s">
        <v>5041</v>
      </c>
      <c r="C2515" s="30">
        <v>3.0</v>
      </c>
      <c r="D2515" s="31">
        <v>172.0</v>
      </c>
      <c r="E2515" s="31">
        <v>8.0</v>
      </c>
      <c r="F2515" s="32" t="str">
        <f t="array" ref="F2515">"https://www.google.com/maps/search/?api=1&amp;query=" &amp; A2515 &amp; "," &amp; B2515</f>
        <v>https://www.google.com/maps/search/?api=1&amp;query=-3.08970009202045,-55.54362067991960</v>
      </c>
      <c r="G2515" s="33" t="str">
        <f t="array" ref="G2515">"https://earth.google.com/web/search/" &amp; A2515 &amp; "," &amp; B2515</f>
        <v>https://earth.google.com/web/search/-3.08970009202045,-55.54362067991960</v>
      </c>
      <c r="H2515" s="12"/>
      <c r="I2515" s="12"/>
      <c r="J2515" s="12"/>
      <c r="K2515" s="12"/>
      <c r="L2515" s="12"/>
      <c r="M2515" s="12"/>
      <c r="N2515" s="12"/>
      <c r="O2515" s="12"/>
      <c r="P2515" s="12"/>
      <c r="Q2515" s="12"/>
      <c r="R2515" s="12"/>
      <c r="S2515" s="12"/>
      <c r="T2515" s="12"/>
      <c r="U2515" s="12"/>
      <c r="V2515" s="12"/>
      <c r="W2515" s="12"/>
      <c r="X2515" s="12"/>
      <c r="Y2515" s="12"/>
      <c r="Z2515" s="12"/>
      <c r="AA2515" s="12"/>
    </row>
    <row r="2516" ht="26.25" customHeight="1">
      <c r="A2516" s="34" t="s">
        <v>5042</v>
      </c>
      <c r="B2516" s="35" t="s">
        <v>5043</v>
      </c>
      <c r="C2516" s="36">
        <v>3.0</v>
      </c>
      <c r="D2516" s="37">
        <v>172.0</v>
      </c>
      <c r="E2516" s="37">
        <v>9.0</v>
      </c>
      <c r="F2516" s="24" t="str">
        <f t="array" ref="F2516">"https://www.google.com/maps/search/?api=1&amp;query=" &amp; A2516 &amp; "," &amp; B2516</f>
        <v>https://www.google.com/maps/search/?api=1&amp;query=-30.89689698427320,-55.54367714714280</v>
      </c>
      <c r="G2516" s="25" t="str">
        <f t="array" ref="G2516">"https://earth.google.com/web/search/" &amp; A2516 &amp; "," &amp; B2516</f>
        <v>https://earth.google.com/web/search/-30.89689698427320,-55.54367714714280</v>
      </c>
      <c r="H2516" s="12"/>
      <c r="I2516" s="12"/>
      <c r="J2516" s="12"/>
      <c r="K2516" s="12"/>
      <c r="L2516" s="12"/>
      <c r="M2516" s="12"/>
      <c r="N2516" s="12"/>
      <c r="O2516" s="12"/>
      <c r="P2516" s="12"/>
      <c r="Q2516" s="12"/>
      <c r="R2516" s="12"/>
      <c r="S2516" s="12"/>
      <c r="T2516" s="12"/>
      <c r="U2516" s="12"/>
      <c r="V2516" s="12"/>
      <c r="W2516" s="12"/>
      <c r="X2516" s="12"/>
      <c r="Y2516" s="12"/>
      <c r="Z2516" s="12"/>
      <c r="AA2516" s="12"/>
    </row>
    <row r="2517" ht="26.25" customHeight="1">
      <c r="A2517" s="28" t="s">
        <v>5044</v>
      </c>
      <c r="B2517" s="29" t="s">
        <v>5045</v>
      </c>
      <c r="C2517" s="30">
        <v>3.0</v>
      </c>
      <c r="D2517" s="31">
        <v>172.0</v>
      </c>
      <c r="E2517" s="31">
        <v>10.0</v>
      </c>
      <c r="F2517" s="32" t="str">
        <f t="array" ref="F2517">"https://www.google.com/maps/search/?api=1&amp;query=" &amp; A2517 &amp; "," &amp; B2517</f>
        <v>https://www.google.com/maps/search/?api=1&amp;query=-30.89701422079010,-55.54401657343300</v>
      </c>
      <c r="G2517" s="33" t="str">
        <f t="array" ref="G2517">"https://earth.google.com/web/search/" &amp; A2517 &amp; "," &amp; B2517</f>
        <v>https://earth.google.com/web/search/-30.89701422079010,-55.54401657343300</v>
      </c>
      <c r="H2517" s="12"/>
      <c r="I2517" s="12"/>
      <c r="J2517" s="12"/>
      <c r="K2517" s="12"/>
      <c r="L2517" s="12"/>
      <c r="M2517" s="12"/>
      <c r="N2517" s="12"/>
      <c r="O2517" s="12"/>
      <c r="P2517" s="12"/>
      <c r="Q2517" s="12"/>
      <c r="R2517" s="12"/>
      <c r="S2517" s="12"/>
      <c r="T2517" s="12"/>
      <c r="U2517" s="12"/>
      <c r="V2517" s="12"/>
      <c r="W2517" s="12"/>
      <c r="X2517" s="12"/>
      <c r="Y2517" s="12"/>
      <c r="Z2517" s="12"/>
      <c r="AA2517" s="12"/>
    </row>
    <row r="2518" ht="26.25" customHeight="1">
      <c r="A2518" s="34" t="s">
        <v>5046</v>
      </c>
      <c r="B2518" s="35" t="s">
        <v>5047</v>
      </c>
      <c r="C2518" s="36">
        <v>3.0</v>
      </c>
      <c r="D2518" s="37">
        <v>172.0</v>
      </c>
      <c r="E2518" s="37">
        <v>11.0</v>
      </c>
      <c r="F2518" s="24" t="str">
        <f t="array" ref="F2518">"https://www.google.com/maps/search/?api=1&amp;query=" &amp; A2518 &amp; "," &amp; B2518</f>
        <v>https://www.google.com/maps/search/?api=1&amp;query=-30.89719519907270,-55.54419609387160</v>
      </c>
      <c r="G2518" s="25" t="str">
        <f t="array" ref="G2518">"https://earth.google.com/web/search/" &amp; A2518 &amp; "," &amp; B2518</f>
        <v>https://earth.google.com/web/search/-30.89719519907270,-55.54419609387160</v>
      </c>
      <c r="H2518" s="12"/>
      <c r="I2518" s="12"/>
      <c r="J2518" s="12"/>
      <c r="K2518" s="12"/>
      <c r="L2518" s="12"/>
      <c r="M2518" s="12"/>
      <c r="N2518" s="12"/>
      <c r="O2518" s="12"/>
      <c r="P2518" s="12"/>
      <c r="Q2518" s="12"/>
      <c r="R2518" s="12"/>
      <c r="S2518" s="12"/>
      <c r="T2518" s="12"/>
      <c r="U2518" s="12"/>
      <c r="V2518" s="12"/>
      <c r="W2518" s="12"/>
      <c r="X2518" s="12"/>
      <c r="Y2518" s="12"/>
      <c r="Z2518" s="12"/>
      <c r="AA2518" s="12"/>
    </row>
    <row r="2519" ht="26.25" customHeight="1">
      <c r="A2519" s="28" t="s">
        <v>5048</v>
      </c>
      <c r="B2519" s="29" t="s">
        <v>5049</v>
      </c>
      <c r="C2519" s="30">
        <v>3.0</v>
      </c>
      <c r="D2519" s="31">
        <v>172.0</v>
      </c>
      <c r="E2519" s="31">
        <v>12.0</v>
      </c>
      <c r="F2519" s="32" t="str">
        <f t="array" ref="F2519">"https://www.google.com/maps/search/?api=1&amp;query=" &amp; A2519 &amp; "," &amp; B2519</f>
        <v>https://www.google.com/maps/search/?api=1&amp;query=-30.89736057167140,-55.54429657729560</v>
      </c>
      <c r="G2519" s="33" t="str">
        <f t="array" ref="G2519">"https://earth.google.com/web/search/" &amp; A2519 &amp; "," &amp; B2519</f>
        <v>https://earth.google.com/web/search/-30.89736057167140,-55.54429657729560</v>
      </c>
      <c r="H2519" s="12"/>
      <c r="I2519" s="12"/>
      <c r="J2519" s="12"/>
      <c r="K2519" s="12"/>
      <c r="L2519" s="12"/>
      <c r="M2519" s="12"/>
      <c r="N2519" s="12"/>
      <c r="O2519" s="12"/>
      <c r="P2519" s="12"/>
      <c r="Q2519" s="12"/>
      <c r="R2519" s="12"/>
      <c r="S2519" s="12"/>
      <c r="T2519" s="12"/>
      <c r="U2519" s="12"/>
      <c r="V2519" s="12"/>
      <c r="W2519" s="12"/>
      <c r="X2519" s="12"/>
      <c r="Y2519" s="12"/>
      <c r="Z2519" s="12"/>
      <c r="AA2519" s="12"/>
    </row>
    <row r="2520" ht="26.25" customHeight="1">
      <c r="A2520" s="34" t="s">
        <v>5050</v>
      </c>
      <c r="B2520" s="35" t="s">
        <v>5051</v>
      </c>
      <c r="C2520" s="36">
        <v>3.0</v>
      </c>
      <c r="D2520" s="37">
        <v>173.0</v>
      </c>
      <c r="E2520" s="37">
        <v>1.0</v>
      </c>
      <c r="F2520" s="24" t="str">
        <f t="array" ref="F2520">"https://www.google.com/maps/search/?api=1&amp;query=" &amp; A2520 &amp; "," &amp; B2520</f>
        <v>https://www.google.com/maps/search/?api=1&amp;query=-30.89788435764370,-55.54342229773320</v>
      </c>
      <c r="G2520" s="25" t="str">
        <f t="array" ref="G2520">"https://earth.google.com/web/search/" &amp; A2520 &amp; "," &amp; B2520</f>
        <v>https://earth.google.com/web/search/-30.89788435764370,-55.54342229773320</v>
      </c>
      <c r="H2520" s="12"/>
      <c r="I2520" s="12"/>
      <c r="J2520" s="12"/>
      <c r="K2520" s="12"/>
      <c r="L2520" s="12"/>
      <c r="M2520" s="12"/>
      <c r="N2520" s="12"/>
      <c r="O2520" s="12"/>
      <c r="P2520" s="12"/>
      <c r="Q2520" s="12"/>
      <c r="R2520" s="12"/>
      <c r="S2520" s="12"/>
      <c r="T2520" s="12"/>
      <c r="U2520" s="12"/>
      <c r="V2520" s="12"/>
      <c r="W2520" s="12"/>
      <c r="X2520" s="12"/>
      <c r="Y2520" s="12"/>
      <c r="Z2520" s="12"/>
      <c r="AA2520" s="12"/>
    </row>
    <row r="2521" ht="26.25" customHeight="1">
      <c r="A2521" s="28" t="s">
        <v>5052</v>
      </c>
      <c r="B2521" s="29" t="s">
        <v>5053</v>
      </c>
      <c r="C2521" s="30">
        <v>3.0</v>
      </c>
      <c r="D2521" s="31">
        <v>173.0</v>
      </c>
      <c r="E2521" s="31">
        <v>2.0</v>
      </c>
      <c r="F2521" s="32" t="str">
        <f t="array" ref="F2521">"https://www.google.com/maps/search/?api=1&amp;query=" &amp; A2521 &amp; "," &amp; B2521</f>
        <v>https://www.google.com/maps/search/?api=1&amp;query=-30.89780313560180,-55.54337562480180</v>
      </c>
      <c r="G2521" s="33" t="str">
        <f t="array" ref="G2521">"https://earth.google.com/web/search/" &amp; A2521 &amp; "," &amp; B2521</f>
        <v>https://earth.google.com/web/search/-30.89780313560180,-55.54337562480180</v>
      </c>
      <c r="H2521" s="12"/>
      <c r="I2521" s="12"/>
      <c r="J2521" s="12"/>
      <c r="K2521" s="12"/>
      <c r="L2521" s="12"/>
      <c r="M2521" s="12"/>
      <c r="N2521" s="12"/>
      <c r="O2521" s="12"/>
      <c r="P2521" s="12"/>
      <c r="Q2521" s="12"/>
      <c r="R2521" s="12"/>
      <c r="S2521" s="12"/>
      <c r="T2521" s="12"/>
      <c r="U2521" s="12"/>
      <c r="V2521" s="12"/>
      <c r="W2521" s="12"/>
      <c r="X2521" s="12"/>
      <c r="Y2521" s="12"/>
      <c r="Z2521" s="12"/>
      <c r="AA2521" s="12"/>
    </row>
    <row r="2522" ht="26.25" customHeight="1">
      <c r="A2522" s="34" t="s">
        <v>5054</v>
      </c>
      <c r="B2522" s="35" t="s">
        <v>5055</v>
      </c>
      <c r="C2522" s="36">
        <v>3.0</v>
      </c>
      <c r="D2522" s="37">
        <v>173.0</v>
      </c>
      <c r="E2522" s="37">
        <v>3.0</v>
      </c>
      <c r="F2522" s="24" t="str">
        <f t="array" ref="F2522">"https://www.google.com/maps/search/?api=1&amp;query=" &amp; A2522 &amp; "," &amp; B2522</f>
        <v>https://www.google.com/maps/search/?api=1&amp;query=-30.89743480782180,-55.54310174238520</v>
      </c>
      <c r="G2522" s="25" t="str">
        <f t="array" ref="G2522">"https://earth.google.com/web/search/" &amp; A2522 &amp; "," &amp; B2522</f>
        <v>https://earth.google.com/web/search/-30.89743480782180,-55.54310174238520</v>
      </c>
      <c r="H2522" s="12"/>
      <c r="I2522" s="12"/>
      <c r="J2522" s="12"/>
      <c r="K2522" s="12"/>
      <c r="L2522" s="12"/>
      <c r="M2522" s="12"/>
      <c r="N2522" s="12"/>
      <c r="O2522" s="12"/>
      <c r="P2522" s="12"/>
      <c r="Q2522" s="12"/>
      <c r="R2522" s="12"/>
      <c r="S2522" s="12"/>
      <c r="T2522" s="12"/>
      <c r="U2522" s="12"/>
      <c r="V2522" s="12"/>
      <c r="W2522" s="12"/>
      <c r="X2522" s="12"/>
      <c r="Y2522" s="12"/>
      <c r="Z2522" s="12"/>
      <c r="AA2522" s="12"/>
    </row>
    <row r="2523" ht="26.25" customHeight="1">
      <c r="A2523" s="28" t="s">
        <v>5056</v>
      </c>
      <c r="B2523" s="29" t="s">
        <v>5057</v>
      </c>
      <c r="C2523" s="30">
        <v>3.0</v>
      </c>
      <c r="D2523" s="31">
        <v>173.0</v>
      </c>
      <c r="E2523" s="31">
        <v>4.0</v>
      </c>
      <c r="F2523" s="32" t="str">
        <f t="array" ref="F2523">"https://www.google.com/maps/search/?api=1&amp;query=" &amp; A2523 &amp; "," &amp; B2523</f>
        <v>https://www.google.com/maps/search/?api=1&amp;query=-30.89742693892210,-55.54303924401840</v>
      </c>
      <c r="G2523" s="33" t="str">
        <f t="array" ref="G2523">"https://earth.google.com/web/search/" &amp; A2523 &amp; "," &amp; B2523</f>
        <v>https://earth.google.com/web/search/-30.89742693892210,-55.54303924401840</v>
      </c>
      <c r="H2523" s="12"/>
      <c r="I2523" s="12"/>
      <c r="J2523" s="12"/>
      <c r="K2523" s="12"/>
      <c r="L2523" s="12"/>
      <c r="M2523" s="12"/>
      <c r="N2523" s="12"/>
      <c r="O2523" s="12"/>
      <c r="P2523" s="12"/>
      <c r="Q2523" s="12"/>
      <c r="R2523" s="12"/>
      <c r="S2523" s="12"/>
      <c r="T2523" s="12"/>
      <c r="U2523" s="12"/>
      <c r="V2523" s="12"/>
      <c r="W2523" s="12"/>
      <c r="X2523" s="12"/>
      <c r="Y2523" s="12"/>
      <c r="Z2523" s="12"/>
      <c r="AA2523" s="12"/>
    </row>
    <row r="2524" ht="26.25" customHeight="1">
      <c r="A2524" s="34" t="s">
        <v>5058</v>
      </c>
      <c r="B2524" s="35" t="s">
        <v>5059</v>
      </c>
      <c r="C2524" s="36">
        <v>3.0</v>
      </c>
      <c r="D2524" s="37">
        <v>173.0</v>
      </c>
      <c r="E2524" s="37">
        <v>5.0</v>
      </c>
      <c r="F2524" s="24" t="str">
        <f t="array" ref="F2524">"https://www.google.com/maps/search/?api=1&amp;query=" &amp; A2524 &amp; "," &amp; B2524</f>
        <v>https://www.google.com/maps/search/?api=1&amp;query=-30.89741485180460,-55.54294689089810</v>
      </c>
      <c r="G2524" s="25" t="str">
        <f t="array" ref="G2524">"https://earth.google.com/web/search/" &amp; A2524 &amp; "," &amp; B2524</f>
        <v>https://earth.google.com/web/search/-30.89741485180460,-55.54294689089810</v>
      </c>
      <c r="H2524" s="12"/>
      <c r="I2524" s="12"/>
      <c r="J2524" s="12"/>
      <c r="K2524" s="12"/>
      <c r="L2524" s="12"/>
      <c r="M2524" s="12"/>
      <c r="N2524" s="12"/>
      <c r="O2524" s="12"/>
      <c r="P2524" s="12"/>
      <c r="Q2524" s="12"/>
      <c r="R2524" s="12"/>
      <c r="S2524" s="12"/>
      <c r="T2524" s="12"/>
      <c r="U2524" s="12"/>
      <c r="V2524" s="12"/>
      <c r="W2524" s="12"/>
      <c r="X2524" s="12"/>
      <c r="Y2524" s="12"/>
      <c r="Z2524" s="12"/>
      <c r="AA2524" s="12"/>
    </row>
    <row r="2525" ht="26.25" customHeight="1">
      <c r="A2525" s="28" t="s">
        <v>5060</v>
      </c>
      <c r="B2525" s="29" t="s">
        <v>5061</v>
      </c>
      <c r="C2525" s="30">
        <v>3.0</v>
      </c>
      <c r="D2525" s="31">
        <v>173.0</v>
      </c>
      <c r="E2525" s="31">
        <v>6.0</v>
      </c>
      <c r="F2525" s="32" t="str">
        <f t="array" ref="F2525">"https://www.google.com/maps/search/?api=1&amp;query=" &amp; A2525 &amp; "," &amp; B2525</f>
        <v>https://www.google.com/maps/search/?api=1&amp;query=-30.89749743214230,-55.54255859173740</v>
      </c>
      <c r="G2525" s="33" t="str">
        <f t="array" ref="G2525">"https://earth.google.com/web/search/" &amp; A2525 &amp; "," &amp; B2525</f>
        <v>https://earth.google.com/web/search/-30.89749743214230,-55.54255859173740</v>
      </c>
      <c r="H2525" s="12"/>
      <c r="I2525" s="12"/>
      <c r="J2525" s="12"/>
      <c r="K2525" s="12"/>
      <c r="L2525" s="12"/>
      <c r="M2525" s="12"/>
      <c r="N2525" s="12"/>
      <c r="O2525" s="12"/>
      <c r="P2525" s="12"/>
      <c r="Q2525" s="12"/>
      <c r="R2525" s="12"/>
      <c r="S2525" s="12"/>
      <c r="T2525" s="12"/>
      <c r="U2525" s="12"/>
      <c r="V2525" s="12"/>
      <c r="W2525" s="12"/>
      <c r="X2525" s="12"/>
      <c r="Y2525" s="12"/>
      <c r="Z2525" s="12"/>
      <c r="AA2525" s="12"/>
    </row>
    <row r="2526" ht="26.25" customHeight="1">
      <c r="A2526" s="34" t="s">
        <v>5062</v>
      </c>
      <c r="B2526" s="35" t="s">
        <v>5063</v>
      </c>
      <c r="C2526" s="36">
        <v>3.0</v>
      </c>
      <c r="D2526" s="37">
        <v>173.0</v>
      </c>
      <c r="E2526" s="37">
        <v>7.0</v>
      </c>
      <c r="F2526" s="24" t="str">
        <f t="array" ref="F2526">"https://www.google.com/maps/search/?api=1&amp;query=" &amp; A2526 &amp; "," &amp; B2526</f>
        <v>https://www.google.com/maps/search/?api=1&amp;query=-30.89754951521600,-55.54244869486380</v>
      </c>
      <c r="G2526" s="25" t="str">
        <f t="array" ref="G2526">"https://earth.google.com/web/search/" &amp; A2526 &amp; "," &amp; B2526</f>
        <v>https://earth.google.com/web/search/-30.89754951521600,-55.54244869486380</v>
      </c>
      <c r="H2526" s="12"/>
      <c r="I2526" s="12"/>
      <c r="J2526" s="12"/>
      <c r="K2526" s="12"/>
      <c r="L2526" s="12"/>
      <c r="M2526" s="12"/>
      <c r="N2526" s="12"/>
      <c r="O2526" s="12"/>
      <c r="P2526" s="12"/>
      <c r="Q2526" s="12"/>
      <c r="R2526" s="12"/>
      <c r="S2526" s="12"/>
      <c r="T2526" s="12"/>
      <c r="U2526" s="12"/>
      <c r="V2526" s="12"/>
      <c r="W2526" s="12"/>
      <c r="X2526" s="12"/>
      <c r="Y2526" s="12"/>
      <c r="Z2526" s="12"/>
      <c r="AA2526" s="12"/>
    </row>
    <row r="2527" ht="26.25" customHeight="1">
      <c r="A2527" s="28" t="s">
        <v>5064</v>
      </c>
      <c r="B2527" s="29" t="s">
        <v>5065</v>
      </c>
      <c r="C2527" s="30">
        <v>3.0</v>
      </c>
      <c r="D2527" s="31">
        <v>173.0</v>
      </c>
      <c r="E2527" s="31">
        <v>8.0</v>
      </c>
      <c r="F2527" s="32" t="str">
        <f t="array" ref="F2527">"https://www.google.com/maps/search/?api=1&amp;query=" &amp; A2527 &amp; "," &amp; B2527</f>
        <v>https://www.google.com/maps/search/?api=1&amp;query=-3.08979495680484,-0.55542323014411</v>
      </c>
      <c r="G2527" s="33" t="str">
        <f t="array" ref="G2527">"https://earth.google.com/web/search/" &amp; A2527 &amp; "," &amp; B2527</f>
        <v>https://earth.google.com/web/search/-3.08979495680484,-0.55542323014411</v>
      </c>
      <c r="H2527" s="12"/>
      <c r="I2527" s="12"/>
      <c r="J2527" s="12"/>
      <c r="K2527" s="12"/>
      <c r="L2527" s="12"/>
      <c r="M2527" s="12"/>
      <c r="N2527" s="12"/>
      <c r="O2527" s="12"/>
      <c r="P2527" s="12"/>
      <c r="Q2527" s="12"/>
      <c r="R2527" s="12"/>
      <c r="S2527" s="12"/>
      <c r="T2527" s="12"/>
      <c r="U2527" s="12"/>
      <c r="V2527" s="12"/>
      <c r="W2527" s="12"/>
      <c r="X2527" s="12"/>
      <c r="Y2527" s="12"/>
      <c r="Z2527" s="12"/>
      <c r="AA2527" s="12"/>
    </row>
    <row r="2528" ht="26.25" customHeight="1">
      <c r="A2528" s="34" t="s">
        <v>5066</v>
      </c>
      <c r="B2528" s="35" t="s">
        <v>5067</v>
      </c>
      <c r="C2528" s="36">
        <v>3.0</v>
      </c>
      <c r="D2528" s="37">
        <v>173.0</v>
      </c>
      <c r="E2528" s="37">
        <v>9.0</v>
      </c>
      <c r="F2528" s="24" t="str">
        <f t="array" ref="F2528">"https://www.google.com/maps/search/?api=1&amp;query=" &amp; A2528 &amp; "," &amp; B2528</f>
        <v>https://www.google.com/maps/search/?api=1&amp;query=-30.89835507582840,-55.54262727056170</v>
      </c>
      <c r="G2528" s="25" t="str">
        <f t="array" ref="G2528">"https://earth.google.com/web/search/" &amp; A2528 &amp; "," &amp; B2528</f>
        <v>https://earth.google.com/web/search/-30.89835507582840,-55.54262727056170</v>
      </c>
      <c r="H2528" s="12"/>
      <c r="I2528" s="12"/>
      <c r="J2528" s="12"/>
      <c r="K2528" s="12"/>
      <c r="L2528" s="12"/>
      <c r="M2528" s="12"/>
      <c r="N2528" s="12"/>
      <c r="O2528" s="12"/>
      <c r="P2528" s="12"/>
      <c r="Q2528" s="12"/>
      <c r="R2528" s="12"/>
      <c r="S2528" s="12"/>
      <c r="T2528" s="12"/>
      <c r="U2528" s="12"/>
      <c r="V2528" s="12"/>
      <c r="W2528" s="12"/>
      <c r="X2528" s="12"/>
      <c r="Y2528" s="12"/>
      <c r="Z2528" s="12"/>
      <c r="AA2528" s="12"/>
    </row>
    <row r="2529" ht="26.25" customHeight="1">
      <c r="A2529" s="28" t="s">
        <v>5068</v>
      </c>
      <c r="B2529" s="29" t="s">
        <v>5069</v>
      </c>
      <c r="C2529" s="30">
        <v>3.0</v>
      </c>
      <c r="D2529" s="31">
        <v>191.0</v>
      </c>
      <c r="E2529" s="31">
        <v>1.0</v>
      </c>
      <c r="F2529" s="32" t="str">
        <f t="array" ref="F2529">"https://www.google.com/maps/search/?api=1&amp;query=" &amp; A2529 &amp; "," &amp; B2529</f>
        <v>https://www.google.com/maps/search/?api=1&amp;query=-30.89856880162850,-55.54391755647040</v>
      </c>
      <c r="G2529" s="33" t="str">
        <f t="array" ref="G2529">"https://earth.google.com/web/search/" &amp; A2529 &amp; "," &amp; B2529</f>
        <v>https://earth.google.com/web/search/-30.89856880162850,-55.54391755647040</v>
      </c>
      <c r="H2529" s="12"/>
      <c r="I2529" s="12"/>
      <c r="J2529" s="12"/>
      <c r="K2529" s="12"/>
      <c r="L2529" s="12"/>
      <c r="M2529" s="12"/>
      <c r="N2529" s="12"/>
      <c r="O2529" s="12"/>
      <c r="P2529" s="12"/>
      <c r="Q2529" s="12"/>
      <c r="R2529" s="12"/>
      <c r="S2529" s="12"/>
      <c r="T2529" s="12"/>
      <c r="U2529" s="12"/>
      <c r="V2529" s="12"/>
      <c r="W2529" s="12"/>
      <c r="X2529" s="12"/>
      <c r="Y2529" s="12"/>
      <c r="Z2529" s="12"/>
      <c r="AA2529" s="12"/>
    </row>
    <row r="2530" ht="26.25" customHeight="1">
      <c r="A2530" s="34" t="s">
        <v>5070</v>
      </c>
      <c r="B2530" s="35" t="s">
        <v>5071</v>
      </c>
      <c r="C2530" s="36">
        <v>3.0</v>
      </c>
      <c r="D2530" s="37">
        <v>191.0</v>
      </c>
      <c r="E2530" s="37">
        <v>2.0</v>
      </c>
      <c r="F2530" s="24" t="str">
        <f t="array" ref="F2530">"https://www.google.com/maps/search/?api=1&amp;query=" &amp; A2530 &amp; "," &amp; B2530</f>
        <v>https://www.google.com/maps/search/?api=1&amp;query=-30.89831369800670,-55.54373101802050</v>
      </c>
      <c r="G2530" s="25" t="str">
        <f t="array" ref="G2530">"https://earth.google.com/web/search/" &amp; A2530 &amp; "," &amp; B2530</f>
        <v>https://earth.google.com/web/search/-30.89831369800670,-55.54373101802050</v>
      </c>
      <c r="H2530" s="12"/>
      <c r="I2530" s="12"/>
      <c r="J2530" s="12"/>
      <c r="K2530" s="12"/>
      <c r="L2530" s="12"/>
      <c r="M2530" s="12"/>
      <c r="N2530" s="12"/>
      <c r="O2530" s="12"/>
      <c r="P2530" s="12"/>
      <c r="Q2530" s="12"/>
      <c r="R2530" s="12"/>
      <c r="S2530" s="12"/>
      <c r="T2530" s="12"/>
      <c r="U2530" s="12"/>
      <c r="V2530" s="12"/>
      <c r="W2530" s="12"/>
      <c r="X2530" s="12"/>
      <c r="Y2530" s="12"/>
      <c r="Z2530" s="12"/>
      <c r="AA2530" s="12"/>
    </row>
    <row r="2531" ht="26.25" customHeight="1">
      <c r="A2531" s="28" t="s">
        <v>5072</v>
      </c>
      <c r="B2531" s="29" t="s">
        <v>5073</v>
      </c>
      <c r="C2531" s="30">
        <v>3.0</v>
      </c>
      <c r="D2531" s="31">
        <v>191.0</v>
      </c>
      <c r="E2531" s="31">
        <v>3.0</v>
      </c>
      <c r="F2531" s="32" t="str">
        <f t="array" ref="F2531">"https://www.google.com/maps/search/?api=1&amp;query=" &amp; A2531 &amp; "," &amp; B2531</f>
        <v>https://www.google.com/maps/search/?api=1&amp;query=-30.89825855719350,-55.54312280106700</v>
      </c>
      <c r="G2531" s="33" t="str">
        <f t="array" ref="G2531">"https://earth.google.com/web/search/" &amp; A2531 &amp; "," &amp; B2531</f>
        <v>https://earth.google.com/web/search/-30.89825855719350,-55.54312280106700</v>
      </c>
      <c r="H2531" s="12"/>
      <c r="I2531" s="12"/>
      <c r="J2531" s="12"/>
      <c r="K2531" s="12"/>
      <c r="L2531" s="12"/>
      <c r="M2531" s="12"/>
      <c r="N2531" s="12"/>
      <c r="O2531" s="12"/>
      <c r="P2531" s="12"/>
      <c r="Q2531" s="12"/>
      <c r="R2531" s="12"/>
      <c r="S2531" s="12"/>
      <c r="T2531" s="12"/>
      <c r="U2531" s="12"/>
      <c r="V2531" s="12"/>
      <c r="W2531" s="12"/>
      <c r="X2531" s="12"/>
      <c r="Y2531" s="12"/>
      <c r="Z2531" s="12"/>
      <c r="AA2531" s="12"/>
    </row>
    <row r="2532" ht="26.25" customHeight="1">
      <c r="A2532" s="34" t="s">
        <v>5074</v>
      </c>
      <c r="B2532" s="35" t="s">
        <v>5075</v>
      </c>
      <c r="C2532" s="36">
        <v>3.0</v>
      </c>
      <c r="D2532" s="37">
        <v>191.0</v>
      </c>
      <c r="E2532" s="37">
        <v>4.0</v>
      </c>
      <c r="F2532" s="24" t="str">
        <f t="array" ref="F2532">"https://www.google.com/maps/search/?api=1&amp;query=" &amp; A2532 &amp; "," &amp; B2532</f>
        <v>https://www.google.com/maps/search/?api=1&amp;query=-30.89834189837470,-55.54296281984540</v>
      </c>
      <c r="G2532" s="25" t="str">
        <f t="array" ref="G2532">"https://earth.google.com/web/search/" &amp; A2532 &amp; "," &amp; B2532</f>
        <v>https://earth.google.com/web/search/-30.89834189837470,-55.54296281984540</v>
      </c>
      <c r="H2532" s="12"/>
      <c r="I2532" s="12"/>
      <c r="J2532" s="12"/>
      <c r="K2532" s="12"/>
      <c r="L2532" s="12"/>
      <c r="M2532" s="12"/>
      <c r="N2532" s="12"/>
      <c r="O2532" s="12"/>
      <c r="P2532" s="12"/>
      <c r="Q2532" s="12"/>
      <c r="R2532" s="12"/>
      <c r="S2532" s="12"/>
      <c r="T2532" s="12"/>
      <c r="U2532" s="12"/>
      <c r="V2532" s="12"/>
      <c r="W2532" s="12"/>
      <c r="X2532" s="12"/>
      <c r="Y2532" s="12"/>
      <c r="Z2532" s="12"/>
      <c r="AA2532" s="12"/>
    </row>
    <row r="2533" ht="26.25" customHeight="1">
      <c r="A2533" s="28" t="s">
        <v>5076</v>
      </c>
      <c r="B2533" s="29" t="s">
        <v>5077</v>
      </c>
      <c r="C2533" s="30">
        <v>3.0</v>
      </c>
      <c r="D2533" s="31">
        <v>191.0</v>
      </c>
      <c r="E2533" s="31">
        <v>5.0</v>
      </c>
      <c r="F2533" s="32" t="str">
        <f t="array" ref="F2533">"https://www.google.com/maps/search/?api=1&amp;query=" &amp; A2533 &amp; "," &amp; B2533</f>
        <v>https://www.google.com/maps/search/?api=1&amp;query=-30.89858970881590,-55.54278456405330</v>
      </c>
      <c r="G2533" s="33" t="str">
        <f t="array" ref="G2533">"https://earth.google.com/web/search/" &amp; A2533 &amp; "," &amp; B2533</f>
        <v>https://earth.google.com/web/search/-30.89858970881590,-55.54278456405330</v>
      </c>
      <c r="H2533" s="12"/>
      <c r="I2533" s="12"/>
      <c r="J2533" s="12"/>
      <c r="K2533" s="12"/>
      <c r="L2533" s="12"/>
      <c r="M2533" s="12"/>
      <c r="N2533" s="12"/>
      <c r="O2533" s="12"/>
      <c r="P2533" s="12"/>
      <c r="Q2533" s="12"/>
      <c r="R2533" s="12"/>
      <c r="S2533" s="12"/>
      <c r="T2533" s="12"/>
      <c r="U2533" s="12"/>
      <c r="V2533" s="12"/>
      <c r="W2533" s="12"/>
      <c r="X2533" s="12"/>
      <c r="Y2533" s="12"/>
      <c r="Z2533" s="12"/>
      <c r="AA2533" s="12"/>
    </row>
    <row r="2534" ht="26.25" customHeight="1">
      <c r="A2534" s="34" t="s">
        <v>5078</v>
      </c>
      <c r="B2534" s="35" t="s">
        <v>5079</v>
      </c>
      <c r="C2534" s="36">
        <v>3.0</v>
      </c>
      <c r="D2534" s="37">
        <v>191.0</v>
      </c>
      <c r="E2534" s="37">
        <v>6.0</v>
      </c>
      <c r="F2534" s="24" t="str">
        <f t="array" ref="F2534">"https://www.google.com/maps/search/?api=1&amp;query=" &amp; A2534 &amp; "," &amp; B2534</f>
        <v>https://www.google.com/maps/search/?api=1&amp;query=-30.89877115161780,-55.54290520960970</v>
      </c>
      <c r="G2534" s="25" t="str">
        <f t="array" ref="G2534">"https://earth.google.com/web/search/" &amp; A2534 &amp; "," &amp; B2534</f>
        <v>https://earth.google.com/web/search/-30.89877115161780,-55.54290520960970</v>
      </c>
      <c r="H2534" s="12"/>
      <c r="I2534" s="12"/>
      <c r="J2534" s="12"/>
      <c r="K2534" s="12"/>
      <c r="L2534" s="12"/>
      <c r="M2534" s="12"/>
      <c r="N2534" s="12"/>
      <c r="O2534" s="12"/>
      <c r="P2534" s="12"/>
      <c r="Q2534" s="12"/>
      <c r="R2534" s="12"/>
      <c r="S2534" s="12"/>
      <c r="T2534" s="12"/>
      <c r="U2534" s="12"/>
      <c r="V2534" s="12"/>
      <c r="W2534" s="12"/>
      <c r="X2534" s="12"/>
      <c r="Y2534" s="12"/>
      <c r="Z2534" s="12"/>
      <c r="AA2534" s="12"/>
    </row>
    <row r="2535" ht="26.25" customHeight="1">
      <c r="A2535" s="28" t="s">
        <v>5080</v>
      </c>
      <c r="B2535" s="29" t="s">
        <v>5081</v>
      </c>
      <c r="C2535" s="30">
        <v>3.0</v>
      </c>
      <c r="D2535" s="31">
        <v>191.0</v>
      </c>
      <c r="E2535" s="31">
        <v>7.0</v>
      </c>
      <c r="F2535" s="32" t="str">
        <f t="array" ref="F2535">"https://www.google.com/maps/search/?api=1&amp;query=" &amp; A2535 &amp; "," &amp; B2535</f>
        <v>https://www.google.com/maps/search/?api=1&amp;query=-30.89881180710580,-55.54293374822450</v>
      </c>
      <c r="G2535" s="33" t="str">
        <f t="array" ref="G2535">"https://earth.google.com/web/search/" &amp; A2535 &amp; "," &amp; B2535</f>
        <v>https://earth.google.com/web/search/-30.89881180710580,-55.54293374822450</v>
      </c>
      <c r="H2535" s="12"/>
      <c r="I2535" s="12"/>
      <c r="J2535" s="12"/>
      <c r="K2535" s="12"/>
      <c r="L2535" s="12"/>
      <c r="M2535" s="12"/>
      <c r="N2535" s="12"/>
      <c r="O2535" s="12"/>
      <c r="P2535" s="12"/>
      <c r="Q2535" s="12"/>
      <c r="R2535" s="12"/>
      <c r="S2535" s="12"/>
      <c r="T2535" s="12"/>
      <c r="U2535" s="12"/>
      <c r="V2535" s="12"/>
      <c r="W2535" s="12"/>
      <c r="X2535" s="12"/>
      <c r="Y2535" s="12"/>
      <c r="Z2535" s="12"/>
      <c r="AA2535" s="12"/>
    </row>
    <row r="2536" ht="26.25" customHeight="1">
      <c r="A2536" s="34" t="s">
        <v>5082</v>
      </c>
      <c r="B2536" s="35" t="s">
        <v>5083</v>
      </c>
      <c r="C2536" s="36">
        <v>3.0</v>
      </c>
      <c r="D2536" s="37">
        <v>191.0</v>
      </c>
      <c r="E2536" s="37">
        <v>8.0</v>
      </c>
      <c r="F2536" s="24" t="str">
        <f t="array" ref="F2536">"https://www.google.com/maps/search/?api=1&amp;query=" &amp; A2536 &amp; "," &amp; B2536</f>
        <v>https://www.google.com/maps/search/?api=1&amp;query=-30.89886631787580,-55.54296267882410</v>
      </c>
      <c r="G2536" s="25" t="str">
        <f t="array" ref="G2536">"https://earth.google.com/web/search/" &amp; A2536 &amp; "," &amp; B2536</f>
        <v>https://earth.google.com/web/search/-30.89886631787580,-55.54296267882410</v>
      </c>
      <c r="H2536" s="12"/>
      <c r="I2536" s="12"/>
      <c r="J2536" s="12"/>
      <c r="K2536" s="12"/>
      <c r="L2536" s="12"/>
      <c r="M2536" s="12"/>
      <c r="N2536" s="12"/>
      <c r="O2536" s="12"/>
      <c r="P2536" s="12"/>
      <c r="Q2536" s="12"/>
      <c r="R2536" s="12"/>
      <c r="S2536" s="12"/>
      <c r="T2536" s="12"/>
      <c r="U2536" s="12"/>
      <c r="V2536" s="12"/>
      <c r="W2536" s="12"/>
      <c r="X2536" s="12"/>
      <c r="Y2536" s="12"/>
      <c r="Z2536" s="12"/>
      <c r="AA2536" s="12"/>
    </row>
    <row r="2537" ht="26.25" customHeight="1">
      <c r="A2537" s="28" t="s">
        <v>5084</v>
      </c>
      <c r="B2537" s="29" t="s">
        <v>5085</v>
      </c>
      <c r="C2537" s="30">
        <v>3.0</v>
      </c>
      <c r="D2537" s="31">
        <v>191.0</v>
      </c>
      <c r="E2537" s="31">
        <v>9.0</v>
      </c>
      <c r="F2537" s="32" t="str">
        <f t="array" ref="F2537">"https://www.google.com/maps/search/?api=1&amp;query=" &amp; A2537 &amp; "," &amp; B2537</f>
        <v>https://www.google.com/maps/search/?api=1&amp;query=-30.89894137871870,-55.54304072371070</v>
      </c>
      <c r="G2537" s="33" t="str">
        <f t="array" ref="G2537">"https://earth.google.com/web/search/" &amp; A2537 &amp; "," &amp; B2537</f>
        <v>https://earth.google.com/web/search/-30.89894137871870,-55.54304072371070</v>
      </c>
      <c r="H2537" s="12"/>
      <c r="I2537" s="12"/>
      <c r="J2537" s="12"/>
      <c r="K2537" s="12"/>
      <c r="L2537" s="12"/>
      <c r="M2537" s="12"/>
      <c r="N2537" s="12"/>
      <c r="O2537" s="12"/>
      <c r="P2537" s="12"/>
      <c r="Q2537" s="12"/>
      <c r="R2537" s="12"/>
      <c r="S2537" s="12"/>
      <c r="T2537" s="12"/>
      <c r="U2537" s="12"/>
      <c r="V2537" s="12"/>
      <c r="W2537" s="12"/>
      <c r="X2537" s="12"/>
      <c r="Y2537" s="12"/>
      <c r="Z2537" s="12"/>
      <c r="AA2537" s="12"/>
    </row>
    <row r="2538" ht="26.25" customHeight="1">
      <c r="A2538" s="34" t="s">
        <v>5086</v>
      </c>
      <c r="B2538" s="35" t="s">
        <v>5087</v>
      </c>
      <c r="C2538" s="36">
        <v>3.0</v>
      </c>
      <c r="D2538" s="37">
        <v>191.0</v>
      </c>
      <c r="E2538" s="37">
        <v>10.0</v>
      </c>
      <c r="F2538" s="24" t="str">
        <f t="array" ref="F2538">"https://www.google.com/maps/search/?api=1&amp;query=" &amp; A2538 &amp; "," &amp; B2538</f>
        <v>https://www.google.com/maps/search/?api=1&amp;query=-30.89903776114760,-55.54308792448230</v>
      </c>
      <c r="G2538" s="25" t="str">
        <f t="array" ref="G2538">"https://earth.google.com/web/search/" &amp; A2538 &amp; "," &amp; B2538</f>
        <v>https://earth.google.com/web/search/-30.89903776114760,-55.54308792448230</v>
      </c>
      <c r="H2538" s="12"/>
      <c r="I2538" s="12"/>
      <c r="J2538" s="12"/>
      <c r="K2538" s="12"/>
      <c r="L2538" s="12"/>
      <c r="M2538" s="12"/>
      <c r="N2538" s="12"/>
      <c r="O2538" s="12"/>
      <c r="P2538" s="12"/>
      <c r="Q2538" s="12"/>
      <c r="R2538" s="12"/>
      <c r="S2538" s="12"/>
      <c r="T2538" s="12"/>
      <c r="U2538" s="12"/>
      <c r="V2538" s="12"/>
      <c r="W2538" s="12"/>
      <c r="X2538" s="12"/>
      <c r="Y2538" s="12"/>
      <c r="Z2538" s="12"/>
      <c r="AA2538" s="12"/>
    </row>
    <row r="2539" ht="26.25" customHeight="1">
      <c r="A2539" s="28" t="s">
        <v>5088</v>
      </c>
      <c r="B2539" s="29" t="s">
        <v>5089</v>
      </c>
      <c r="C2539" s="30">
        <v>3.0</v>
      </c>
      <c r="D2539" s="31">
        <v>191.0</v>
      </c>
      <c r="E2539" s="31">
        <v>11.0</v>
      </c>
      <c r="F2539" s="32" t="str">
        <f t="array" ref="F2539">"https://www.google.com/maps/search/?api=1&amp;query=" &amp; A2539 &amp; "," &amp; B2539</f>
        <v>https://www.google.com/maps/search/?api=1&amp;query=-30.89913369373060,-55.54329113120320</v>
      </c>
      <c r="G2539" s="33" t="str">
        <f t="array" ref="G2539">"https://earth.google.com/web/search/" &amp; A2539 &amp; "," &amp; B2539</f>
        <v>https://earth.google.com/web/search/-30.89913369373060,-55.54329113120320</v>
      </c>
      <c r="H2539" s="12"/>
      <c r="I2539" s="12"/>
      <c r="J2539" s="12"/>
      <c r="K2539" s="12"/>
      <c r="L2539" s="12"/>
      <c r="M2539" s="12"/>
      <c r="N2539" s="12"/>
      <c r="O2539" s="12"/>
      <c r="P2539" s="12"/>
      <c r="Q2539" s="12"/>
      <c r="R2539" s="12"/>
      <c r="S2539" s="12"/>
      <c r="T2539" s="12"/>
      <c r="U2539" s="12"/>
      <c r="V2539" s="12"/>
      <c r="W2539" s="12"/>
      <c r="X2539" s="12"/>
      <c r="Y2539" s="12"/>
      <c r="Z2539" s="12"/>
      <c r="AA2539" s="12"/>
    </row>
    <row r="2540" ht="26.25" customHeight="1">
      <c r="A2540" s="34" t="s">
        <v>5090</v>
      </c>
      <c r="B2540" s="35" t="s">
        <v>5091</v>
      </c>
      <c r="C2540" s="36">
        <v>3.0</v>
      </c>
      <c r="D2540" s="37">
        <v>191.0</v>
      </c>
      <c r="E2540" s="37">
        <v>12.0</v>
      </c>
      <c r="F2540" s="24" t="str">
        <f t="array" ref="F2540">"https://www.google.com/maps/search/?api=1&amp;query=" &amp; A2540 &amp; "," &amp; B2540</f>
        <v>https://www.google.com/maps/search/?api=1&amp;query=-30.89909738482640,-55.54339070899580</v>
      </c>
      <c r="G2540" s="25" t="str">
        <f t="array" ref="G2540">"https://earth.google.com/web/search/" &amp; A2540 &amp; "," &amp; B2540</f>
        <v>https://earth.google.com/web/search/-30.89909738482640,-55.54339070899580</v>
      </c>
      <c r="H2540" s="12"/>
      <c r="I2540" s="12"/>
      <c r="J2540" s="12"/>
      <c r="K2540" s="12"/>
      <c r="L2540" s="12"/>
      <c r="M2540" s="12"/>
      <c r="N2540" s="12"/>
      <c r="O2540" s="12"/>
      <c r="P2540" s="12"/>
      <c r="Q2540" s="12"/>
      <c r="R2540" s="12"/>
      <c r="S2540" s="12"/>
      <c r="T2540" s="12"/>
      <c r="U2540" s="12"/>
      <c r="V2540" s="12"/>
      <c r="W2540" s="12"/>
      <c r="X2540" s="12"/>
      <c r="Y2540" s="12"/>
      <c r="Z2540" s="12"/>
      <c r="AA2540" s="12"/>
    </row>
    <row r="2541" ht="26.25" customHeight="1">
      <c r="A2541" s="28" t="s">
        <v>5092</v>
      </c>
      <c r="B2541" s="29" t="s">
        <v>5093</v>
      </c>
      <c r="C2541" s="30">
        <v>3.0</v>
      </c>
      <c r="D2541" s="31">
        <v>143.0</v>
      </c>
      <c r="E2541" s="31">
        <v>1.0</v>
      </c>
      <c r="F2541" s="32" t="str">
        <f t="array" ref="F2541">"https://www.google.com/maps/search/?api=1&amp;query=" &amp; A2541 &amp; "," &amp; B2541</f>
        <v>https://www.google.com/maps/search/?api=1&amp;query=-30.89401074057230,-55.54886187886540</v>
      </c>
      <c r="G2541" s="33" t="str">
        <f t="array" ref="G2541">"https://earth.google.com/web/search/" &amp; A2541 &amp; "," &amp; B2541</f>
        <v>https://earth.google.com/web/search/-30.89401074057230,-55.54886187886540</v>
      </c>
      <c r="H2541" s="12"/>
      <c r="I2541" s="12"/>
      <c r="J2541" s="12"/>
      <c r="K2541" s="12"/>
      <c r="L2541" s="12"/>
      <c r="M2541" s="12"/>
      <c r="N2541" s="12"/>
      <c r="O2541" s="12"/>
      <c r="P2541" s="12"/>
      <c r="Q2541" s="12"/>
      <c r="R2541" s="12"/>
      <c r="S2541" s="12"/>
      <c r="T2541" s="12"/>
      <c r="U2541" s="12"/>
      <c r="V2541" s="12"/>
      <c r="W2541" s="12"/>
      <c r="X2541" s="12"/>
      <c r="Y2541" s="12"/>
      <c r="Z2541" s="12"/>
      <c r="AA2541" s="12"/>
    </row>
    <row r="2542" ht="26.25" customHeight="1">
      <c r="A2542" s="34" t="s">
        <v>5094</v>
      </c>
      <c r="B2542" s="35" t="s">
        <v>5095</v>
      </c>
      <c r="C2542" s="36">
        <v>3.0</v>
      </c>
      <c r="D2542" s="37">
        <v>143.0</v>
      </c>
      <c r="E2542" s="37">
        <v>2.0</v>
      </c>
      <c r="F2542" s="24" t="str">
        <f t="array" ref="F2542">"https://www.google.com/maps/search/?api=1&amp;query=" &amp; A2542 &amp; "," &amp; B2542</f>
        <v>https://www.google.com/maps/search/?api=1&amp;query=-3.08941288817083,-55.54835623562260</v>
      </c>
      <c r="G2542" s="25" t="str">
        <f t="array" ref="G2542">"https://earth.google.com/web/search/" &amp; A2542 &amp; "," &amp; B2542</f>
        <v>https://earth.google.com/web/search/-3.08941288817083,-55.54835623562260</v>
      </c>
      <c r="H2542" s="12"/>
      <c r="I2542" s="12"/>
      <c r="J2542" s="12"/>
      <c r="K2542" s="12"/>
      <c r="L2542" s="12"/>
      <c r="M2542" s="12"/>
      <c r="N2542" s="12"/>
      <c r="O2542" s="12"/>
      <c r="P2542" s="12"/>
      <c r="Q2542" s="12"/>
      <c r="R2542" s="12"/>
      <c r="S2542" s="12"/>
      <c r="T2542" s="12"/>
      <c r="U2542" s="12"/>
      <c r="V2542" s="12"/>
      <c r="W2542" s="12"/>
      <c r="X2542" s="12"/>
      <c r="Y2542" s="12"/>
      <c r="Z2542" s="12"/>
      <c r="AA2542" s="12"/>
    </row>
    <row r="2543" ht="26.25" customHeight="1">
      <c r="A2543" s="28" t="s">
        <v>5096</v>
      </c>
      <c r="B2543" s="29" t="s">
        <v>5097</v>
      </c>
      <c r="C2543" s="30">
        <v>3.0</v>
      </c>
      <c r="D2543" s="31">
        <v>143.0</v>
      </c>
      <c r="E2543" s="31">
        <v>3.0</v>
      </c>
      <c r="F2543" s="32" t="str">
        <f t="array" ref="F2543">"https://www.google.com/maps/search/?api=1&amp;query=" &amp; A2543 &amp; "," &amp; B2543</f>
        <v>https://www.google.com/maps/search/?api=1&amp;query=-30.89395535886510,-55.54823120420660</v>
      </c>
      <c r="G2543" s="33" t="str">
        <f t="array" ref="G2543">"https://earth.google.com/web/search/" &amp; A2543 &amp; "," &amp; B2543</f>
        <v>https://earth.google.com/web/search/-30.89395535886510,-55.54823120420660</v>
      </c>
      <c r="H2543" s="12"/>
      <c r="I2543" s="12"/>
      <c r="J2543" s="12"/>
      <c r="K2543" s="12"/>
      <c r="L2543" s="12"/>
      <c r="M2543" s="12"/>
      <c r="N2543" s="12"/>
      <c r="O2543" s="12"/>
      <c r="P2543" s="12"/>
      <c r="Q2543" s="12"/>
      <c r="R2543" s="12"/>
      <c r="S2543" s="12"/>
      <c r="T2543" s="12"/>
      <c r="U2543" s="12"/>
      <c r="V2543" s="12"/>
      <c r="W2543" s="12"/>
      <c r="X2543" s="12"/>
      <c r="Y2543" s="12"/>
      <c r="Z2543" s="12"/>
      <c r="AA2543" s="12"/>
    </row>
    <row r="2544" ht="26.25" customHeight="1">
      <c r="A2544" s="34" t="s">
        <v>5098</v>
      </c>
      <c r="B2544" s="35" t="s">
        <v>5099</v>
      </c>
      <c r="C2544" s="36">
        <v>3.0</v>
      </c>
      <c r="D2544" s="37">
        <v>143.0</v>
      </c>
      <c r="E2544" s="37">
        <v>4.0</v>
      </c>
      <c r="F2544" s="24" t="str">
        <f t="array" ref="F2544">"https://www.google.com/maps/search/?api=1&amp;query=" &amp; A2544 &amp; "," &amp; B2544</f>
        <v>https://www.google.com/maps/search/?api=1&amp;query=-30.89369414561520,-55.54804436380160</v>
      </c>
      <c r="G2544" s="25" t="str">
        <f t="array" ref="G2544">"https://earth.google.com/web/search/" &amp; A2544 &amp; "," &amp; B2544</f>
        <v>https://earth.google.com/web/search/-30.89369414561520,-55.54804436380160</v>
      </c>
      <c r="H2544" s="12"/>
      <c r="I2544" s="12"/>
      <c r="J2544" s="12"/>
      <c r="K2544" s="12"/>
      <c r="L2544" s="12"/>
      <c r="M2544" s="12"/>
      <c r="N2544" s="12"/>
      <c r="O2544" s="12"/>
      <c r="P2544" s="12"/>
      <c r="Q2544" s="12"/>
      <c r="R2544" s="12"/>
      <c r="S2544" s="12"/>
      <c r="T2544" s="12"/>
      <c r="U2544" s="12"/>
      <c r="V2544" s="12"/>
      <c r="W2544" s="12"/>
      <c r="X2544" s="12"/>
      <c r="Y2544" s="12"/>
      <c r="Z2544" s="12"/>
      <c r="AA2544" s="12"/>
    </row>
    <row r="2545" ht="26.25" customHeight="1">
      <c r="A2545" s="28" t="s">
        <v>5100</v>
      </c>
      <c r="B2545" s="29" t="s">
        <v>5101</v>
      </c>
      <c r="C2545" s="30">
        <v>3.0</v>
      </c>
      <c r="D2545" s="31">
        <v>143.0</v>
      </c>
      <c r="E2545" s="31">
        <v>5.0</v>
      </c>
      <c r="F2545" s="32" t="str">
        <f t="array" ref="F2545">"https://www.google.com/maps/search/?api=1&amp;query=" &amp; A2545 &amp; "," &amp; B2545</f>
        <v>https://www.google.com/maps/search/?api=1&amp;query=-30.89359543615100,-55.54798440927410</v>
      </c>
      <c r="G2545" s="33" t="str">
        <f t="array" ref="G2545">"https://earth.google.com/web/search/" &amp; A2545 &amp; "," &amp; B2545</f>
        <v>https://earth.google.com/web/search/-30.89359543615100,-55.54798440927410</v>
      </c>
      <c r="H2545" s="12"/>
      <c r="I2545" s="12"/>
      <c r="J2545" s="12"/>
      <c r="K2545" s="12"/>
      <c r="L2545" s="12"/>
      <c r="M2545" s="12"/>
      <c r="N2545" s="12"/>
      <c r="O2545" s="12"/>
      <c r="P2545" s="12"/>
      <c r="Q2545" s="12"/>
      <c r="R2545" s="12"/>
      <c r="S2545" s="12"/>
      <c r="T2545" s="12"/>
      <c r="U2545" s="12"/>
      <c r="V2545" s="12"/>
      <c r="W2545" s="12"/>
      <c r="X2545" s="12"/>
      <c r="Y2545" s="12"/>
      <c r="Z2545" s="12"/>
      <c r="AA2545" s="12"/>
    </row>
    <row r="2546" ht="26.25" customHeight="1">
      <c r="A2546" s="34" t="s">
        <v>5102</v>
      </c>
      <c r="B2546" s="35" t="s">
        <v>5103</v>
      </c>
      <c r="C2546" s="36">
        <v>3.0</v>
      </c>
      <c r="D2546" s="37">
        <v>143.0</v>
      </c>
      <c r="E2546" s="37">
        <v>6.0</v>
      </c>
      <c r="F2546" s="24" t="str">
        <f t="array" ref="F2546">"https://www.google.com/maps/search/?api=1&amp;query=" &amp; A2546 &amp; "," &amp; B2546</f>
        <v>https://www.google.com/maps/search/?api=1&amp;query=-30.89353292755660,-55.54800635870330</v>
      </c>
      <c r="G2546" s="25" t="str">
        <f t="array" ref="G2546">"https://earth.google.com/web/search/" &amp; A2546 &amp; "," &amp; B2546</f>
        <v>https://earth.google.com/web/search/-30.89353292755660,-55.54800635870330</v>
      </c>
      <c r="H2546" s="12"/>
      <c r="I2546" s="12"/>
      <c r="J2546" s="12"/>
      <c r="K2546" s="12"/>
      <c r="L2546" s="12"/>
      <c r="M2546" s="12"/>
      <c r="N2546" s="12"/>
      <c r="O2546" s="12"/>
      <c r="P2546" s="12"/>
      <c r="Q2546" s="12"/>
      <c r="R2546" s="12"/>
      <c r="S2546" s="12"/>
      <c r="T2546" s="12"/>
      <c r="U2546" s="12"/>
      <c r="V2546" s="12"/>
      <c r="W2546" s="12"/>
      <c r="X2546" s="12"/>
      <c r="Y2546" s="12"/>
      <c r="Z2546" s="12"/>
      <c r="AA2546" s="12"/>
    </row>
    <row r="2547" ht="26.25" customHeight="1">
      <c r="A2547" s="28" t="s">
        <v>5104</v>
      </c>
      <c r="B2547" s="29" t="s">
        <v>5105</v>
      </c>
      <c r="C2547" s="30">
        <v>3.0</v>
      </c>
      <c r="D2547" s="31">
        <v>143.0</v>
      </c>
      <c r="E2547" s="31">
        <v>7.0</v>
      </c>
      <c r="F2547" s="32" t="str">
        <f t="array" ref="F2547">"https://www.google.com/maps/search/?api=1&amp;query=" &amp; A2547 &amp; "," &amp; B2547</f>
        <v>https://www.google.com/maps/search/?api=1&amp;query=-30.89338597770800,-55.54825163629430</v>
      </c>
      <c r="G2547" s="33" t="str">
        <f t="array" ref="G2547">"https://earth.google.com/web/search/" &amp; A2547 &amp; "," &amp; B2547</f>
        <v>https://earth.google.com/web/search/-30.89338597770800,-55.54825163629430</v>
      </c>
      <c r="H2547" s="12"/>
      <c r="I2547" s="12"/>
      <c r="J2547" s="12"/>
      <c r="K2547" s="12"/>
      <c r="L2547" s="12"/>
      <c r="M2547" s="12"/>
      <c r="N2547" s="12"/>
      <c r="O2547" s="12"/>
      <c r="P2547" s="12"/>
      <c r="Q2547" s="12"/>
      <c r="R2547" s="12"/>
      <c r="S2547" s="12"/>
      <c r="T2547" s="12"/>
      <c r="U2547" s="12"/>
      <c r="V2547" s="12"/>
      <c r="W2547" s="12"/>
      <c r="X2547" s="12"/>
      <c r="Y2547" s="12"/>
      <c r="Z2547" s="12"/>
      <c r="AA2547" s="12"/>
    </row>
    <row r="2548" ht="26.25" customHeight="1">
      <c r="A2548" s="34" t="s">
        <v>5106</v>
      </c>
      <c r="B2548" s="35" t="s">
        <v>5107</v>
      </c>
      <c r="C2548" s="36">
        <v>3.0</v>
      </c>
      <c r="D2548" s="37">
        <v>143.0</v>
      </c>
      <c r="E2548" s="37">
        <v>8.0</v>
      </c>
      <c r="F2548" s="24" t="str">
        <f t="array" ref="F2548">"https://www.google.com/maps/search/?api=1&amp;query=" &amp; A2548 &amp; "," &amp; B2548</f>
        <v>https://www.google.com/maps/search/?api=1&amp;query=-30.89331952711920,-55.54838483124250</v>
      </c>
      <c r="G2548" s="25" t="str">
        <f t="array" ref="G2548">"https://earth.google.com/web/search/" &amp; A2548 &amp; "," &amp; B2548</f>
        <v>https://earth.google.com/web/search/-30.89331952711920,-55.54838483124250</v>
      </c>
      <c r="H2548" s="12"/>
      <c r="I2548" s="12"/>
      <c r="J2548" s="12"/>
      <c r="K2548" s="12"/>
      <c r="L2548" s="12"/>
      <c r="M2548" s="12"/>
      <c r="N2548" s="12"/>
      <c r="O2548" s="12"/>
      <c r="P2548" s="12"/>
      <c r="Q2548" s="12"/>
      <c r="R2548" s="12"/>
      <c r="S2548" s="12"/>
      <c r="T2548" s="12"/>
      <c r="U2548" s="12"/>
      <c r="V2548" s="12"/>
      <c r="W2548" s="12"/>
      <c r="X2548" s="12"/>
      <c r="Y2548" s="12"/>
      <c r="Z2548" s="12"/>
      <c r="AA2548" s="12"/>
    </row>
    <row r="2549" ht="26.25" customHeight="1">
      <c r="A2549" s="28" t="s">
        <v>5108</v>
      </c>
      <c r="B2549" s="29" t="s">
        <v>5109</v>
      </c>
      <c r="C2549" s="30">
        <v>3.0</v>
      </c>
      <c r="D2549" s="31">
        <v>143.0</v>
      </c>
      <c r="E2549" s="31">
        <v>9.0</v>
      </c>
      <c r="F2549" s="32" t="str">
        <f t="array" ref="F2549">"https://www.google.com/maps/search/?api=1&amp;query=" &amp; A2549 &amp; "," &amp; B2549</f>
        <v>https://www.google.com/maps/search/?api=1&amp;query=-30.89314987696180,-55.54872922188440</v>
      </c>
      <c r="G2549" s="33" t="str">
        <f t="array" ref="G2549">"https://earth.google.com/web/search/" &amp; A2549 &amp; "," &amp; B2549</f>
        <v>https://earth.google.com/web/search/-30.89314987696180,-55.54872922188440</v>
      </c>
      <c r="H2549" s="12"/>
      <c r="I2549" s="12"/>
      <c r="J2549" s="12"/>
      <c r="K2549" s="12"/>
      <c r="L2549" s="12"/>
      <c r="M2549" s="12"/>
      <c r="N2549" s="12"/>
      <c r="O2549" s="12"/>
      <c r="P2549" s="12"/>
      <c r="Q2549" s="12"/>
      <c r="R2549" s="12"/>
      <c r="S2549" s="12"/>
      <c r="T2549" s="12"/>
      <c r="U2549" s="12"/>
      <c r="V2549" s="12"/>
      <c r="W2549" s="12"/>
      <c r="X2549" s="12"/>
      <c r="Y2549" s="12"/>
      <c r="Z2549" s="12"/>
      <c r="AA2549" s="12"/>
    </row>
    <row r="2550" ht="26.25" customHeight="1">
      <c r="A2550" s="34" t="s">
        <v>5110</v>
      </c>
      <c r="B2550" s="35" t="s">
        <v>5111</v>
      </c>
      <c r="C2550" s="36">
        <v>3.0</v>
      </c>
      <c r="D2550" s="37">
        <v>143.0</v>
      </c>
      <c r="E2550" s="37">
        <v>10.0</v>
      </c>
      <c r="F2550" s="24" t="str">
        <f t="array" ref="F2550">"https://www.google.com/maps/search/?api=1&amp;query=" &amp; A2550 &amp; "," &amp; B2550</f>
        <v>https://www.google.com/maps/search/?api=1&amp;query=-30.89319955864860,-5.55488046157355</v>
      </c>
      <c r="G2550" s="25" t="str">
        <f t="array" ref="G2550">"https://earth.google.com/web/search/" &amp; A2550 &amp; "," &amp; B2550</f>
        <v>https://earth.google.com/web/search/-30.89319955864860,-5.55488046157355</v>
      </c>
      <c r="H2550" s="12"/>
      <c r="I2550" s="12"/>
      <c r="J2550" s="12"/>
      <c r="K2550" s="12"/>
      <c r="L2550" s="12"/>
      <c r="M2550" s="12"/>
      <c r="N2550" s="12"/>
      <c r="O2550" s="12"/>
      <c r="P2550" s="12"/>
      <c r="Q2550" s="12"/>
      <c r="R2550" s="12"/>
      <c r="S2550" s="12"/>
      <c r="T2550" s="12"/>
      <c r="U2550" s="12"/>
      <c r="V2550" s="12"/>
      <c r="W2550" s="12"/>
      <c r="X2550" s="12"/>
      <c r="Y2550" s="12"/>
      <c r="Z2550" s="12"/>
      <c r="AA2550" s="12"/>
    </row>
    <row r="2551" ht="26.25" customHeight="1">
      <c r="A2551" s="28" t="s">
        <v>5112</v>
      </c>
      <c r="B2551" s="29" t="s">
        <v>5113</v>
      </c>
      <c r="C2551" s="30">
        <v>3.0</v>
      </c>
      <c r="D2551" s="31">
        <v>143.0</v>
      </c>
      <c r="E2551" s="31">
        <v>11.0</v>
      </c>
      <c r="F2551" s="32" t="str">
        <f t="array" ref="F2551">"https://www.google.com/maps/search/?api=1&amp;query=" &amp; A2551 &amp; "," &amp; B2551</f>
        <v>https://www.google.com/maps/search/?api=1&amp;query=-30.89325968780430,-55.54888552292470</v>
      </c>
      <c r="G2551" s="33" t="str">
        <f t="array" ref="G2551">"https://earth.google.com/web/search/" &amp; A2551 &amp; "," &amp; B2551</f>
        <v>https://earth.google.com/web/search/-30.89325968780430,-55.54888552292470</v>
      </c>
      <c r="H2551" s="12"/>
      <c r="I2551" s="12"/>
      <c r="J2551" s="12"/>
      <c r="K2551" s="12"/>
      <c r="L2551" s="12"/>
      <c r="M2551" s="12"/>
      <c r="N2551" s="12"/>
      <c r="O2551" s="12"/>
      <c r="P2551" s="12"/>
      <c r="Q2551" s="12"/>
      <c r="R2551" s="12"/>
      <c r="S2551" s="12"/>
      <c r="T2551" s="12"/>
      <c r="U2551" s="12"/>
      <c r="V2551" s="12"/>
      <c r="W2551" s="12"/>
      <c r="X2551" s="12"/>
      <c r="Y2551" s="12"/>
      <c r="Z2551" s="12"/>
      <c r="AA2551" s="12"/>
    </row>
    <row r="2552" ht="26.25" customHeight="1">
      <c r="A2552" s="34" t="s">
        <v>5114</v>
      </c>
      <c r="B2552" s="35" t="s">
        <v>5115</v>
      </c>
      <c r="C2552" s="36">
        <v>3.0</v>
      </c>
      <c r="D2552" s="37">
        <v>143.0</v>
      </c>
      <c r="E2552" s="37">
        <v>12.0</v>
      </c>
      <c r="F2552" s="24" t="str">
        <f t="array" ref="F2552">"https://www.google.com/maps/search/?api=1&amp;query=" &amp; A2552 &amp; "," &amp; B2552</f>
        <v>https://www.google.com/maps/search/?api=1&amp;query=-30.89330824920430,-55.54887602535750</v>
      </c>
      <c r="G2552" s="25" t="str">
        <f t="array" ref="G2552">"https://earth.google.com/web/search/" &amp; A2552 &amp; "," &amp; B2552</f>
        <v>https://earth.google.com/web/search/-30.89330824920430,-55.54887602535750</v>
      </c>
      <c r="H2552" s="12"/>
      <c r="I2552" s="12"/>
      <c r="J2552" s="12"/>
      <c r="K2552" s="12"/>
      <c r="L2552" s="12"/>
      <c r="M2552" s="12"/>
      <c r="N2552" s="12"/>
      <c r="O2552" s="12"/>
      <c r="P2552" s="12"/>
      <c r="Q2552" s="12"/>
      <c r="R2552" s="12"/>
      <c r="S2552" s="12"/>
      <c r="T2552" s="12"/>
      <c r="U2552" s="12"/>
      <c r="V2552" s="12"/>
      <c r="W2552" s="12"/>
      <c r="X2552" s="12"/>
      <c r="Y2552" s="12"/>
      <c r="Z2552" s="12"/>
      <c r="AA2552" s="12"/>
    </row>
    <row r="2553" ht="26.25" customHeight="1">
      <c r="A2553" s="28" t="s">
        <v>5116</v>
      </c>
      <c r="B2553" s="29" t="s">
        <v>5117</v>
      </c>
      <c r="C2553" s="30">
        <v>3.0</v>
      </c>
      <c r="D2553" s="31">
        <v>143.0</v>
      </c>
      <c r="E2553" s="31">
        <v>13.0</v>
      </c>
      <c r="F2553" s="32" t="str">
        <f t="array" ref="F2553">"https://www.google.com/maps/search/?api=1&amp;query=" &amp; A2553 &amp; "," &amp; B2553</f>
        <v>https://www.google.com/maps/search/?api=1&amp;query=-30.89336533130050,-55.54892503001720</v>
      </c>
      <c r="G2553" s="33" t="str">
        <f t="array" ref="G2553">"https://earth.google.com/web/search/" &amp; A2553 &amp; "," &amp; B2553</f>
        <v>https://earth.google.com/web/search/-30.89336533130050,-55.54892503001720</v>
      </c>
      <c r="H2553" s="12"/>
      <c r="I2553" s="12"/>
      <c r="J2553" s="12"/>
      <c r="K2553" s="12"/>
      <c r="L2553" s="12"/>
      <c r="M2553" s="12"/>
      <c r="N2553" s="12"/>
      <c r="O2553" s="12"/>
      <c r="P2553" s="12"/>
      <c r="Q2553" s="12"/>
      <c r="R2553" s="12"/>
      <c r="S2553" s="12"/>
      <c r="T2553" s="12"/>
      <c r="U2553" s="12"/>
      <c r="V2553" s="12"/>
      <c r="W2553" s="12"/>
      <c r="X2553" s="12"/>
      <c r="Y2553" s="12"/>
      <c r="Z2553" s="12"/>
      <c r="AA2553" s="12"/>
    </row>
    <row r="2554" ht="26.25" customHeight="1">
      <c r="A2554" s="34" t="s">
        <v>5118</v>
      </c>
      <c r="B2554" s="35" t="s">
        <v>5119</v>
      </c>
      <c r="C2554" s="36">
        <v>3.0</v>
      </c>
      <c r="D2554" s="37">
        <v>143.0</v>
      </c>
      <c r="E2554" s="37">
        <v>14.0</v>
      </c>
      <c r="F2554" s="24" t="str">
        <f t="array" ref="F2554">"https://www.google.com/maps/search/?api=1&amp;query=" &amp; A2554 &amp; "," &amp; B2554</f>
        <v>https://www.google.com/maps/search/?api=1&amp;query=-30.89360285013110,-55.54911340306980</v>
      </c>
      <c r="G2554" s="25" t="str">
        <f t="array" ref="G2554">"https://earth.google.com/web/search/" &amp; A2554 &amp; "," &amp; B2554</f>
        <v>https://earth.google.com/web/search/-30.89360285013110,-55.54911340306980</v>
      </c>
      <c r="H2554" s="12"/>
      <c r="I2554" s="12"/>
      <c r="J2554" s="12"/>
      <c r="K2554" s="12"/>
      <c r="L2554" s="12"/>
      <c r="M2554" s="12"/>
      <c r="N2554" s="12"/>
      <c r="O2554" s="12"/>
      <c r="P2554" s="12"/>
      <c r="Q2554" s="12"/>
      <c r="R2554" s="12"/>
      <c r="S2554" s="12"/>
      <c r="T2554" s="12"/>
      <c r="U2554" s="12"/>
      <c r="V2554" s="12"/>
      <c r="W2554" s="12"/>
      <c r="X2554" s="12"/>
      <c r="Y2554" s="12"/>
      <c r="Z2554" s="12"/>
      <c r="AA2554" s="12"/>
    </row>
    <row r="2555" ht="26.25" customHeight="1">
      <c r="A2555" s="28" t="s">
        <v>5120</v>
      </c>
      <c r="B2555" s="29" t="s">
        <v>5121</v>
      </c>
      <c r="C2555" s="30">
        <v>3.0</v>
      </c>
      <c r="D2555" s="31">
        <v>143.0</v>
      </c>
      <c r="E2555" s="31">
        <v>15.0</v>
      </c>
      <c r="F2555" s="32" t="str">
        <f t="array" ref="F2555">"https://www.google.com/maps/search/?api=1&amp;query=" &amp; A2555 &amp; "," &amp; B2555</f>
        <v>https://www.google.com/maps/search/?api=1&amp;query=-30.89392421633440,-55.54904901616270</v>
      </c>
      <c r="G2555" s="33" t="str">
        <f t="array" ref="G2555">"https://earth.google.com/web/search/" &amp; A2555 &amp; "," &amp; B2555</f>
        <v>https://earth.google.com/web/search/-30.89392421633440,-55.54904901616270</v>
      </c>
      <c r="H2555" s="12"/>
      <c r="I2555" s="12"/>
      <c r="J2555" s="12"/>
      <c r="K2555" s="12"/>
      <c r="L2555" s="12"/>
      <c r="M2555" s="12"/>
      <c r="N2555" s="12"/>
      <c r="O2555" s="12"/>
      <c r="P2555" s="12"/>
      <c r="Q2555" s="12"/>
      <c r="R2555" s="12"/>
      <c r="S2555" s="12"/>
      <c r="T2555" s="12"/>
      <c r="U2555" s="12"/>
      <c r="V2555" s="12"/>
      <c r="W2555" s="12"/>
      <c r="X2555" s="12"/>
      <c r="Y2555" s="12"/>
      <c r="Z2555" s="12"/>
      <c r="AA2555" s="12"/>
    </row>
    <row r="2556" ht="26.25" customHeight="1">
      <c r="A2556" s="34" t="s">
        <v>5122</v>
      </c>
      <c r="B2556" s="35" t="s">
        <v>5123</v>
      </c>
      <c r="C2556" s="36">
        <v>3.0</v>
      </c>
      <c r="D2556" s="37">
        <v>192.0</v>
      </c>
      <c r="E2556" s="37">
        <v>1.0</v>
      </c>
      <c r="F2556" s="24" t="str">
        <f t="array" ref="F2556">"https://www.google.com/maps/search/?api=1&amp;query=" &amp; A2556 &amp; "," &amp; B2556</f>
        <v>https://www.google.com/maps/search/?api=1&amp;query=-30.89830866776660,-55.54486434544980</v>
      </c>
      <c r="G2556" s="25" t="str">
        <f t="array" ref="G2556">"https://earth.google.com/web/search/" &amp; A2556 &amp; "," &amp; B2556</f>
        <v>https://earth.google.com/web/search/-30.89830866776660,-55.54486434544980</v>
      </c>
      <c r="H2556" s="12"/>
      <c r="I2556" s="12"/>
      <c r="J2556" s="12"/>
      <c r="K2556" s="12"/>
      <c r="L2556" s="12"/>
      <c r="M2556" s="12"/>
      <c r="N2556" s="12"/>
      <c r="O2556" s="12"/>
      <c r="P2556" s="12"/>
      <c r="Q2556" s="12"/>
      <c r="R2556" s="12"/>
      <c r="S2556" s="12"/>
      <c r="T2556" s="12"/>
      <c r="U2556" s="12"/>
      <c r="V2556" s="12"/>
      <c r="W2556" s="12"/>
      <c r="X2556" s="12"/>
      <c r="Y2556" s="12"/>
      <c r="Z2556" s="12"/>
      <c r="AA2556" s="12"/>
    </row>
    <row r="2557" ht="26.25" customHeight="1">
      <c r="A2557" s="28" t="s">
        <v>5124</v>
      </c>
      <c r="B2557" s="29" t="s">
        <v>5125</v>
      </c>
      <c r="C2557" s="30">
        <v>3.0</v>
      </c>
      <c r="D2557" s="31">
        <v>192.0</v>
      </c>
      <c r="E2557" s="31">
        <v>2.0</v>
      </c>
      <c r="F2557" s="32" t="str">
        <f t="array" ref="F2557">"https://www.google.com/maps/search/?api=1&amp;query=" &amp; A2557 &amp; "," &amp; B2557</f>
        <v>https://www.google.com/maps/search/?api=1&amp;query=-3.08983851349878,-55.54474549801490</v>
      </c>
      <c r="G2557" s="33" t="str">
        <f t="array" ref="G2557">"https://earth.google.com/web/search/" &amp; A2557 &amp; "," &amp; B2557</f>
        <v>https://earth.google.com/web/search/-3.08983851349878,-55.54474549801490</v>
      </c>
      <c r="H2557" s="12"/>
      <c r="I2557" s="12"/>
      <c r="J2557" s="12"/>
      <c r="K2557" s="12"/>
      <c r="L2557" s="12"/>
      <c r="M2557" s="12"/>
      <c r="N2557" s="12"/>
      <c r="O2557" s="12"/>
      <c r="P2557" s="12"/>
      <c r="Q2557" s="12"/>
      <c r="R2557" s="12"/>
      <c r="S2557" s="12"/>
      <c r="T2557" s="12"/>
      <c r="U2557" s="12"/>
      <c r="V2557" s="12"/>
      <c r="W2557" s="12"/>
      <c r="X2557" s="12"/>
      <c r="Y2557" s="12"/>
      <c r="Z2557" s="12"/>
      <c r="AA2557" s="12"/>
    </row>
    <row r="2558" ht="26.25" customHeight="1">
      <c r="A2558" s="34" t="s">
        <v>5126</v>
      </c>
      <c r="B2558" s="35" t="s">
        <v>5127</v>
      </c>
      <c r="C2558" s="36">
        <v>3.0</v>
      </c>
      <c r="D2558" s="37">
        <v>192.0</v>
      </c>
      <c r="E2558" s="37">
        <v>3.0</v>
      </c>
      <c r="F2558" s="24" t="str">
        <f t="array" ref="F2558">"https://www.google.com/maps/search/?api=1&amp;query=" &amp; A2558 &amp; "," &amp; B2558</f>
        <v>https://www.google.com/maps/search/?api=1&amp;query=-30.89848181043040,-55.54457419855790</v>
      </c>
      <c r="G2558" s="25" t="str">
        <f t="array" ref="G2558">"https://earth.google.com/web/search/" &amp; A2558 &amp; "," &amp; B2558</f>
        <v>https://earth.google.com/web/search/-30.89848181043040,-55.54457419855790</v>
      </c>
      <c r="H2558" s="12"/>
      <c r="I2558" s="12"/>
      <c r="J2558" s="12"/>
      <c r="K2558" s="12"/>
      <c r="L2558" s="12"/>
      <c r="M2558" s="12"/>
      <c r="N2558" s="12"/>
      <c r="O2558" s="12"/>
      <c r="P2558" s="12"/>
      <c r="Q2558" s="12"/>
      <c r="R2558" s="12"/>
      <c r="S2558" s="12"/>
      <c r="T2558" s="12"/>
      <c r="U2558" s="12"/>
      <c r="V2558" s="12"/>
      <c r="W2558" s="12"/>
      <c r="X2558" s="12"/>
      <c r="Y2558" s="12"/>
      <c r="Z2558" s="12"/>
      <c r="AA2558" s="12"/>
    </row>
    <row r="2559" ht="26.25" customHeight="1">
      <c r="A2559" s="28" t="s">
        <v>5128</v>
      </c>
      <c r="B2559" s="29" t="s">
        <v>5129</v>
      </c>
      <c r="C2559" s="30">
        <v>3.0</v>
      </c>
      <c r="D2559" s="31">
        <v>192.0</v>
      </c>
      <c r="E2559" s="31">
        <v>4.0</v>
      </c>
      <c r="F2559" s="32" t="str">
        <f t="array" ref="F2559">"https://www.google.com/maps/search/?api=1&amp;query=" &amp; A2559 &amp; "," &amp; B2559</f>
        <v>https://www.google.com/maps/search/?api=1&amp;query=-30.89860475036020,-55.54434070462770</v>
      </c>
      <c r="G2559" s="33" t="str">
        <f t="array" ref="G2559">"https://earth.google.com/web/search/" &amp; A2559 &amp; "," &amp; B2559</f>
        <v>https://earth.google.com/web/search/-30.89860475036020,-55.54434070462770</v>
      </c>
      <c r="H2559" s="12"/>
      <c r="I2559" s="12"/>
      <c r="J2559" s="12"/>
      <c r="K2559" s="12"/>
      <c r="L2559" s="12"/>
      <c r="M2559" s="12"/>
      <c r="N2559" s="12"/>
      <c r="O2559" s="12"/>
      <c r="P2559" s="12"/>
      <c r="Q2559" s="12"/>
      <c r="R2559" s="12"/>
      <c r="S2559" s="12"/>
      <c r="T2559" s="12"/>
      <c r="U2559" s="12"/>
      <c r="V2559" s="12"/>
      <c r="W2559" s="12"/>
      <c r="X2559" s="12"/>
      <c r="Y2559" s="12"/>
      <c r="Z2559" s="12"/>
      <c r="AA2559" s="12"/>
    </row>
    <row r="2560" ht="26.25" customHeight="1">
      <c r="A2560" s="34" t="s">
        <v>5130</v>
      </c>
      <c r="B2560" s="35" t="s">
        <v>5131</v>
      </c>
      <c r="C2560" s="36">
        <v>3.0</v>
      </c>
      <c r="D2560" s="37">
        <v>192.0</v>
      </c>
      <c r="E2560" s="37">
        <v>5.0</v>
      </c>
      <c r="F2560" s="24" t="str">
        <f t="array" ref="F2560">"https://www.google.com/maps/search/?api=1&amp;query=" &amp; A2560 &amp; "," &amp; B2560</f>
        <v>https://www.google.com/maps/search/?api=1&amp;query=-30.89816904457160,-55.54372688277800</v>
      </c>
      <c r="G2560" s="25" t="str">
        <f t="array" ref="G2560">"https://earth.google.com/web/search/" &amp; A2560 &amp; "," &amp; B2560</f>
        <v>https://earth.google.com/web/search/-30.89816904457160,-55.54372688277800</v>
      </c>
      <c r="H2560" s="12"/>
      <c r="I2560" s="12"/>
      <c r="J2560" s="12"/>
      <c r="K2560" s="12"/>
      <c r="L2560" s="12"/>
      <c r="M2560" s="12"/>
      <c r="N2560" s="12"/>
      <c r="O2560" s="12"/>
      <c r="P2560" s="12"/>
      <c r="Q2560" s="12"/>
      <c r="R2560" s="12"/>
      <c r="S2560" s="12"/>
      <c r="T2560" s="12"/>
      <c r="U2560" s="12"/>
      <c r="V2560" s="12"/>
      <c r="W2560" s="12"/>
      <c r="X2560" s="12"/>
      <c r="Y2560" s="12"/>
      <c r="Z2560" s="12"/>
      <c r="AA2560" s="12"/>
    </row>
    <row r="2561" ht="26.25" customHeight="1">
      <c r="A2561" s="28" t="s">
        <v>5132</v>
      </c>
      <c r="B2561" s="29" t="s">
        <v>5133</v>
      </c>
      <c r="C2561" s="30">
        <v>3.0</v>
      </c>
      <c r="D2561" s="31">
        <v>192.0</v>
      </c>
      <c r="E2561" s="31">
        <v>6.0</v>
      </c>
      <c r="F2561" s="32" t="str">
        <f t="array" ref="F2561">"https://www.google.com/maps/search/?api=1&amp;query=" &amp; A2561 &amp; "," &amp; B2561</f>
        <v>https://www.google.com/maps/search/?api=1&amp;query=-30.89774044351660,-55.54410839553930</v>
      </c>
      <c r="G2561" s="33" t="str">
        <f t="array" ref="G2561">"https://earth.google.com/web/search/" &amp; A2561 &amp; "," &amp; B2561</f>
        <v>https://earth.google.com/web/search/-30.89774044351660,-55.54410839553930</v>
      </c>
      <c r="H2561" s="12"/>
      <c r="I2561" s="12"/>
      <c r="J2561" s="12"/>
      <c r="K2561" s="12"/>
      <c r="L2561" s="12"/>
      <c r="M2561" s="12"/>
      <c r="N2561" s="12"/>
      <c r="O2561" s="12"/>
      <c r="P2561" s="12"/>
      <c r="Q2561" s="12"/>
      <c r="R2561" s="12"/>
      <c r="S2561" s="12"/>
      <c r="T2561" s="12"/>
      <c r="U2561" s="12"/>
      <c r="V2561" s="12"/>
      <c r="W2561" s="12"/>
      <c r="X2561" s="12"/>
      <c r="Y2561" s="12"/>
      <c r="Z2561" s="12"/>
      <c r="AA2561" s="12"/>
    </row>
    <row r="2562" ht="26.25" customHeight="1">
      <c r="A2562" s="34" t="s">
        <v>5134</v>
      </c>
      <c r="B2562" s="35" t="s">
        <v>5135</v>
      </c>
      <c r="C2562" s="36">
        <v>3.0</v>
      </c>
      <c r="D2562" s="37">
        <v>192.0</v>
      </c>
      <c r="E2562" s="37">
        <v>7.0</v>
      </c>
      <c r="F2562" s="24" t="str">
        <f t="array" ref="F2562">"https://www.google.com/maps/search/?api=1&amp;query=" &amp; A2562 &amp; "," &amp; B2562</f>
        <v>https://www.google.com/maps/search/?api=1&amp;query=-30.89768961214400,-55.54453048851400</v>
      </c>
      <c r="G2562" s="25" t="str">
        <f t="array" ref="G2562">"https://earth.google.com/web/search/" &amp; A2562 &amp; "," &amp; B2562</f>
        <v>https://earth.google.com/web/search/-30.89768961214400,-55.54453048851400</v>
      </c>
      <c r="H2562" s="12"/>
      <c r="I2562" s="12"/>
      <c r="J2562" s="12"/>
      <c r="K2562" s="12"/>
      <c r="L2562" s="12"/>
      <c r="M2562" s="12"/>
      <c r="N2562" s="12"/>
      <c r="O2562" s="12"/>
      <c r="P2562" s="12"/>
      <c r="Q2562" s="12"/>
      <c r="R2562" s="12"/>
      <c r="S2562" s="12"/>
      <c r="T2562" s="12"/>
      <c r="U2562" s="12"/>
      <c r="V2562" s="12"/>
      <c r="W2562" s="12"/>
      <c r="X2562" s="12"/>
      <c r="Y2562" s="12"/>
      <c r="Z2562" s="12"/>
      <c r="AA2562" s="12"/>
    </row>
    <row r="2563" ht="26.25" customHeight="1">
      <c r="A2563" s="28" t="s">
        <v>5136</v>
      </c>
      <c r="B2563" s="29" t="s">
        <v>5137</v>
      </c>
      <c r="C2563" s="30">
        <v>3.0</v>
      </c>
      <c r="D2563" s="31">
        <v>192.0</v>
      </c>
      <c r="E2563" s="31">
        <v>8.0</v>
      </c>
      <c r="F2563" s="32" t="str">
        <f t="array" ref="F2563">"https://www.google.com/maps/search/?api=1&amp;query=" &amp; A2563 &amp; "," &amp; B2563</f>
        <v>https://www.google.com/maps/search/?api=1&amp;query=-30.89783473372560,-5.55446336597758</v>
      </c>
      <c r="G2563" s="33" t="str">
        <f t="array" ref="G2563">"https://earth.google.com/web/search/" &amp; A2563 &amp; "," &amp; B2563</f>
        <v>https://earth.google.com/web/search/-30.89783473372560,-5.55446336597758</v>
      </c>
      <c r="H2563" s="12"/>
      <c r="I2563" s="12"/>
      <c r="J2563" s="12"/>
      <c r="K2563" s="12"/>
      <c r="L2563" s="12"/>
      <c r="M2563" s="12"/>
      <c r="N2563" s="12"/>
      <c r="O2563" s="12"/>
      <c r="P2563" s="12"/>
      <c r="Q2563" s="12"/>
      <c r="R2563" s="12"/>
      <c r="S2563" s="12"/>
      <c r="T2563" s="12"/>
      <c r="U2563" s="12"/>
      <c r="V2563" s="12"/>
      <c r="W2563" s="12"/>
      <c r="X2563" s="12"/>
      <c r="Y2563" s="12"/>
      <c r="Z2563" s="12"/>
      <c r="AA2563" s="12"/>
    </row>
    <row r="2564" ht="26.25" customHeight="1">
      <c r="A2564" s="34" t="s">
        <v>5138</v>
      </c>
      <c r="B2564" s="35" t="s">
        <v>5139</v>
      </c>
      <c r="C2564" s="36">
        <v>3.0</v>
      </c>
      <c r="D2564" s="37">
        <v>192.0</v>
      </c>
      <c r="E2564" s="37">
        <v>9.0</v>
      </c>
      <c r="F2564" s="24" t="str">
        <f t="array" ref="F2564">"https://www.google.com/maps/search/?api=1&amp;query=" &amp; A2564 &amp; "," &amp; B2564</f>
        <v>https://www.google.com/maps/search/?api=1&amp;query=-30.89801962439090,-55.54473946007210</v>
      </c>
      <c r="G2564" s="25" t="str">
        <f t="array" ref="G2564">"https://earth.google.com/web/search/" &amp; A2564 &amp; "," &amp; B2564</f>
        <v>https://earth.google.com/web/search/-30.89801962439090,-55.54473946007210</v>
      </c>
      <c r="H2564" s="12"/>
      <c r="I2564" s="12"/>
      <c r="J2564" s="12"/>
      <c r="K2564" s="12"/>
      <c r="L2564" s="12"/>
      <c r="M2564" s="12"/>
      <c r="N2564" s="12"/>
      <c r="O2564" s="12"/>
      <c r="P2564" s="12"/>
      <c r="Q2564" s="12"/>
      <c r="R2564" s="12"/>
      <c r="S2564" s="12"/>
      <c r="T2564" s="12"/>
      <c r="U2564" s="12"/>
      <c r="V2564" s="12"/>
      <c r="W2564" s="12"/>
      <c r="X2564" s="12"/>
      <c r="Y2564" s="12"/>
      <c r="Z2564" s="12"/>
      <c r="AA2564" s="12"/>
    </row>
    <row r="2565" ht="26.25" customHeight="1">
      <c r="A2565" s="28" t="s">
        <v>5140</v>
      </c>
      <c r="B2565" s="29" t="s">
        <v>5141</v>
      </c>
      <c r="C2565" s="30">
        <v>3.0</v>
      </c>
      <c r="D2565" s="31">
        <v>192.0</v>
      </c>
      <c r="E2565" s="31">
        <v>10.0</v>
      </c>
      <c r="F2565" s="32" t="str">
        <f t="array" ref="F2565">"https://www.google.com/maps/search/?api=1&amp;query=" &amp; A2565 &amp; "," &amp; B2565</f>
        <v>https://www.google.com/maps/search/?api=1&amp;query=-30.89811879081330,-55.54480825614890</v>
      </c>
      <c r="G2565" s="33" t="str">
        <f t="array" ref="G2565">"https://earth.google.com/web/search/" &amp; A2565 &amp; "," &amp; B2565</f>
        <v>https://earth.google.com/web/search/-30.89811879081330,-55.54480825614890</v>
      </c>
      <c r="H2565" s="12"/>
      <c r="I2565" s="12"/>
      <c r="J2565" s="12"/>
      <c r="K2565" s="12"/>
      <c r="L2565" s="12"/>
      <c r="M2565" s="12"/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/>
      <c r="AA2565" s="12"/>
    </row>
    <row r="2566" ht="26.25" customHeight="1">
      <c r="A2566" s="34" t="s">
        <v>5142</v>
      </c>
      <c r="B2566" s="35" t="s">
        <v>5143</v>
      </c>
      <c r="C2566" s="36">
        <v>3.0</v>
      </c>
      <c r="D2566" s="37">
        <v>192.0</v>
      </c>
      <c r="E2566" s="37">
        <v>11.0</v>
      </c>
      <c r="F2566" s="24" t="str">
        <f t="array" ref="F2566">"https://www.google.com/maps/search/?api=1&amp;query=" &amp; A2566 &amp; "," &amp; B2566</f>
        <v>https://www.google.com/maps/search/?api=1&amp;query=-30.89854009923450,-55.54447635071990</v>
      </c>
      <c r="G2566" s="25" t="str">
        <f t="array" ref="G2566">"https://earth.google.com/web/search/" &amp; A2566 &amp; "," &amp; B2566</f>
        <v>https://earth.google.com/web/search/-30.89854009923450,-55.54447635071990</v>
      </c>
      <c r="H2566" s="12"/>
      <c r="I2566" s="12"/>
      <c r="J2566" s="12"/>
      <c r="K2566" s="12"/>
      <c r="L2566" s="12"/>
      <c r="M2566" s="12"/>
      <c r="N2566" s="12"/>
      <c r="O2566" s="12"/>
      <c r="P2566" s="12"/>
      <c r="Q2566" s="12"/>
      <c r="R2566" s="12"/>
      <c r="S2566" s="12"/>
      <c r="T2566" s="12"/>
      <c r="U2566" s="12"/>
      <c r="V2566" s="12"/>
      <c r="W2566" s="12"/>
      <c r="X2566" s="12"/>
      <c r="Y2566" s="12"/>
      <c r="Z2566" s="12"/>
      <c r="AA2566" s="12"/>
    </row>
    <row r="2567" ht="26.25" customHeight="1">
      <c r="A2567" s="28" t="s">
        <v>5144</v>
      </c>
      <c r="B2567" s="29" t="s">
        <v>5145</v>
      </c>
      <c r="C2567" s="30">
        <v>3.0</v>
      </c>
      <c r="D2567" s="31">
        <v>193.0</v>
      </c>
      <c r="E2567" s="31">
        <v>1.0</v>
      </c>
      <c r="F2567" s="32" t="str">
        <f t="array" ref="F2567">"https://www.google.com/maps/search/?api=1&amp;query=" &amp; A2567 &amp; "," &amp; B2567</f>
        <v>https://www.google.com/maps/search/?api=1&amp;query=-30.89815030459080,-55.54517287953230</v>
      </c>
      <c r="G2567" s="33" t="str">
        <f t="array" ref="G2567">"https://earth.google.com/web/search/" &amp; A2567 &amp; "," &amp; B2567</f>
        <v>https://earth.google.com/web/search/-30.89815030459080,-55.54517287953230</v>
      </c>
      <c r="H2567" s="12"/>
      <c r="I2567" s="12"/>
      <c r="J2567" s="12"/>
      <c r="K2567" s="12"/>
      <c r="L2567" s="12"/>
      <c r="M2567" s="12"/>
      <c r="N2567" s="12"/>
      <c r="O2567" s="12"/>
      <c r="P2567" s="12"/>
      <c r="Q2567" s="12"/>
      <c r="R2567" s="12"/>
      <c r="S2567" s="12"/>
      <c r="T2567" s="12"/>
      <c r="U2567" s="12"/>
      <c r="V2567" s="12"/>
      <c r="W2567" s="12"/>
      <c r="X2567" s="12"/>
      <c r="Y2567" s="12"/>
      <c r="Z2567" s="12"/>
      <c r="AA2567" s="12"/>
    </row>
    <row r="2568" ht="26.25" customHeight="1">
      <c r="A2568" s="34" t="s">
        <v>5146</v>
      </c>
      <c r="B2568" s="35" t="s">
        <v>5147</v>
      </c>
      <c r="C2568" s="36">
        <v>3.0</v>
      </c>
      <c r="D2568" s="37">
        <v>193.0</v>
      </c>
      <c r="E2568" s="37">
        <v>2.0</v>
      </c>
      <c r="F2568" s="24" t="str">
        <f t="array" ref="F2568">"https://www.google.com/maps/search/?api=1&amp;query=" &amp; A2568 &amp; "," &amp; B2568</f>
        <v>https://www.google.com/maps/search/?api=1&amp;query=-30.89768594632540,-55.54463866566630</v>
      </c>
      <c r="G2568" s="25" t="str">
        <f t="array" ref="G2568">"https://earth.google.com/web/search/" &amp; A2568 &amp; "," &amp; B2568</f>
        <v>https://earth.google.com/web/search/-30.89768594632540,-55.54463866566630</v>
      </c>
      <c r="H2568" s="12"/>
      <c r="I2568" s="12"/>
      <c r="J2568" s="12"/>
      <c r="K2568" s="12"/>
      <c r="L2568" s="12"/>
      <c r="M2568" s="12"/>
      <c r="N2568" s="12"/>
      <c r="O2568" s="12"/>
      <c r="P2568" s="12"/>
      <c r="Q2568" s="12"/>
      <c r="R2568" s="12"/>
      <c r="S2568" s="12"/>
      <c r="T2568" s="12"/>
      <c r="U2568" s="12"/>
      <c r="V2568" s="12"/>
      <c r="W2568" s="12"/>
      <c r="X2568" s="12"/>
      <c r="Y2568" s="12"/>
      <c r="Z2568" s="12"/>
      <c r="AA2568" s="12"/>
    </row>
    <row r="2569" ht="26.25" customHeight="1">
      <c r="A2569" s="28" t="s">
        <v>5148</v>
      </c>
      <c r="B2569" s="29" t="s">
        <v>5149</v>
      </c>
      <c r="C2569" s="30">
        <v>3.0</v>
      </c>
      <c r="D2569" s="31">
        <v>193.0</v>
      </c>
      <c r="E2569" s="31">
        <v>3.0</v>
      </c>
      <c r="F2569" s="32" t="str">
        <f t="array" ref="F2569">"https://www.google.com/maps/search/?api=1&amp;query=" &amp; A2569 &amp; "," &amp; B2569</f>
        <v>https://www.google.com/maps/search/?api=1&amp;query=-30.89748295746400,-55.54458558503750</v>
      </c>
      <c r="G2569" s="33" t="str">
        <f t="array" ref="G2569">"https://earth.google.com/web/search/" &amp; A2569 &amp; "," &amp; B2569</f>
        <v>https://earth.google.com/web/search/-30.89748295746400,-55.54458558503750</v>
      </c>
      <c r="H2569" s="12"/>
      <c r="I2569" s="12"/>
      <c r="J2569" s="12"/>
      <c r="K2569" s="12"/>
      <c r="L2569" s="12"/>
      <c r="M2569" s="12"/>
      <c r="N2569" s="12"/>
      <c r="O2569" s="12"/>
      <c r="P2569" s="12"/>
      <c r="Q2569" s="12"/>
      <c r="R2569" s="12"/>
      <c r="S2569" s="12"/>
      <c r="T2569" s="12"/>
      <c r="U2569" s="12"/>
      <c r="V2569" s="12"/>
      <c r="W2569" s="12"/>
      <c r="X2569" s="12"/>
      <c r="Y2569" s="12"/>
      <c r="Z2569" s="12"/>
      <c r="AA2569" s="12"/>
    </row>
    <row r="2570" ht="26.25" customHeight="1">
      <c r="A2570" s="34" t="s">
        <v>5150</v>
      </c>
      <c r="B2570" s="35" t="s">
        <v>5151</v>
      </c>
      <c r="C2570" s="36">
        <v>3.0</v>
      </c>
      <c r="D2570" s="37">
        <v>193.0</v>
      </c>
      <c r="E2570" s="37">
        <v>4.0</v>
      </c>
      <c r="F2570" s="24" t="str">
        <f t="array" ref="F2570">"https://www.google.com/maps/search/?api=1&amp;query=" &amp; A2570 &amp; "," &amp; B2570</f>
        <v>https://www.google.com/maps/search/?api=1&amp;query=-30.89742336946460,-55.54472630116400</v>
      </c>
      <c r="G2570" s="25" t="str">
        <f t="array" ref="G2570">"https://earth.google.com/web/search/" &amp; A2570 &amp; "," &amp; B2570</f>
        <v>https://earth.google.com/web/search/-30.89742336946460,-55.54472630116400</v>
      </c>
      <c r="H2570" s="12"/>
      <c r="I2570" s="12"/>
      <c r="J2570" s="12"/>
      <c r="K2570" s="12"/>
      <c r="L2570" s="12"/>
      <c r="M2570" s="12"/>
      <c r="N2570" s="12"/>
      <c r="O2570" s="12"/>
      <c r="P2570" s="12"/>
      <c r="Q2570" s="12"/>
      <c r="R2570" s="12"/>
      <c r="S2570" s="12"/>
      <c r="T2570" s="12"/>
      <c r="U2570" s="12"/>
      <c r="V2570" s="12"/>
      <c r="W2570" s="12"/>
      <c r="X2570" s="12"/>
      <c r="Y2570" s="12"/>
      <c r="Z2570" s="12"/>
      <c r="AA2570" s="12"/>
    </row>
    <row r="2571" ht="26.25" customHeight="1">
      <c r="A2571" s="28" t="s">
        <v>5152</v>
      </c>
      <c r="B2571" s="29" t="s">
        <v>5153</v>
      </c>
      <c r="C2571" s="30">
        <v>3.0</v>
      </c>
      <c r="D2571" s="31">
        <v>193.0</v>
      </c>
      <c r="E2571" s="31">
        <v>5.0</v>
      </c>
      <c r="F2571" s="32" t="str">
        <f t="array" ref="F2571">"https://www.google.com/maps/search/?api=1&amp;query=" &amp; A2571 &amp; "," &amp; B2571</f>
        <v>https://www.google.com/maps/search/?api=1&amp;query=-30.89729715666890,-55.54495578008320</v>
      </c>
      <c r="G2571" s="33" t="str">
        <f t="array" ref="G2571">"https://earth.google.com/web/search/" &amp; A2571 &amp; "," &amp; B2571</f>
        <v>https://earth.google.com/web/search/-30.89729715666890,-55.54495578008320</v>
      </c>
      <c r="H2571" s="12"/>
      <c r="I2571" s="12"/>
      <c r="J2571" s="12"/>
      <c r="K2571" s="12"/>
      <c r="L2571" s="12"/>
      <c r="M2571" s="12"/>
      <c r="N2571" s="12"/>
      <c r="O2571" s="12"/>
      <c r="P2571" s="12"/>
      <c r="Q2571" s="12"/>
      <c r="R2571" s="12"/>
      <c r="S2571" s="12"/>
      <c r="T2571" s="12"/>
      <c r="U2571" s="12"/>
      <c r="V2571" s="12"/>
      <c r="W2571" s="12"/>
      <c r="X2571" s="12"/>
      <c r="Y2571" s="12"/>
      <c r="Z2571" s="12"/>
      <c r="AA2571" s="12"/>
    </row>
    <row r="2572" ht="26.25" customHeight="1">
      <c r="A2572" s="34" t="s">
        <v>5154</v>
      </c>
      <c r="B2572" s="35" t="s">
        <v>5155</v>
      </c>
      <c r="C2572" s="36">
        <v>3.0</v>
      </c>
      <c r="D2572" s="37">
        <v>193.0</v>
      </c>
      <c r="E2572" s="37">
        <v>6.0</v>
      </c>
      <c r="F2572" s="24" t="str">
        <f t="array" ref="F2572">"https://www.google.com/maps/search/?api=1&amp;query=" &amp; A2572 &amp; "," &amp; B2572</f>
        <v>https://www.google.com/maps/search/?api=1&amp;query=-30.89723184875030,-55.54506895334160</v>
      </c>
      <c r="G2572" s="25" t="str">
        <f t="array" ref="G2572">"https://earth.google.com/web/search/" &amp; A2572 &amp; "," &amp; B2572</f>
        <v>https://earth.google.com/web/search/-30.89723184875030,-55.54506895334160</v>
      </c>
      <c r="H2572" s="12"/>
      <c r="I2572" s="12"/>
      <c r="J2572" s="12"/>
      <c r="K2572" s="12"/>
      <c r="L2572" s="12"/>
      <c r="M2572" s="12"/>
      <c r="N2572" s="12"/>
      <c r="O2572" s="12"/>
      <c r="P2572" s="12"/>
      <c r="Q2572" s="12"/>
      <c r="R2572" s="12"/>
      <c r="S2572" s="12"/>
      <c r="T2572" s="12"/>
      <c r="U2572" s="12"/>
      <c r="V2572" s="12"/>
      <c r="W2572" s="12"/>
      <c r="X2572" s="12"/>
      <c r="Y2572" s="12"/>
      <c r="Z2572" s="12"/>
      <c r="AA2572" s="12"/>
    </row>
    <row r="2573" ht="26.25" customHeight="1">
      <c r="A2573" s="28" t="s">
        <v>5156</v>
      </c>
      <c r="B2573" s="29" t="s">
        <v>5157</v>
      </c>
      <c r="C2573" s="30">
        <v>3.0</v>
      </c>
      <c r="D2573" s="31">
        <v>193.0</v>
      </c>
      <c r="E2573" s="31">
        <v>7.0</v>
      </c>
      <c r="F2573" s="32" t="str">
        <f t="array" ref="F2573">"https://www.google.com/maps/search/?api=1&amp;query=" &amp; A2573 &amp; "," &amp; B2573</f>
        <v>https://www.google.com/maps/search/?api=1&amp;query=-30.89716034650130,-55.54518241565240</v>
      </c>
      <c r="G2573" s="33" t="str">
        <f t="array" ref="G2573">"https://earth.google.com/web/search/" &amp; A2573 &amp; "," &amp; B2573</f>
        <v>https://earth.google.com/web/search/-30.89716034650130,-55.54518241565240</v>
      </c>
      <c r="H2573" s="12"/>
      <c r="I2573" s="12"/>
      <c r="J2573" s="12"/>
      <c r="K2573" s="12"/>
      <c r="L2573" s="12"/>
      <c r="M2573" s="12"/>
      <c r="N2573" s="12"/>
      <c r="O2573" s="12"/>
      <c r="P2573" s="12"/>
      <c r="Q2573" s="12"/>
      <c r="R2573" s="12"/>
      <c r="S2573" s="12"/>
      <c r="T2573" s="12"/>
      <c r="U2573" s="12"/>
      <c r="V2573" s="12"/>
      <c r="W2573" s="12"/>
      <c r="X2573" s="12"/>
      <c r="Y2573" s="12"/>
      <c r="Z2573" s="12"/>
      <c r="AA2573" s="12"/>
    </row>
    <row r="2574" ht="26.25" customHeight="1">
      <c r="A2574" s="34" t="s">
        <v>5158</v>
      </c>
      <c r="B2574" s="35" t="s">
        <v>5159</v>
      </c>
      <c r="C2574" s="36">
        <v>3.0</v>
      </c>
      <c r="D2574" s="37">
        <v>193.0</v>
      </c>
      <c r="E2574" s="37">
        <v>8.0</v>
      </c>
      <c r="F2574" s="24" t="str">
        <f t="array" ref="F2574">"https://www.google.com/maps/search/?api=1&amp;query=" &amp; A2574 &amp; "," &amp; B2574</f>
        <v>https://www.google.com/maps/search/?api=1&amp;query=-30.89756022611380,-55.54568042275050</v>
      </c>
      <c r="G2574" s="25" t="str">
        <f t="array" ref="G2574">"https://earth.google.com/web/search/" &amp; A2574 &amp; "," &amp; B2574</f>
        <v>https://earth.google.com/web/search/-30.89756022611380,-55.54568042275050</v>
      </c>
      <c r="H2574" s="12"/>
      <c r="I2574" s="12"/>
      <c r="J2574" s="12"/>
      <c r="K2574" s="12"/>
      <c r="L2574" s="12"/>
      <c r="M2574" s="12"/>
      <c r="N2574" s="12"/>
      <c r="O2574" s="12"/>
      <c r="P2574" s="12"/>
      <c r="Q2574" s="12"/>
      <c r="R2574" s="12"/>
      <c r="S2574" s="12"/>
      <c r="T2574" s="12"/>
      <c r="U2574" s="12"/>
      <c r="V2574" s="12"/>
      <c r="W2574" s="12"/>
      <c r="X2574" s="12"/>
      <c r="Y2574" s="12"/>
      <c r="Z2574" s="12"/>
      <c r="AA2574" s="12"/>
    </row>
    <row r="2575" ht="26.25" customHeight="1">
      <c r="A2575" s="28" t="s">
        <v>5160</v>
      </c>
      <c r="B2575" s="29" t="s">
        <v>5161</v>
      </c>
      <c r="C2575" s="30">
        <v>3.0</v>
      </c>
      <c r="D2575" s="31">
        <v>193.0</v>
      </c>
      <c r="E2575" s="31">
        <v>9.0</v>
      </c>
      <c r="F2575" s="32" t="str">
        <f t="array" ref="F2575">"https://www.google.com/maps/search/?api=1&amp;query=" &amp; A2575 &amp; "," &amp; B2575</f>
        <v>https://www.google.com/maps/search/?api=1&amp;query=-30.89772460137940,-55.54579732850080</v>
      </c>
      <c r="G2575" s="33" t="str">
        <f t="array" ref="G2575">"https://earth.google.com/web/search/" &amp; A2575 &amp; "," &amp; B2575</f>
        <v>https://earth.google.com/web/search/-30.89772460137940,-55.54579732850080</v>
      </c>
      <c r="H2575" s="12"/>
      <c r="I2575" s="12"/>
      <c r="J2575" s="12"/>
      <c r="K2575" s="12"/>
      <c r="L2575" s="12"/>
      <c r="M2575" s="12"/>
      <c r="N2575" s="12"/>
      <c r="O2575" s="12"/>
      <c r="P2575" s="12"/>
      <c r="Q2575" s="12"/>
      <c r="R2575" s="12"/>
      <c r="S2575" s="12"/>
      <c r="T2575" s="12"/>
      <c r="U2575" s="12"/>
      <c r="V2575" s="12"/>
      <c r="W2575" s="12"/>
      <c r="X2575" s="12"/>
      <c r="Y2575" s="12"/>
      <c r="Z2575" s="12"/>
      <c r="AA2575" s="12"/>
    </row>
    <row r="2576" ht="26.25" customHeight="1">
      <c r="A2576" s="34" t="s">
        <v>5162</v>
      </c>
      <c r="B2576" s="35" t="s">
        <v>5163</v>
      </c>
      <c r="C2576" s="36">
        <v>3.0</v>
      </c>
      <c r="D2576" s="37">
        <v>194.0</v>
      </c>
      <c r="E2576" s="37">
        <v>1.0</v>
      </c>
      <c r="F2576" s="24" t="str">
        <f t="array" ref="F2576">"https://www.google.com/maps/search/?api=1&amp;query=" &amp; A2576 &amp; "," &amp; B2576</f>
        <v>https://www.google.com/maps/search/?api=1&amp;query=-30.89742073228770,-55.54659257671620</v>
      </c>
      <c r="G2576" s="25" t="str">
        <f t="array" ref="G2576">"https://earth.google.com/web/search/" &amp; A2576 &amp; "," &amp; B2576</f>
        <v>https://earth.google.com/web/search/-30.89742073228770,-55.54659257671620</v>
      </c>
      <c r="H2576" s="12"/>
      <c r="I2576" s="12"/>
      <c r="J2576" s="12"/>
      <c r="K2576" s="12"/>
      <c r="L2576" s="12"/>
      <c r="M2576" s="12"/>
      <c r="N2576" s="12"/>
      <c r="O2576" s="12"/>
      <c r="P2576" s="12"/>
      <c r="Q2576" s="12"/>
      <c r="R2576" s="12"/>
      <c r="S2576" s="12"/>
      <c r="T2576" s="12"/>
      <c r="U2576" s="12"/>
      <c r="V2576" s="12"/>
      <c r="W2576" s="12"/>
      <c r="X2576" s="12"/>
      <c r="Y2576" s="12"/>
      <c r="Z2576" s="12"/>
      <c r="AA2576" s="12"/>
    </row>
    <row r="2577" ht="26.25" customHeight="1">
      <c r="A2577" s="28" t="s">
        <v>5164</v>
      </c>
      <c r="B2577" s="29" t="s">
        <v>5165</v>
      </c>
      <c r="C2577" s="30">
        <v>3.0</v>
      </c>
      <c r="D2577" s="31">
        <v>194.0</v>
      </c>
      <c r="E2577" s="31">
        <v>2.0</v>
      </c>
      <c r="F2577" s="32" t="str">
        <f t="array" ref="F2577">"https://www.google.com/maps/search/?api=1&amp;query=" &amp; A2577 &amp; "," &amp; B2577</f>
        <v>https://www.google.com/maps/search/?api=1&amp;query=-30.89746624016920,-55.54652472562570</v>
      </c>
      <c r="G2577" s="33" t="str">
        <f t="array" ref="G2577">"https://earth.google.com/web/search/" &amp; A2577 &amp; "," &amp; B2577</f>
        <v>https://earth.google.com/web/search/-30.89746624016920,-55.54652472562570</v>
      </c>
      <c r="H2577" s="12"/>
      <c r="I2577" s="12"/>
      <c r="J2577" s="12"/>
      <c r="K2577" s="12"/>
      <c r="L2577" s="12"/>
      <c r="M2577" s="12"/>
      <c r="N2577" s="12"/>
      <c r="O2577" s="12"/>
      <c r="P2577" s="12"/>
      <c r="Q2577" s="12"/>
      <c r="R2577" s="12"/>
      <c r="S2577" s="12"/>
      <c r="T2577" s="12"/>
      <c r="U2577" s="12"/>
      <c r="V2577" s="12"/>
      <c r="W2577" s="12"/>
      <c r="X2577" s="12"/>
      <c r="Y2577" s="12"/>
      <c r="Z2577" s="12"/>
      <c r="AA2577" s="12"/>
    </row>
    <row r="2578" ht="26.25" customHeight="1">
      <c r="A2578" s="34" t="s">
        <v>5166</v>
      </c>
      <c r="B2578" s="35" t="s">
        <v>5167</v>
      </c>
      <c r="C2578" s="36">
        <v>3.0</v>
      </c>
      <c r="D2578" s="37">
        <v>194.0</v>
      </c>
      <c r="E2578" s="37">
        <v>3.0</v>
      </c>
      <c r="F2578" s="24" t="str">
        <f t="array" ref="F2578">"https://www.google.com/maps/search/?api=1&amp;query=" &amp; A2578 &amp; "," &amp; B2578</f>
        <v>https://www.google.com/maps/search/?api=1&amp;query=-3.08976332850103,-55.54618752564610</v>
      </c>
      <c r="G2578" s="25" t="str">
        <f t="array" ref="G2578">"https://earth.google.com/web/search/" &amp; A2578 &amp; "," &amp; B2578</f>
        <v>https://earth.google.com/web/search/-3.08976332850103,-55.54618752564610</v>
      </c>
      <c r="H2578" s="12"/>
      <c r="I2578" s="12"/>
      <c r="J2578" s="12"/>
      <c r="K2578" s="12"/>
      <c r="L2578" s="12"/>
      <c r="M2578" s="12"/>
      <c r="N2578" s="12"/>
      <c r="O2578" s="12"/>
      <c r="P2578" s="12"/>
      <c r="Q2578" s="12"/>
      <c r="R2578" s="12"/>
      <c r="S2578" s="12"/>
      <c r="T2578" s="12"/>
      <c r="U2578" s="12"/>
      <c r="V2578" s="12"/>
      <c r="W2578" s="12"/>
      <c r="X2578" s="12"/>
      <c r="Y2578" s="12"/>
      <c r="Z2578" s="12"/>
      <c r="AA2578" s="12"/>
    </row>
    <row r="2579" ht="26.25" customHeight="1">
      <c r="A2579" s="28" t="s">
        <v>5168</v>
      </c>
      <c r="B2579" s="29" t="s">
        <v>5169</v>
      </c>
      <c r="C2579" s="30">
        <v>3.0</v>
      </c>
      <c r="D2579" s="31">
        <v>194.0</v>
      </c>
      <c r="E2579" s="31">
        <v>4.0</v>
      </c>
      <c r="F2579" s="32" t="str">
        <f t="array" ref="F2579">"https://www.google.com/maps/search/?api=1&amp;query=" &amp; A2579 &amp; "," &amp; B2579</f>
        <v>https://www.google.com/maps/search/?api=1&amp;query=-30.89766690637490,-55.54612787977770</v>
      </c>
      <c r="G2579" s="33" t="str">
        <f t="array" ref="G2579">"https://earth.google.com/web/search/" &amp; A2579 &amp; "," &amp; B2579</f>
        <v>https://earth.google.com/web/search/-30.89766690637490,-55.54612787977770</v>
      </c>
      <c r="H2579" s="12"/>
      <c r="I2579" s="12"/>
      <c r="J2579" s="12"/>
      <c r="K2579" s="12"/>
      <c r="L2579" s="12"/>
      <c r="M2579" s="12"/>
      <c r="N2579" s="12"/>
      <c r="O2579" s="12"/>
      <c r="P2579" s="12"/>
      <c r="Q2579" s="12"/>
      <c r="R2579" s="12"/>
      <c r="S2579" s="12"/>
      <c r="T2579" s="12"/>
      <c r="U2579" s="12"/>
      <c r="V2579" s="12"/>
      <c r="W2579" s="12"/>
      <c r="X2579" s="12"/>
      <c r="Y2579" s="12"/>
      <c r="Z2579" s="12"/>
      <c r="AA2579" s="12"/>
    </row>
    <row r="2580" ht="26.25" customHeight="1">
      <c r="A2580" s="34" t="s">
        <v>5170</v>
      </c>
      <c r="B2580" s="35" t="s">
        <v>5171</v>
      </c>
      <c r="C2580" s="36">
        <v>3.0</v>
      </c>
      <c r="D2580" s="37">
        <v>194.0</v>
      </c>
      <c r="E2580" s="37">
        <v>5.0</v>
      </c>
      <c r="F2580" s="24" t="str">
        <f t="array" ref="F2580">"https://www.google.com/maps/search/?api=1&amp;query=" &amp; A2580 &amp; "," &amp; B2580</f>
        <v>https://www.google.com/maps/search/?api=1&amp;query=-30.89769269746320,-55.54604211369470</v>
      </c>
      <c r="G2580" s="25" t="str">
        <f t="array" ref="G2580">"https://earth.google.com/web/search/" &amp; A2580 &amp; "," &amp; B2580</f>
        <v>https://earth.google.com/web/search/-30.89769269746320,-55.54604211369470</v>
      </c>
      <c r="H2580" s="12"/>
      <c r="I2580" s="12"/>
      <c r="J2580" s="12"/>
      <c r="K2580" s="12"/>
      <c r="L2580" s="12"/>
      <c r="M2580" s="12"/>
      <c r="N2580" s="12"/>
      <c r="O2580" s="12"/>
      <c r="P2580" s="12"/>
      <c r="Q2580" s="12"/>
      <c r="R2580" s="12"/>
      <c r="S2580" s="12"/>
      <c r="T2580" s="12"/>
      <c r="U2580" s="12"/>
      <c r="V2580" s="12"/>
      <c r="W2580" s="12"/>
      <c r="X2580" s="12"/>
      <c r="Y2580" s="12"/>
      <c r="Z2580" s="12"/>
      <c r="AA2580" s="12"/>
    </row>
    <row r="2581" ht="26.25" customHeight="1">
      <c r="A2581" s="28" t="s">
        <v>5172</v>
      </c>
      <c r="B2581" s="29" t="s">
        <v>5173</v>
      </c>
      <c r="C2581" s="30">
        <v>3.0</v>
      </c>
      <c r="D2581" s="31">
        <v>194.0</v>
      </c>
      <c r="E2581" s="31">
        <v>6.0</v>
      </c>
      <c r="F2581" s="32" t="str">
        <f t="array" ref="F2581">"https://www.google.com/maps/search/?api=1&amp;query=" &amp; A2581 &amp; "," &amp; B2581</f>
        <v>https://www.google.com/maps/search/?api=1&amp;query=-30.89768275297080,-55.54588493406710</v>
      </c>
      <c r="G2581" s="33" t="str">
        <f t="array" ref="G2581">"https://earth.google.com/web/search/" &amp; A2581 &amp; "," &amp; B2581</f>
        <v>https://earth.google.com/web/search/-30.89768275297080,-55.54588493406710</v>
      </c>
      <c r="H2581" s="12"/>
      <c r="I2581" s="12"/>
      <c r="J2581" s="12"/>
      <c r="K2581" s="12"/>
      <c r="L2581" s="12"/>
      <c r="M2581" s="12"/>
      <c r="N2581" s="12"/>
      <c r="O2581" s="12"/>
      <c r="P2581" s="12"/>
      <c r="Q2581" s="12"/>
      <c r="R2581" s="12"/>
      <c r="S2581" s="12"/>
      <c r="T2581" s="12"/>
      <c r="U2581" s="12"/>
      <c r="V2581" s="12"/>
      <c r="W2581" s="12"/>
      <c r="X2581" s="12"/>
      <c r="Y2581" s="12"/>
      <c r="Z2581" s="12"/>
      <c r="AA2581" s="12"/>
    </row>
    <row r="2582" ht="26.25" customHeight="1">
      <c r="A2582" s="34" t="s">
        <v>5174</v>
      </c>
      <c r="B2582" s="35" t="s">
        <v>5175</v>
      </c>
      <c r="C2582" s="36">
        <v>3.0</v>
      </c>
      <c r="D2582" s="37">
        <v>194.0</v>
      </c>
      <c r="E2582" s="37">
        <v>7.0</v>
      </c>
      <c r="F2582" s="24" t="str">
        <f t="array" ref="F2582">"https://www.google.com/maps/search/?api=1&amp;query=" &amp; A2582 &amp; "," &amp; B2582</f>
        <v>https://www.google.com/maps/search/?api=1&amp;query=-30.89759860128340,-55.54581099994300</v>
      </c>
      <c r="G2582" s="25" t="str">
        <f t="array" ref="G2582">"https://earth.google.com/web/search/" &amp; A2582 &amp; "," &amp; B2582</f>
        <v>https://earth.google.com/web/search/-30.89759860128340,-55.54581099994300</v>
      </c>
      <c r="H2582" s="12"/>
      <c r="I2582" s="12"/>
      <c r="J2582" s="12"/>
      <c r="K2582" s="12"/>
      <c r="L2582" s="12"/>
      <c r="M2582" s="12"/>
      <c r="N2582" s="12"/>
      <c r="O2582" s="12"/>
      <c r="P2582" s="12"/>
      <c r="Q2582" s="12"/>
      <c r="R2582" s="12"/>
      <c r="S2582" s="12"/>
      <c r="T2582" s="12"/>
      <c r="U2582" s="12"/>
      <c r="V2582" s="12"/>
      <c r="W2582" s="12"/>
      <c r="X2582" s="12"/>
      <c r="Y2582" s="12"/>
      <c r="Z2582" s="12"/>
      <c r="AA2582" s="12"/>
    </row>
    <row r="2583" ht="26.25" customHeight="1">
      <c r="A2583" s="28" t="s">
        <v>5176</v>
      </c>
      <c r="B2583" s="29" t="s">
        <v>5177</v>
      </c>
      <c r="C2583" s="30">
        <v>3.0</v>
      </c>
      <c r="D2583" s="31">
        <v>194.0</v>
      </c>
      <c r="E2583" s="31">
        <v>8.0</v>
      </c>
      <c r="F2583" s="32" t="str">
        <f t="array" ref="F2583">"https://www.google.com/maps/search/?api=1&amp;query=" &amp; A2583 &amp; "," &amp; B2583</f>
        <v>https://www.google.com/maps/search/?api=1&amp;query=-30.89738124006720,-55.54567988347170</v>
      </c>
      <c r="G2583" s="33" t="str">
        <f t="array" ref="G2583">"https://earth.google.com/web/search/" &amp; A2583 &amp; "," &amp; B2583</f>
        <v>https://earth.google.com/web/search/-30.89738124006720,-55.54567988347170</v>
      </c>
      <c r="H2583" s="12"/>
      <c r="I2583" s="12"/>
      <c r="J2583" s="12"/>
      <c r="K2583" s="12"/>
      <c r="L2583" s="12"/>
      <c r="M2583" s="12"/>
      <c r="N2583" s="12"/>
      <c r="O2583" s="12"/>
      <c r="P2583" s="12"/>
      <c r="Q2583" s="12"/>
      <c r="R2583" s="12"/>
      <c r="S2583" s="12"/>
      <c r="T2583" s="12"/>
      <c r="U2583" s="12"/>
      <c r="V2583" s="12"/>
      <c r="W2583" s="12"/>
      <c r="X2583" s="12"/>
      <c r="Y2583" s="12"/>
      <c r="Z2583" s="12"/>
      <c r="AA2583" s="12"/>
    </row>
    <row r="2584" ht="26.25" customHeight="1">
      <c r="A2584" s="34" t="s">
        <v>5178</v>
      </c>
      <c r="B2584" s="35" t="s">
        <v>5179</v>
      </c>
      <c r="C2584" s="36">
        <v>3.0</v>
      </c>
      <c r="D2584" s="37">
        <v>194.0</v>
      </c>
      <c r="E2584" s="37">
        <v>9.0</v>
      </c>
      <c r="F2584" s="24" t="str">
        <f t="array" ref="F2584">"https://www.google.com/maps/search/?api=1&amp;query=" &amp; A2584 &amp; "," &amp; B2584</f>
        <v>https://www.google.com/maps/search/?api=1&amp;query=-30.89727320703700,-55.54560539670470</v>
      </c>
      <c r="G2584" s="25" t="str">
        <f t="array" ref="G2584">"https://earth.google.com/web/search/" &amp; A2584 &amp; "," &amp; B2584</f>
        <v>https://earth.google.com/web/search/-30.89727320703700,-55.54560539670470</v>
      </c>
      <c r="H2584" s="12"/>
      <c r="I2584" s="12"/>
      <c r="J2584" s="12"/>
      <c r="K2584" s="12"/>
      <c r="L2584" s="12"/>
      <c r="M2584" s="12"/>
      <c r="N2584" s="12"/>
      <c r="O2584" s="12"/>
      <c r="P2584" s="12"/>
      <c r="Q2584" s="12"/>
      <c r="R2584" s="12"/>
      <c r="S2584" s="12"/>
      <c r="T2584" s="12"/>
      <c r="U2584" s="12"/>
      <c r="V2584" s="12"/>
      <c r="W2584" s="12"/>
      <c r="X2584" s="12"/>
      <c r="Y2584" s="12"/>
      <c r="Z2584" s="12"/>
      <c r="AA2584" s="12"/>
    </row>
    <row r="2585" ht="26.25" customHeight="1">
      <c r="A2585" s="28" t="s">
        <v>5180</v>
      </c>
      <c r="B2585" s="29" t="s">
        <v>5181</v>
      </c>
      <c r="C2585" s="30">
        <v>3.0</v>
      </c>
      <c r="D2585" s="31">
        <v>194.0</v>
      </c>
      <c r="E2585" s="31">
        <v>10.0</v>
      </c>
      <c r="F2585" s="32" t="str">
        <f t="array" ref="F2585">"https://www.google.com/maps/search/?api=1&amp;query=" &amp; A2585 &amp; "," &amp; B2585</f>
        <v>https://www.google.com/maps/search/?api=1&amp;query=-30.89711699020510,-55.54550368362540</v>
      </c>
      <c r="G2585" s="33" t="str">
        <f t="array" ref="G2585">"https://earth.google.com/web/search/" &amp; A2585 &amp; "," &amp; B2585</f>
        <v>https://earth.google.com/web/search/-30.89711699020510,-55.54550368362540</v>
      </c>
      <c r="H2585" s="12"/>
      <c r="I2585" s="12"/>
      <c r="J2585" s="12"/>
      <c r="K2585" s="12"/>
      <c r="L2585" s="12"/>
      <c r="M2585" s="12"/>
      <c r="N2585" s="12"/>
      <c r="O2585" s="12"/>
      <c r="P2585" s="12"/>
      <c r="Q2585" s="12"/>
      <c r="R2585" s="12"/>
      <c r="S2585" s="12"/>
      <c r="T2585" s="12"/>
      <c r="U2585" s="12"/>
      <c r="V2585" s="12"/>
      <c r="W2585" s="12"/>
      <c r="X2585" s="12"/>
      <c r="Y2585" s="12"/>
      <c r="Z2585" s="12"/>
      <c r="AA2585" s="12"/>
    </row>
    <row r="2586" ht="26.25" customHeight="1">
      <c r="A2586" s="34" t="s">
        <v>5182</v>
      </c>
      <c r="B2586" s="35" t="s">
        <v>5183</v>
      </c>
      <c r="C2586" s="36">
        <v>3.0</v>
      </c>
      <c r="D2586" s="37">
        <v>194.0</v>
      </c>
      <c r="E2586" s="37">
        <v>11.0</v>
      </c>
      <c r="F2586" s="24" t="str">
        <f t="array" ref="F2586">"https://www.google.com/maps/search/?api=1&amp;query=" &amp; A2586 &amp; "," &amp; B2586</f>
        <v>https://www.google.com/maps/search/?api=1&amp;query=-30.89697263472780,-55.54553981828480</v>
      </c>
      <c r="G2586" s="25" t="str">
        <f t="array" ref="G2586">"https://earth.google.com/web/search/" &amp; A2586 &amp; "," &amp; B2586</f>
        <v>https://earth.google.com/web/search/-30.89697263472780,-55.54553981828480</v>
      </c>
      <c r="H2586" s="12"/>
      <c r="I2586" s="12"/>
      <c r="J2586" s="12"/>
      <c r="K2586" s="12"/>
      <c r="L2586" s="12"/>
      <c r="M2586" s="12"/>
      <c r="N2586" s="12"/>
      <c r="O2586" s="12"/>
      <c r="P2586" s="12"/>
      <c r="Q2586" s="12"/>
      <c r="R2586" s="12"/>
      <c r="S2586" s="12"/>
      <c r="T2586" s="12"/>
      <c r="U2586" s="12"/>
      <c r="V2586" s="12"/>
      <c r="W2586" s="12"/>
      <c r="X2586" s="12"/>
      <c r="Y2586" s="12"/>
      <c r="Z2586" s="12"/>
      <c r="AA2586" s="12"/>
    </row>
    <row r="2587" ht="26.25" customHeight="1">
      <c r="A2587" s="28" t="s">
        <v>5184</v>
      </c>
      <c r="B2587" s="29" t="s">
        <v>5185</v>
      </c>
      <c r="C2587" s="30">
        <v>3.0</v>
      </c>
      <c r="D2587" s="31">
        <v>194.0</v>
      </c>
      <c r="E2587" s="31">
        <v>12.0</v>
      </c>
      <c r="F2587" s="32" t="str">
        <f t="array" ref="F2587">"https://www.google.com/maps/search/?api=1&amp;query=" &amp; A2587 &amp; "," &amp; B2587</f>
        <v>https://www.google.com/maps/search/?api=1&amp;query=-30.89686297523760,-55.54575334446950</v>
      </c>
      <c r="G2587" s="33" t="str">
        <f t="array" ref="G2587">"https://earth.google.com/web/search/" &amp; A2587 &amp; "," &amp; B2587</f>
        <v>https://earth.google.com/web/search/-30.89686297523760,-55.54575334446950</v>
      </c>
      <c r="H2587" s="12"/>
      <c r="I2587" s="12"/>
      <c r="J2587" s="12"/>
      <c r="K2587" s="12"/>
      <c r="L2587" s="12"/>
      <c r="M2587" s="12"/>
      <c r="N2587" s="12"/>
      <c r="O2587" s="12"/>
      <c r="P2587" s="12"/>
      <c r="Q2587" s="12"/>
      <c r="R2587" s="12"/>
      <c r="S2587" s="12"/>
      <c r="T2587" s="12"/>
      <c r="U2587" s="12"/>
      <c r="V2587" s="12"/>
      <c r="W2587" s="12"/>
      <c r="X2587" s="12"/>
      <c r="Y2587" s="12"/>
      <c r="Z2587" s="12"/>
      <c r="AA2587" s="12"/>
    </row>
    <row r="2588" ht="26.25" customHeight="1">
      <c r="A2588" s="34" t="s">
        <v>5186</v>
      </c>
      <c r="B2588" s="35" t="s">
        <v>5187</v>
      </c>
      <c r="C2588" s="36">
        <v>3.0</v>
      </c>
      <c r="D2588" s="37">
        <v>194.0</v>
      </c>
      <c r="E2588" s="37">
        <v>13.0</v>
      </c>
      <c r="F2588" s="24" t="str">
        <f t="array" ref="F2588">"https://www.google.com/maps/search/?api=1&amp;query=" &amp; A2588 &amp; "," &amp; B2588</f>
        <v>https://www.google.com/maps/search/?api=1&amp;query=-30.89680681761320,-55.54589349825550</v>
      </c>
      <c r="G2588" s="25" t="str">
        <f t="array" ref="G2588">"https://earth.google.com/web/search/" &amp; A2588 &amp; "," &amp; B2588</f>
        <v>https://earth.google.com/web/search/-30.89680681761320,-55.54589349825550</v>
      </c>
      <c r="H2588" s="12"/>
      <c r="I2588" s="12"/>
      <c r="J2588" s="12"/>
      <c r="K2588" s="12"/>
      <c r="L2588" s="12"/>
      <c r="M2588" s="12"/>
      <c r="N2588" s="12"/>
      <c r="O2588" s="12"/>
      <c r="P2588" s="12"/>
      <c r="Q2588" s="12"/>
      <c r="R2588" s="12"/>
      <c r="S2588" s="12"/>
      <c r="T2588" s="12"/>
      <c r="U2588" s="12"/>
      <c r="V2588" s="12"/>
      <c r="W2588" s="12"/>
      <c r="X2588" s="12"/>
      <c r="Y2588" s="12"/>
      <c r="Z2588" s="12"/>
      <c r="AA2588" s="12"/>
    </row>
    <row r="2589" ht="26.25" customHeight="1">
      <c r="A2589" s="28" t="s">
        <v>5188</v>
      </c>
      <c r="B2589" s="29" t="s">
        <v>5189</v>
      </c>
      <c r="C2589" s="30">
        <v>3.0</v>
      </c>
      <c r="D2589" s="31">
        <v>194.0</v>
      </c>
      <c r="E2589" s="31">
        <v>14.0</v>
      </c>
      <c r="F2589" s="32" t="str">
        <f t="array" ref="F2589">"https://www.google.com/maps/search/?api=1&amp;query=" &amp; A2589 &amp; "," &amp; B2589</f>
        <v>https://www.google.com/maps/search/?api=1&amp;query=-30.89664664742760,-55.54618647288330</v>
      </c>
      <c r="G2589" s="33" t="str">
        <f t="array" ref="G2589">"https://earth.google.com/web/search/" &amp; A2589 &amp; "," &amp; B2589</f>
        <v>https://earth.google.com/web/search/-30.89664664742760,-55.54618647288330</v>
      </c>
      <c r="H2589" s="12"/>
      <c r="I2589" s="12"/>
      <c r="J2589" s="12"/>
      <c r="K2589" s="12"/>
      <c r="L2589" s="12"/>
      <c r="M2589" s="12"/>
      <c r="N2589" s="12"/>
      <c r="O2589" s="12"/>
      <c r="P2589" s="12"/>
      <c r="Q2589" s="12"/>
      <c r="R2589" s="12"/>
      <c r="S2589" s="12"/>
      <c r="T2589" s="12"/>
      <c r="U2589" s="12"/>
      <c r="V2589" s="12"/>
      <c r="W2589" s="12"/>
      <c r="X2589" s="12"/>
      <c r="Y2589" s="12"/>
      <c r="Z2589" s="12"/>
      <c r="AA2589" s="12"/>
    </row>
    <row r="2590" ht="26.25" customHeight="1">
      <c r="A2590" s="34" t="s">
        <v>5190</v>
      </c>
      <c r="B2590" s="35" t="s">
        <v>5191</v>
      </c>
      <c r="C2590" s="36">
        <v>3.0</v>
      </c>
      <c r="D2590" s="37">
        <v>194.0</v>
      </c>
      <c r="E2590" s="37">
        <v>15.0</v>
      </c>
      <c r="F2590" s="24" t="str">
        <f t="array" ref="F2590">"https://www.google.com/maps/search/?api=1&amp;query=" &amp; A2590 &amp; "," &amp; B2590</f>
        <v>https://www.google.com/maps/search/?api=1&amp;query=-30.89679810630800,-55.54640718376470</v>
      </c>
      <c r="G2590" s="25" t="str">
        <f t="array" ref="G2590">"https://earth.google.com/web/search/" &amp; A2590 &amp; "," &amp; B2590</f>
        <v>https://earth.google.com/web/search/-30.89679810630800,-55.54640718376470</v>
      </c>
      <c r="H2590" s="12"/>
      <c r="I2590" s="12"/>
      <c r="J2590" s="12"/>
      <c r="K2590" s="12"/>
      <c r="L2590" s="12"/>
      <c r="M2590" s="12"/>
      <c r="N2590" s="12"/>
      <c r="O2590" s="12"/>
      <c r="P2590" s="12"/>
      <c r="Q2590" s="12"/>
      <c r="R2590" s="12"/>
      <c r="S2590" s="12"/>
      <c r="T2590" s="12"/>
      <c r="U2590" s="12"/>
      <c r="V2590" s="12"/>
      <c r="W2590" s="12"/>
      <c r="X2590" s="12"/>
      <c r="Y2590" s="12"/>
      <c r="Z2590" s="12"/>
      <c r="AA2590" s="12"/>
    </row>
    <row r="2591" ht="26.25" customHeight="1">
      <c r="A2591" s="28" t="s">
        <v>5192</v>
      </c>
      <c r="B2591" s="29" t="s">
        <v>5193</v>
      </c>
      <c r="C2591" s="30">
        <v>3.0</v>
      </c>
      <c r="D2591" s="31">
        <v>195.0</v>
      </c>
      <c r="E2591" s="31">
        <v>1.0</v>
      </c>
      <c r="F2591" s="32" t="str">
        <f t="array" ref="F2591">"https://www.google.com/maps/search/?api=1&amp;query=" &amp; A2591 &amp; "," &amp; B2591</f>
        <v>https://www.google.com/maps/search/?api=1&amp;query=-30.89707934854080,-55.54719044493000</v>
      </c>
      <c r="G2591" s="33" t="str">
        <f t="array" ref="G2591">"https://earth.google.com/web/search/" &amp; A2591 &amp; "," &amp; B2591</f>
        <v>https://earth.google.com/web/search/-30.89707934854080,-55.54719044493000</v>
      </c>
      <c r="H2591" s="12"/>
      <c r="I2591" s="12"/>
      <c r="J2591" s="12"/>
      <c r="K2591" s="12"/>
      <c r="L2591" s="12"/>
      <c r="M2591" s="12"/>
      <c r="N2591" s="12"/>
      <c r="O2591" s="12"/>
      <c r="P2591" s="12"/>
      <c r="Q2591" s="12"/>
      <c r="R2591" s="12"/>
      <c r="S2591" s="12"/>
      <c r="T2591" s="12"/>
      <c r="U2591" s="12"/>
      <c r="V2591" s="12"/>
      <c r="W2591" s="12"/>
      <c r="X2591" s="12"/>
      <c r="Y2591" s="12"/>
      <c r="Z2591" s="12"/>
      <c r="AA2591" s="12"/>
    </row>
    <row r="2592" ht="26.25" customHeight="1">
      <c r="A2592" s="34" t="s">
        <v>5194</v>
      </c>
      <c r="B2592" s="35" t="s">
        <v>5195</v>
      </c>
      <c r="C2592" s="36">
        <v>3.0</v>
      </c>
      <c r="D2592" s="37">
        <v>195.0</v>
      </c>
      <c r="E2592" s="37">
        <v>2.0</v>
      </c>
      <c r="F2592" s="24" t="str">
        <f t="array" ref="F2592">"https://www.google.com/maps/search/?api=1&amp;query=" &amp; A2592 &amp; "," &amp; B2592</f>
        <v>https://www.google.com/maps/search/?api=1&amp;query=-30.89720541061570,-55.54699089125920</v>
      </c>
      <c r="G2592" s="25" t="str">
        <f t="array" ref="G2592">"https://earth.google.com/web/search/" &amp; A2592 &amp; "," &amp; B2592</f>
        <v>https://earth.google.com/web/search/-30.89720541061570,-55.54699089125920</v>
      </c>
      <c r="H2592" s="12"/>
      <c r="I2592" s="12"/>
      <c r="J2592" s="12"/>
      <c r="K2592" s="12"/>
      <c r="L2592" s="12"/>
      <c r="M2592" s="12"/>
      <c r="N2592" s="12"/>
      <c r="O2592" s="12"/>
      <c r="P2592" s="12"/>
      <c r="Q2592" s="12"/>
      <c r="R2592" s="12"/>
      <c r="S2592" s="12"/>
      <c r="T2592" s="12"/>
      <c r="U2592" s="12"/>
      <c r="V2592" s="12"/>
      <c r="W2592" s="12"/>
      <c r="X2592" s="12"/>
      <c r="Y2592" s="12"/>
      <c r="Z2592" s="12"/>
      <c r="AA2592" s="12"/>
    </row>
    <row r="2593" ht="26.25" customHeight="1">
      <c r="A2593" s="28" t="s">
        <v>5196</v>
      </c>
      <c r="B2593" s="29" t="s">
        <v>5197</v>
      </c>
      <c r="C2593" s="30">
        <v>3.0</v>
      </c>
      <c r="D2593" s="31">
        <v>195.0</v>
      </c>
      <c r="E2593" s="31">
        <v>3.0</v>
      </c>
      <c r="F2593" s="32" t="str">
        <f t="array" ref="F2593">"https://www.google.com/maps/search/?api=1&amp;query=" &amp; A2593 &amp; "," &amp; B2593</f>
        <v>https://www.google.com/maps/search/?api=1&amp;query=-30.89723836095680,-55.54680204378960</v>
      </c>
      <c r="G2593" s="33" t="str">
        <f t="array" ref="G2593">"https://earth.google.com/web/search/" &amp; A2593 &amp; "," &amp; B2593</f>
        <v>https://earth.google.com/web/search/-30.89723836095680,-55.54680204378960</v>
      </c>
      <c r="H2593" s="12"/>
      <c r="I2593" s="12"/>
      <c r="J2593" s="12"/>
      <c r="K2593" s="12"/>
      <c r="L2593" s="12"/>
      <c r="M2593" s="12"/>
      <c r="N2593" s="12"/>
      <c r="O2593" s="12"/>
      <c r="P2593" s="12"/>
      <c r="Q2593" s="12"/>
      <c r="R2593" s="12"/>
      <c r="S2593" s="12"/>
      <c r="T2593" s="12"/>
      <c r="U2593" s="12"/>
      <c r="V2593" s="12"/>
      <c r="W2593" s="12"/>
      <c r="X2593" s="12"/>
      <c r="Y2593" s="12"/>
      <c r="Z2593" s="12"/>
      <c r="AA2593" s="12"/>
    </row>
    <row r="2594" ht="26.25" customHeight="1">
      <c r="A2594" s="34" t="s">
        <v>5198</v>
      </c>
      <c r="B2594" s="35" t="s">
        <v>5199</v>
      </c>
      <c r="C2594" s="36">
        <v>3.0</v>
      </c>
      <c r="D2594" s="37">
        <v>195.0</v>
      </c>
      <c r="E2594" s="37">
        <v>4.0</v>
      </c>
      <c r="F2594" s="24" t="str">
        <f t="array" ref="F2594">"https://www.google.com/maps/search/?api=1&amp;query=" &amp; A2594 &amp; "," &amp; B2594</f>
        <v>https://www.google.com/maps/search/?api=1&amp;query=-30.89717911868180,-55.54677039037620</v>
      </c>
      <c r="G2594" s="25" t="str">
        <f t="array" ref="G2594">"https://earth.google.com/web/search/" &amp; A2594 &amp; "," &amp; B2594</f>
        <v>https://earth.google.com/web/search/-30.89717911868180,-55.54677039037620</v>
      </c>
      <c r="H2594" s="12"/>
      <c r="I2594" s="12"/>
      <c r="J2594" s="12"/>
      <c r="K2594" s="12"/>
      <c r="L2594" s="12"/>
      <c r="M2594" s="12"/>
      <c r="N2594" s="12"/>
      <c r="O2594" s="12"/>
      <c r="P2594" s="12"/>
      <c r="Q2594" s="12"/>
      <c r="R2594" s="12"/>
      <c r="S2594" s="12"/>
      <c r="T2594" s="12"/>
      <c r="U2594" s="12"/>
      <c r="V2594" s="12"/>
      <c r="W2594" s="12"/>
      <c r="X2594" s="12"/>
      <c r="Y2594" s="12"/>
      <c r="Z2594" s="12"/>
      <c r="AA2594" s="12"/>
    </row>
    <row r="2595" ht="26.25" customHeight="1">
      <c r="A2595" s="28" t="s">
        <v>5200</v>
      </c>
      <c r="B2595" s="29" t="s">
        <v>5201</v>
      </c>
      <c r="C2595" s="30">
        <v>3.0</v>
      </c>
      <c r="D2595" s="31">
        <v>195.0</v>
      </c>
      <c r="E2595" s="31">
        <v>5.0</v>
      </c>
      <c r="F2595" s="32" t="str">
        <f t="array" ref="F2595">"https://www.google.com/maps/search/?api=1&amp;query=" &amp; A2595 &amp; "," &amp; B2595</f>
        <v>https://www.google.com/maps/search/?api=1&amp;query=-30.89711338597670,-55.54671752216000</v>
      </c>
      <c r="G2595" s="33" t="str">
        <f t="array" ref="G2595">"https://earth.google.com/web/search/" &amp; A2595 &amp; "," &amp; B2595</f>
        <v>https://earth.google.com/web/search/-30.89711338597670,-55.54671752216000</v>
      </c>
      <c r="H2595" s="12"/>
      <c r="I2595" s="12"/>
      <c r="J2595" s="12"/>
      <c r="K2595" s="12"/>
      <c r="L2595" s="12"/>
      <c r="M2595" s="12"/>
      <c r="N2595" s="12"/>
      <c r="O2595" s="12"/>
      <c r="P2595" s="12"/>
      <c r="Q2595" s="12"/>
      <c r="R2595" s="12"/>
      <c r="S2595" s="12"/>
      <c r="T2595" s="12"/>
      <c r="U2595" s="12"/>
      <c r="V2595" s="12"/>
      <c r="W2595" s="12"/>
      <c r="X2595" s="12"/>
      <c r="Y2595" s="12"/>
      <c r="Z2595" s="12"/>
      <c r="AA2595" s="12"/>
    </row>
    <row r="2596" ht="26.25" customHeight="1">
      <c r="A2596" s="34" t="s">
        <v>5202</v>
      </c>
      <c r="B2596" s="35" t="s">
        <v>5203</v>
      </c>
      <c r="C2596" s="36">
        <v>3.0</v>
      </c>
      <c r="D2596" s="37">
        <v>195.0</v>
      </c>
      <c r="E2596" s="37">
        <v>7.0</v>
      </c>
      <c r="F2596" s="24" t="str">
        <f t="array" ref="F2596">"https://www.google.com/maps/search/?api=1&amp;query=" &amp; A2596 &amp; "," &amp; B2596</f>
        <v>https://www.google.com/maps/search/?api=1&amp;query=-30.89673498900310,-55.54646713296140</v>
      </c>
      <c r="G2596" s="25" t="str">
        <f t="array" ref="G2596">"https://earth.google.com/web/search/" &amp; A2596 &amp; "," &amp; B2596</f>
        <v>https://earth.google.com/web/search/-30.89673498900310,-55.54646713296140</v>
      </c>
      <c r="H2596" s="12"/>
      <c r="I2596" s="12"/>
      <c r="J2596" s="12"/>
      <c r="K2596" s="12"/>
      <c r="L2596" s="12"/>
      <c r="M2596" s="12"/>
      <c r="N2596" s="12"/>
      <c r="O2596" s="12"/>
      <c r="P2596" s="12"/>
      <c r="Q2596" s="12"/>
      <c r="R2596" s="12"/>
      <c r="S2596" s="12"/>
      <c r="T2596" s="12"/>
      <c r="U2596" s="12"/>
      <c r="V2596" s="12"/>
      <c r="W2596" s="12"/>
      <c r="X2596" s="12"/>
      <c r="Y2596" s="12"/>
      <c r="Z2596" s="12"/>
      <c r="AA2596" s="12"/>
    </row>
    <row r="2597" ht="26.25" customHeight="1">
      <c r="A2597" s="28" t="s">
        <v>5204</v>
      </c>
      <c r="B2597" s="29" t="s">
        <v>5205</v>
      </c>
      <c r="C2597" s="30">
        <v>3.0</v>
      </c>
      <c r="D2597" s="31">
        <v>195.0</v>
      </c>
      <c r="E2597" s="31">
        <v>6.0</v>
      </c>
      <c r="F2597" s="32" t="str">
        <f t="array" ref="F2597">"https://www.google.com/maps/search/?api=1&amp;query=" &amp; A2597 &amp; "," &amp; B2597</f>
        <v>https://www.google.com/maps/search/?api=1&amp;query=-30.89688596610200,-55.54658675123410</v>
      </c>
      <c r="G2597" s="33" t="str">
        <f t="array" ref="G2597">"https://earth.google.com/web/search/" &amp; A2597 &amp; "," &amp; B2597</f>
        <v>https://earth.google.com/web/search/-30.89688596610200,-55.54658675123410</v>
      </c>
      <c r="H2597" s="12"/>
      <c r="I2597" s="12"/>
      <c r="J2597" s="12"/>
      <c r="K2597" s="12"/>
      <c r="L2597" s="12"/>
      <c r="M2597" s="12"/>
      <c r="N2597" s="12"/>
      <c r="O2597" s="12"/>
      <c r="P2597" s="12"/>
      <c r="Q2597" s="12"/>
      <c r="R2597" s="12"/>
      <c r="S2597" s="12"/>
      <c r="T2597" s="12"/>
      <c r="U2597" s="12"/>
      <c r="V2597" s="12"/>
      <c r="W2597" s="12"/>
      <c r="X2597" s="12"/>
      <c r="Y2597" s="12"/>
      <c r="Z2597" s="12"/>
      <c r="AA2597" s="12"/>
    </row>
    <row r="2598" ht="26.25" customHeight="1">
      <c r="A2598" s="34" t="s">
        <v>5206</v>
      </c>
      <c r="B2598" s="35" t="s">
        <v>5207</v>
      </c>
      <c r="C2598" s="36">
        <v>3.0</v>
      </c>
      <c r="D2598" s="37">
        <v>195.0</v>
      </c>
      <c r="E2598" s="37">
        <v>8.0</v>
      </c>
      <c r="F2598" s="24" t="str">
        <f t="array" ref="F2598">"https://www.google.com/maps/search/?api=1&amp;query=" &amp; A2598 &amp; "," &amp; B2598</f>
        <v>https://www.google.com/maps/search/?api=1&amp;query=-30.89649722415850,-55.54647237620210</v>
      </c>
      <c r="G2598" s="25" t="str">
        <f t="array" ref="G2598">"https://earth.google.com/web/search/" &amp; A2598 &amp; "," &amp; B2598</f>
        <v>https://earth.google.com/web/search/-30.89649722415850,-55.54647237620210</v>
      </c>
      <c r="H2598" s="12"/>
      <c r="I2598" s="12"/>
      <c r="J2598" s="12"/>
      <c r="K2598" s="12"/>
      <c r="L2598" s="12"/>
      <c r="M2598" s="12"/>
      <c r="N2598" s="12"/>
      <c r="O2598" s="12"/>
      <c r="P2598" s="12"/>
      <c r="Q2598" s="12"/>
      <c r="R2598" s="12"/>
      <c r="S2598" s="12"/>
      <c r="T2598" s="12"/>
      <c r="U2598" s="12"/>
      <c r="V2598" s="12"/>
      <c r="W2598" s="12"/>
      <c r="X2598" s="12"/>
      <c r="Y2598" s="12"/>
      <c r="Z2598" s="12"/>
      <c r="AA2598" s="12"/>
    </row>
    <row r="2599" ht="26.25" customHeight="1">
      <c r="A2599" s="28" t="s">
        <v>5208</v>
      </c>
      <c r="B2599" s="29" t="s">
        <v>5209</v>
      </c>
      <c r="C2599" s="30">
        <v>3.0</v>
      </c>
      <c r="D2599" s="31">
        <v>196.0</v>
      </c>
      <c r="E2599" s="31">
        <v>1.0</v>
      </c>
      <c r="F2599" s="32" t="str">
        <f t="array" ref="F2599">"https://www.google.com/maps/search/?api=1&amp;query=" &amp; A2599 &amp; "," &amp; B2599</f>
        <v>https://www.google.com/maps/search/?api=1&amp;query=-3.08966839128364,-55.54793650102410</v>
      </c>
      <c r="G2599" s="33" t="str">
        <f t="array" ref="G2599">"https://earth.google.com/web/search/" &amp; A2599 &amp; "," &amp; B2599</f>
        <v>https://earth.google.com/web/search/-3.08966839128364,-55.54793650102410</v>
      </c>
      <c r="H2599" s="12"/>
      <c r="I2599" s="12"/>
      <c r="J2599" s="12"/>
      <c r="K2599" s="12"/>
      <c r="L2599" s="12"/>
      <c r="M2599" s="12"/>
      <c r="N2599" s="12"/>
      <c r="O2599" s="12"/>
      <c r="P2599" s="12"/>
      <c r="Q2599" s="12"/>
      <c r="R2599" s="12"/>
      <c r="S2599" s="12"/>
      <c r="T2599" s="12"/>
      <c r="U2599" s="12"/>
      <c r="V2599" s="12"/>
      <c r="W2599" s="12"/>
      <c r="X2599" s="12"/>
      <c r="Y2599" s="12"/>
      <c r="Z2599" s="12"/>
      <c r="AA2599" s="12"/>
    </row>
    <row r="2600" ht="26.25" customHeight="1">
      <c r="A2600" s="34" t="s">
        <v>5210</v>
      </c>
      <c r="B2600" s="35" t="s">
        <v>5211</v>
      </c>
      <c r="C2600" s="36">
        <v>3.0</v>
      </c>
      <c r="D2600" s="37">
        <v>196.0</v>
      </c>
      <c r="E2600" s="37">
        <v>2.0</v>
      </c>
      <c r="F2600" s="24" t="str">
        <f t="array" ref="F2600">"https://www.google.com/maps/search/?api=1&amp;query=" &amp; A2600 &amp; "," &amp; B2600</f>
        <v>https://www.google.com/maps/search/?api=1&amp;query=-30.89672305125860,-5.55478405191435</v>
      </c>
      <c r="G2600" s="25" t="str">
        <f t="array" ref="G2600">"https://earth.google.com/web/search/" &amp; A2600 &amp; "," &amp; B2600</f>
        <v>https://earth.google.com/web/search/-30.89672305125860,-5.55478405191435</v>
      </c>
      <c r="H2600" s="12"/>
      <c r="I2600" s="12"/>
      <c r="J2600" s="12"/>
      <c r="K2600" s="12"/>
      <c r="L2600" s="12"/>
      <c r="M2600" s="12"/>
      <c r="N2600" s="12"/>
      <c r="O2600" s="12"/>
      <c r="P2600" s="12"/>
      <c r="Q2600" s="12"/>
      <c r="R2600" s="12"/>
      <c r="S2600" s="12"/>
      <c r="T2600" s="12"/>
      <c r="U2600" s="12"/>
      <c r="V2600" s="12"/>
      <c r="W2600" s="12"/>
      <c r="X2600" s="12"/>
      <c r="Y2600" s="12"/>
      <c r="Z2600" s="12"/>
      <c r="AA2600" s="12"/>
    </row>
    <row r="2601" ht="26.25" customHeight="1">
      <c r="A2601" s="28" t="s">
        <v>5212</v>
      </c>
      <c r="B2601" s="29" t="s">
        <v>5213</v>
      </c>
      <c r="C2601" s="30">
        <v>3.0</v>
      </c>
      <c r="D2601" s="31">
        <v>196.0</v>
      </c>
      <c r="E2601" s="31">
        <v>3.0</v>
      </c>
      <c r="F2601" s="32" t="str">
        <f t="array" ref="F2601">"https://www.google.com/maps/search/?api=1&amp;query=" &amp; A2601 &amp; "," &amp; B2601</f>
        <v>https://www.google.com/maps/search/?api=1&amp;query=-30.89670737955750,-55.54769305632750</v>
      </c>
      <c r="G2601" s="33" t="str">
        <f t="array" ref="G2601">"https://earth.google.com/web/search/" &amp; A2601 &amp; "," &amp; B2601</f>
        <v>https://earth.google.com/web/search/-30.89670737955750,-55.54769305632750</v>
      </c>
      <c r="H2601" s="12"/>
      <c r="I2601" s="12"/>
      <c r="J2601" s="12"/>
      <c r="K2601" s="12"/>
      <c r="L2601" s="12"/>
      <c r="M2601" s="12"/>
      <c r="N2601" s="12"/>
      <c r="O2601" s="12"/>
      <c r="P2601" s="12"/>
      <c r="Q2601" s="12"/>
      <c r="R2601" s="12"/>
      <c r="S2601" s="12"/>
      <c r="T2601" s="12"/>
      <c r="U2601" s="12"/>
      <c r="V2601" s="12"/>
      <c r="W2601" s="12"/>
      <c r="X2601" s="12"/>
      <c r="Y2601" s="12"/>
      <c r="Z2601" s="12"/>
      <c r="AA2601" s="12"/>
    </row>
    <row r="2602" ht="26.25" customHeight="1">
      <c r="A2602" s="34" t="s">
        <v>5214</v>
      </c>
      <c r="B2602" s="35" t="s">
        <v>5215</v>
      </c>
      <c r="C2602" s="36">
        <v>3.0</v>
      </c>
      <c r="D2602" s="37">
        <v>196.0</v>
      </c>
      <c r="E2602" s="37">
        <v>4.0</v>
      </c>
      <c r="F2602" s="24" t="str">
        <f t="array" ref="F2602">"https://www.google.com/maps/search/?api=1&amp;query=" &amp; A2602 &amp; "," &amp; B2602</f>
        <v>https://www.google.com/maps/search/?api=1&amp;query=-30.89614254086780,-55.54730093357190</v>
      </c>
      <c r="G2602" s="25" t="str">
        <f t="array" ref="G2602">"https://earth.google.com/web/search/" &amp; A2602 &amp; "," &amp; B2602</f>
        <v>https://earth.google.com/web/search/-30.89614254086780,-55.54730093357190</v>
      </c>
      <c r="H2602" s="12"/>
      <c r="I2602" s="12"/>
      <c r="J2602" s="12"/>
      <c r="K2602" s="12"/>
      <c r="L2602" s="12"/>
      <c r="M2602" s="12"/>
      <c r="N2602" s="12"/>
      <c r="O2602" s="12"/>
      <c r="P2602" s="12"/>
      <c r="Q2602" s="12"/>
      <c r="R2602" s="12"/>
      <c r="S2602" s="12"/>
      <c r="T2602" s="12"/>
      <c r="U2602" s="12"/>
      <c r="V2602" s="12"/>
      <c r="W2602" s="12"/>
      <c r="X2602" s="12"/>
      <c r="Y2602" s="12"/>
      <c r="Z2602" s="12"/>
      <c r="AA2602" s="12"/>
    </row>
    <row r="2603" ht="26.25" customHeight="1">
      <c r="A2603" s="28" t="s">
        <v>5216</v>
      </c>
      <c r="B2603" s="29" t="s">
        <v>5217</v>
      </c>
      <c r="C2603" s="30">
        <v>3.0</v>
      </c>
      <c r="D2603" s="31">
        <v>196.0</v>
      </c>
      <c r="E2603" s="31">
        <v>5.0</v>
      </c>
      <c r="F2603" s="32" t="str">
        <f t="array" ref="F2603">"https://www.google.com/maps/search/?api=1&amp;query=" &amp; A2603 &amp; "," &amp; B2603</f>
        <v>https://www.google.com/maps/search/?api=1&amp;query=-30.89592809004750,-55.54756458470540</v>
      </c>
      <c r="G2603" s="33" t="str">
        <f t="array" ref="G2603">"https://earth.google.com/web/search/" &amp; A2603 &amp; "," &amp; B2603</f>
        <v>https://earth.google.com/web/search/-30.89592809004750,-55.54756458470540</v>
      </c>
      <c r="H2603" s="12"/>
      <c r="I2603" s="12"/>
      <c r="J2603" s="12"/>
      <c r="K2603" s="12"/>
      <c r="L2603" s="12"/>
      <c r="M2603" s="12"/>
      <c r="N2603" s="12"/>
      <c r="O2603" s="12"/>
      <c r="P2603" s="12"/>
      <c r="Q2603" s="12"/>
      <c r="R2603" s="12"/>
      <c r="S2603" s="12"/>
      <c r="T2603" s="12"/>
      <c r="U2603" s="12"/>
      <c r="V2603" s="12"/>
      <c r="W2603" s="12"/>
      <c r="X2603" s="12"/>
      <c r="Y2603" s="12"/>
      <c r="Z2603" s="12"/>
      <c r="AA2603" s="12"/>
    </row>
    <row r="2604" ht="26.25" customHeight="1">
      <c r="A2604" s="34" t="s">
        <v>5218</v>
      </c>
      <c r="B2604" s="35" t="s">
        <v>5219</v>
      </c>
      <c r="C2604" s="36">
        <v>3.0</v>
      </c>
      <c r="D2604" s="37">
        <v>196.0</v>
      </c>
      <c r="E2604" s="37">
        <v>6.0</v>
      </c>
      <c r="F2604" s="24" t="str">
        <f t="array" ref="F2604">"https://www.google.com/maps/search/?api=1&amp;query=" &amp; A2604 &amp; "," &amp; B2604</f>
        <v>https://www.google.com/maps/search/?api=1&amp;query=-30.89578665881430,-55.54784287938060</v>
      </c>
      <c r="G2604" s="25" t="str">
        <f t="array" ref="G2604">"https://earth.google.com/web/search/" &amp; A2604 &amp; "," &amp; B2604</f>
        <v>https://earth.google.com/web/search/-30.89578665881430,-55.54784287938060</v>
      </c>
      <c r="H2604" s="12"/>
      <c r="I2604" s="12"/>
      <c r="J2604" s="12"/>
      <c r="K2604" s="12"/>
      <c r="L2604" s="12"/>
      <c r="M2604" s="12"/>
      <c r="N2604" s="12"/>
      <c r="O2604" s="12"/>
      <c r="P2604" s="12"/>
      <c r="Q2604" s="12"/>
      <c r="R2604" s="12"/>
      <c r="S2604" s="12"/>
      <c r="T2604" s="12"/>
      <c r="U2604" s="12"/>
      <c r="V2604" s="12"/>
      <c r="W2604" s="12"/>
      <c r="X2604" s="12"/>
      <c r="Y2604" s="12"/>
      <c r="Z2604" s="12"/>
      <c r="AA2604" s="12"/>
    </row>
    <row r="2605" ht="26.25" customHeight="1">
      <c r="A2605" s="28" t="s">
        <v>5220</v>
      </c>
      <c r="B2605" s="29" t="s">
        <v>5221</v>
      </c>
      <c r="C2605" s="30">
        <v>3.0</v>
      </c>
      <c r="D2605" s="31">
        <v>196.0</v>
      </c>
      <c r="E2605" s="31">
        <v>7.0</v>
      </c>
      <c r="F2605" s="32" t="str">
        <f t="array" ref="F2605">"https://www.google.com/maps/search/?api=1&amp;query=" &amp; A2605 &amp; "," &amp; B2605</f>
        <v>https://www.google.com/maps/search/?api=1&amp;query=-30.89582993064540,-55.54772863026040</v>
      </c>
      <c r="G2605" s="33" t="str">
        <f t="array" ref="G2605">"https://earth.google.com/web/search/" &amp; A2605 &amp; "," &amp; B2605</f>
        <v>https://earth.google.com/web/search/-30.89582993064540,-55.54772863026040</v>
      </c>
      <c r="H2605" s="12"/>
      <c r="I2605" s="12"/>
      <c r="J2605" s="12"/>
      <c r="K2605" s="12"/>
      <c r="L2605" s="12"/>
      <c r="M2605" s="12"/>
      <c r="N2605" s="12"/>
      <c r="O2605" s="12"/>
      <c r="P2605" s="12"/>
      <c r="Q2605" s="12"/>
      <c r="R2605" s="12"/>
      <c r="S2605" s="12"/>
      <c r="T2605" s="12"/>
      <c r="U2605" s="12"/>
      <c r="V2605" s="12"/>
      <c r="W2605" s="12"/>
      <c r="X2605" s="12"/>
      <c r="Y2605" s="12"/>
      <c r="Z2605" s="12"/>
      <c r="AA2605" s="12"/>
    </row>
    <row r="2606" ht="26.25" customHeight="1">
      <c r="A2606" s="34" t="s">
        <v>5222</v>
      </c>
      <c r="B2606" s="35" t="s">
        <v>5223</v>
      </c>
      <c r="C2606" s="36">
        <v>3.0</v>
      </c>
      <c r="D2606" s="37">
        <v>197.0</v>
      </c>
      <c r="E2606" s="37">
        <v>1.0</v>
      </c>
      <c r="F2606" s="24" t="str">
        <f t="array" ref="F2606">"https://www.google.com/maps/search/?api=1&amp;query=" &amp; A2606 &amp; "," &amp; B2606</f>
        <v>https://www.google.com/maps/search/?api=1&amp;query=-30.89592995505530,-55.54939503775250</v>
      </c>
      <c r="G2606" s="25" t="str">
        <f t="array" ref="G2606">"https://earth.google.com/web/search/" &amp; A2606 &amp; "," &amp; B2606</f>
        <v>https://earth.google.com/web/search/-30.89592995505530,-55.54939503775250</v>
      </c>
      <c r="H2606" s="12"/>
      <c r="I2606" s="12"/>
      <c r="J2606" s="12"/>
      <c r="K2606" s="12"/>
      <c r="L2606" s="12"/>
      <c r="M2606" s="12"/>
      <c r="N2606" s="12"/>
      <c r="O2606" s="12"/>
      <c r="P2606" s="12"/>
      <c r="Q2606" s="12"/>
      <c r="R2606" s="12"/>
      <c r="S2606" s="12"/>
      <c r="T2606" s="12"/>
      <c r="U2606" s="12"/>
      <c r="V2606" s="12"/>
      <c r="W2606" s="12"/>
      <c r="X2606" s="12"/>
      <c r="Y2606" s="12"/>
      <c r="Z2606" s="12"/>
      <c r="AA2606" s="12"/>
    </row>
    <row r="2607" ht="26.25" customHeight="1">
      <c r="A2607" s="28" t="s">
        <v>5224</v>
      </c>
      <c r="B2607" s="29" t="s">
        <v>5225</v>
      </c>
      <c r="C2607" s="30">
        <v>3.0</v>
      </c>
      <c r="D2607" s="31">
        <v>197.0</v>
      </c>
      <c r="E2607" s="31">
        <v>2.0</v>
      </c>
      <c r="F2607" s="32" t="str">
        <f t="array" ref="F2607">"https://www.google.com/maps/search/?api=1&amp;query=" &amp; A2607 &amp; "," &amp; B2607</f>
        <v>https://www.google.com/maps/search/?api=1&amp;query=-30.89611615580950,-55.54852842016100</v>
      </c>
      <c r="G2607" s="33" t="str">
        <f t="array" ref="G2607">"https://earth.google.com/web/search/" &amp; A2607 &amp; "," &amp; B2607</f>
        <v>https://earth.google.com/web/search/-30.89611615580950,-55.54852842016100</v>
      </c>
      <c r="H2607" s="12"/>
      <c r="I2607" s="12"/>
      <c r="J2607" s="12"/>
      <c r="K2607" s="12"/>
      <c r="L2607" s="12"/>
      <c r="M2607" s="12"/>
      <c r="N2607" s="12"/>
      <c r="O2607" s="12"/>
      <c r="P2607" s="12"/>
      <c r="Q2607" s="12"/>
      <c r="R2607" s="12"/>
      <c r="S2607" s="12"/>
      <c r="T2607" s="12"/>
      <c r="U2607" s="12"/>
      <c r="V2607" s="12"/>
      <c r="W2607" s="12"/>
      <c r="X2607" s="12"/>
      <c r="Y2607" s="12"/>
      <c r="Z2607" s="12"/>
      <c r="AA2607" s="12"/>
    </row>
    <row r="2608" ht="26.25" customHeight="1">
      <c r="A2608" s="34" t="s">
        <v>5226</v>
      </c>
      <c r="B2608" s="35" t="s">
        <v>5227</v>
      </c>
      <c r="C2608" s="36">
        <v>3.0</v>
      </c>
      <c r="D2608" s="37">
        <v>197.0</v>
      </c>
      <c r="E2608" s="37">
        <v>3.0</v>
      </c>
      <c r="F2608" s="24" t="str">
        <f t="array" ref="F2608">"https://www.google.com/maps/search/?api=1&amp;query=" &amp; A2608 &amp; "," &amp; B2608</f>
        <v>https://www.google.com/maps/search/?api=1&amp;query=-30.89583372471750,-5.55483480927477</v>
      </c>
      <c r="G2608" s="25" t="str">
        <f t="array" ref="G2608">"https://earth.google.com/web/search/" &amp; A2608 &amp; "," &amp; B2608</f>
        <v>https://earth.google.com/web/search/-30.89583372471750,-5.55483480927477</v>
      </c>
      <c r="H2608" s="12"/>
      <c r="I2608" s="12"/>
      <c r="J2608" s="12"/>
      <c r="K2608" s="12"/>
      <c r="L2608" s="12"/>
      <c r="M2608" s="12"/>
      <c r="N2608" s="12"/>
      <c r="O2608" s="12"/>
      <c r="P2608" s="12"/>
      <c r="Q2608" s="12"/>
      <c r="R2608" s="12"/>
      <c r="S2608" s="12"/>
      <c r="T2608" s="12"/>
      <c r="U2608" s="12"/>
      <c r="V2608" s="12"/>
      <c r="W2608" s="12"/>
      <c r="X2608" s="12"/>
      <c r="Y2608" s="12"/>
      <c r="Z2608" s="12"/>
      <c r="AA2608" s="12"/>
    </row>
    <row r="2609" ht="26.25" customHeight="1">
      <c r="A2609" s="28" t="s">
        <v>5228</v>
      </c>
      <c r="B2609" s="29" t="s">
        <v>5229</v>
      </c>
      <c r="C2609" s="30">
        <v>3.0</v>
      </c>
      <c r="D2609" s="31">
        <v>197.0</v>
      </c>
      <c r="E2609" s="31">
        <v>4.0</v>
      </c>
      <c r="F2609" s="32" t="str">
        <f t="array" ref="F2609">"https://www.google.com/maps/search/?api=1&amp;query=" &amp; A2609 &amp; "," &amp; B2609</f>
        <v>https://www.google.com/maps/search/?api=1&amp;query=-30.89571501682150,-55.54826733034070</v>
      </c>
      <c r="G2609" s="33" t="str">
        <f t="array" ref="G2609">"https://earth.google.com/web/search/" &amp; A2609 &amp; "," &amp; B2609</f>
        <v>https://earth.google.com/web/search/-30.89571501682150,-55.54826733034070</v>
      </c>
      <c r="H2609" s="12"/>
      <c r="I2609" s="12"/>
      <c r="J2609" s="12"/>
      <c r="K2609" s="12"/>
      <c r="L2609" s="12"/>
      <c r="M2609" s="12"/>
      <c r="N2609" s="12"/>
      <c r="O2609" s="12"/>
      <c r="P2609" s="12"/>
      <c r="Q2609" s="12"/>
      <c r="R2609" s="12"/>
      <c r="S2609" s="12"/>
      <c r="T2609" s="12"/>
      <c r="U2609" s="12"/>
      <c r="V2609" s="12"/>
      <c r="W2609" s="12"/>
      <c r="X2609" s="12"/>
      <c r="Y2609" s="12"/>
      <c r="Z2609" s="12"/>
      <c r="AA2609" s="12"/>
    </row>
    <row r="2610" ht="26.25" customHeight="1">
      <c r="A2610" s="34" t="s">
        <v>5230</v>
      </c>
      <c r="B2610" s="35" t="s">
        <v>5231</v>
      </c>
      <c r="C2610" s="36">
        <v>3.0</v>
      </c>
      <c r="D2610" s="37">
        <v>197.0</v>
      </c>
      <c r="E2610" s="37">
        <v>5.0</v>
      </c>
      <c r="F2610" s="24" t="str">
        <f t="array" ref="F2610">"https://www.google.com/maps/search/?api=1&amp;query=" &amp; A2610 &amp; "," &amp; B2610</f>
        <v>https://www.google.com/maps/search/?api=1&amp;query=-30.89541735110020,-55.54850786464260</v>
      </c>
      <c r="G2610" s="25" t="str">
        <f t="array" ref="G2610">"https://earth.google.com/web/search/" &amp; A2610 &amp; "," &amp; B2610</f>
        <v>https://earth.google.com/web/search/-30.89541735110020,-55.54850786464260</v>
      </c>
      <c r="H2610" s="12"/>
      <c r="I2610" s="12"/>
      <c r="J2610" s="12"/>
      <c r="K2610" s="12"/>
      <c r="L2610" s="12"/>
      <c r="M2610" s="12"/>
      <c r="N2610" s="12"/>
      <c r="O2610" s="12"/>
      <c r="P2610" s="12"/>
      <c r="Q2610" s="12"/>
      <c r="R2610" s="12"/>
      <c r="S2610" s="12"/>
      <c r="T2610" s="12"/>
      <c r="U2610" s="12"/>
      <c r="V2610" s="12"/>
      <c r="W2610" s="12"/>
      <c r="X2610" s="12"/>
      <c r="Y2610" s="12"/>
      <c r="Z2610" s="12"/>
      <c r="AA2610" s="12"/>
    </row>
    <row r="2611" ht="26.25" customHeight="1">
      <c r="A2611" s="28" t="s">
        <v>5232</v>
      </c>
      <c r="B2611" s="29" t="s">
        <v>5233</v>
      </c>
      <c r="C2611" s="30">
        <v>3.0</v>
      </c>
      <c r="D2611" s="31">
        <v>197.0</v>
      </c>
      <c r="E2611" s="31">
        <v>6.0</v>
      </c>
      <c r="F2611" s="32" t="str">
        <f t="array" ref="F2611">"https://www.google.com/maps/search/?api=1&amp;query=" &amp; A2611 &amp; "," &amp; B2611</f>
        <v>https://www.google.com/maps/search/?api=1&amp;query=-30.89531380358250,-55.54872854331090</v>
      </c>
      <c r="G2611" s="33" t="str">
        <f t="array" ref="G2611">"https://earth.google.com/web/search/" &amp; A2611 &amp; "," &amp; B2611</f>
        <v>https://earth.google.com/web/search/-30.89531380358250,-55.54872854331090</v>
      </c>
      <c r="H2611" s="12"/>
      <c r="I2611" s="12"/>
      <c r="J2611" s="12"/>
      <c r="K2611" s="12"/>
      <c r="L2611" s="12"/>
      <c r="M2611" s="12"/>
      <c r="N2611" s="12"/>
      <c r="O2611" s="12"/>
      <c r="P2611" s="12"/>
      <c r="Q2611" s="12"/>
      <c r="R2611" s="12"/>
      <c r="S2611" s="12"/>
      <c r="T2611" s="12"/>
      <c r="U2611" s="12"/>
      <c r="V2611" s="12"/>
      <c r="W2611" s="12"/>
      <c r="X2611" s="12"/>
      <c r="Y2611" s="12"/>
      <c r="Z2611" s="12"/>
      <c r="AA2611" s="12"/>
    </row>
    <row r="2612" ht="26.25" customHeight="1">
      <c r="A2612" s="34" t="s">
        <v>5234</v>
      </c>
      <c r="B2612" s="35" t="s">
        <v>5235</v>
      </c>
      <c r="C2612" s="36">
        <v>3.0</v>
      </c>
      <c r="D2612" s="37">
        <v>197.0</v>
      </c>
      <c r="E2612" s="37">
        <v>7.0</v>
      </c>
      <c r="F2612" s="24" t="str">
        <f t="array" ref="F2612">"https://www.google.com/maps/search/?api=1&amp;query=" &amp; A2612 &amp; "," &amp; B2612</f>
        <v>https://www.google.com/maps/search/?api=1&amp;query=-30.89526032824520,-55.54882826659140</v>
      </c>
      <c r="G2612" s="25" t="str">
        <f t="array" ref="G2612">"https://earth.google.com/web/search/" &amp; A2612 &amp; "," &amp; B2612</f>
        <v>https://earth.google.com/web/search/-30.89526032824520,-55.54882826659140</v>
      </c>
      <c r="H2612" s="12"/>
      <c r="I2612" s="12"/>
      <c r="J2612" s="12"/>
      <c r="K2612" s="12"/>
      <c r="L2612" s="12"/>
      <c r="M2612" s="12"/>
      <c r="N2612" s="12"/>
      <c r="O2612" s="12"/>
      <c r="P2612" s="12"/>
      <c r="Q2612" s="12"/>
      <c r="R2612" s="12"/>
      <c r="S2612" s="12"/>
      <c r="T2612" s="12"/>
      <c r="U2612" s="12"/>
      <c r="V2612" s="12"/>
      <c r="W2612" s="12"/>
      <c r="X2612" s="12"/>
      <c r="Y2612" s="12"/>
      <c r="Z2612" s="12"/>
      <c r="AA2612" s="12"/>
    </row>
    <row r="2613" ht="26.25" customHeight="1">
      <c r="A2613" s="28" t="s">
        <v>5236</v>
      </c>
      <c r="B2613" s="29" t="s">
        <v>5237</v>
      </c>
      <c r="C2613" s="30">
        <v>3.0</v>
      </c>
      <c r="D2613" s="31">
        <v>197.0</v>
      </c>
      <c r="E2613" s="31">
        <v>8.0</v>
      </c>
      <c r="F2613" s="32" t="str">
        <f t="array" ref="F2613">"https://www.google.com/maps/search/?api=1&amp;query=" &amp; A2613 &amp; "," &amp; B2613</f>
        <v>https://www.google.com/maps/search/?api=1&amp;query=-30.89519816571880,-55.54899223046400</v>
      </c>
      <c r="G2613" s="33" t="str">
        <f t="array" ref="G2613">"https://earth.google.com/web/search/" &amp; A2613 &amp; "," &amp; B2613</f>
        <v>https://earth.google.com/web/search/-30.89519816571880,-55.54899223046400</v>
      </c>
      <c r="H2613" s="12"/>
      <c r="I2613" s="12"/>
      <c r="J2613" s="12"/>
      <c r="K2613" s="12"/>
      <c r="L2613" s="12"/>
      <c r="M2613" s="12"/>
      <c r="N2613" s="12"/>
      <c r="O2613" s="12"/>
      <c r="P2613" s="12"/>
      <c r="Q2613" s="12"/>
      <c r="R2613" s="12"/>
      <c r="S2613" s="12"/>
      <c r="T2613" s="12"/>
      <c r="U2613" s="12"/>
      <c r="V2613" s="12"/>
      <c r="W2613" s="12"/>
      <c r="X2613" s="12"/>
      <c r="Y2613" s="12"/>
      <c r="Z2613" s="12"/>
      <c r="AA2613" s="12"/>
    </row>
    <row r="2614" ht="26.25" customHeight="1">
      <c r="A2614" s="34" t="s">
        <v>5238</v>
      </c>
      <c r="B2614" s="35" t="s">
        <v>5239</v>
      </c>
      <c r="C2614" s="36">
        <v>3.0</v>
      </c>
      <c r="D2614" s="37">
        <v>197.0</v>
      </c>
      <c r="E2614" s="37">
        <v>9.0</v>
      </c>
      <c r="F2614" s="24" t="str">
        <f t="array" ref="F2614">"https://www.google.com/maps/search/?api=1&amp;query=" &amp; A2614 &amp; "," &amp; B2614</f>
        <v>https://www.google.com/maps/search/?api=1&amp;query=-30.89524061064240,-55.54903721962570</v>
      </c>
      <c r="G2614" s="25" t="str">
        <f t="array" ref="G2614">"https://earth.google.com/web/search/" &amp; A2614 &amp; "," &amp; B2614</f>
        <v>https://earth.google.com/web/search/-30.89524061064240,-55.54903721962570</v>
      </c>
      <c r="H2614" s="12"/>
      <c r="I2614" s="12"/>
      <c r="J2614" s="12"/>
      <c r="K2614" s="12"/>
      <c r="L2614" s="12"/>
      <c r="M2614" s="12"/>
      <c r="N2614" s="12"/>
      <c r="O2614" s="12"/>
      <c r="P2614" s="12"/>
      <c r="Q2614" s="12"/>
      <c r="R2614" s="12"/>
      <c r="S2614" s="12"/>
      <c r="T2614" s="12"/>
      <c r="U2614" s="12"/>
      <c r="V2614" s="12"/>
      <c r="W2614" s="12"/>
      <c r="X2614" s="12"/>
      <c r="Y2614" s="12"/>
      <c r="Z2614" s="12"/>
      <c r="AA2614" s="12"/>
    </row>
    <row r="2615" ht="26.25" customHeight="1">
      <c r="A2615" s="28" t="s">
        <v>5240</v>
      </c>
      <c r="B2615" s="29" t="s">
        <v>5241</v>
      </c>
      <c r="C2615" s="30">
        <v>3.0</v>
      </c>
      <c r="D2615" s="31">
        <v>197.0</v>
      </c>
      <c r="E2615" s="31">
        <v>10.0</v>
      </c>
      <c r="F2615" s="32" t="str">
        <f t="array" ref="F2615">"https://www.google.com/maps/search/?api=1&amp;query=" &amp; A2615 &amp; "," &amp; B2615</f>
        <v>https://www.google.com/maps/search/?api=1&amp;query=-30.89523217366100,-55.54891351676700</v>
      </c>
      <c r="G2615" s="33" t="str">
        <f t="array" ref="G2615">"https://earth.google.com/web/search/" &amp; A2615 &amp; "," &amp; B2615</f>
        <v>https://earth.google.com/web/search/-30.89523217366100,-55.54891351676700</v>
      </c>
      <c r="H2615" s="12"/>
      <c r="I2615" s="12"/>
      <c r="J2615" s="12"/>
      <c r="K2615" s="12"/>
      <c r="L2615" s="12"/>
      <c r="M2615" s="12"/>
      <c r="N2615" s="12"/>
      <c r="O2615" s="12"/>
      <c r="P2615" s="12"/>
      <c r="Q2615" s="12"/>
      <c r="R2615" s="12"/>
      <c r="S2615" s="12"/>
      <c r="T2615" s="12"/>
      <c r="U2615" s="12"/>
      <c r="V2615" s="12"/>
      <c r="W2615" s="12"/>
      <c r="X2615" s="12"/>
      <c r="Y2615" s="12"/>
      <c r="Z2615" s="12"/>
      <c r="AA2615" s="12"/>
    </row>
    <row r="2616" ht="26.25" customHeight="1">
      <c r="A2616" s="34" t="s">
        <v>5242</v>
      </c>
      <c r="B2616" s="35" t="s">
        <v>5243</v>
      </c>
      <c r="C2616" s="36">
        <v>3.0</v>
      </c>
      <c r="D2616" s="37">
        <v>197.0</v>
      </c>
      <c r="E2616" s="37">
        <v>11.0</v>
      </c>
      <c r="F2616" s="24" t="str">
        <f t="array" ref="F2616">"https://www.google.com/maps/search/?api=1&amp;query=" &amp; A2616 &amp; "," &amp; B2616</f>
        <v>https://www.google.com/maps/search/?api=1&amp;query=-30.89532208757740,-55.54908405364440</v>
      </c>
      <c r="G2616" s="25" t="str">
        <f t="array" ref="G2616">"https://earth.google.com/web/search/" &amp; A2616 &amp; "," &amp; B2616</f>
        <v>https://earth.google.com/web/search/-30.89532208757740,-55.54908405364440</v>
      </c>
      <c r="H2616" s="12"/>
      <c r="I2616" s="12"/>
      <c r="J2616" s="12"/>
      <c r="K2616" s="12"/>
      <c r="L2616" s="12"/>
      <c r="M2616" s="12"/>
      <c r="N2616" s="12"/>
      <c r="O2616" s="12"/>
      <c r="P2616" s="12"/>
      <c r="Q2616" s="12"/>
      <c r="R2616" s="12"/>
      <c r="S2616" s="12"/>
      <c r="T2616" s="12"/>
      <c r="U2616" s="12"/>
      <c r="V2616" s="12"/>
      <c r="W2616" s="12"/>
      <c r="X2616" s="12"/>
      <c r="Y2616" s="12"/>
      <c r="Z2616" s="12"/>
      <c r="AA2616" s="12"/>
    </row>
    <row r="2617" ht="26.25" customHeight="1">
      <c r="A2617" s="28" t="s">
        <v>5244</v>
      </c>
      <c r="B2617" s="29" t="s">
        <v>5245</v>
      </c>
      <c r="C2617" s="30">
        <v>3.0</v>
      </c>
      <c r="D2617" s="31">
        <v>197.0</v>
      </c>
      <c r="E2617" s="31">
        <v>12.0</v>
      </c>
      <c r="F2617" s="32" t="str">
        <f t="array" ref="F2617">"https://www.google.com/maps/search/?api=1&amp;query=" &amp; A2617 &amp; "," &amp; B2617</f>
        <v>https://www.google.com/maps/search/?api=1&amp;query=-30.89546447969130,-55.54920654728230</v>
      </c>
      <c r="G2617" s="33" t="str">
        <f t="array" ref="G2617">"https://earth.google.com/web/search/" &amp; A2617 &amp; "," &amp; B2617</f>
        <v>https://earth.google.com/web/search/-30.89546447969130,-55.54920654728230</v>
      </c>
      <c r="H2617" s="12"/>
      <c r="I2617" s="12"/>
      <c r="J2617" s="12"/>
      <c r="K2617" s="12"/>
      <c r="L2617" s="12"/>
      <c r="M2617" s="12"/>
      <c r="N2617" s="12"/>
      <c r="O2617" s="12"/>
      <c r="P2617" s="12"/>
      <c r="Q2617" s="12"/>
      <c r="R2617" s="12"/>
      <c r="S2617" s="12"/>
      <c r="T2617" s="12"/>
      <c r="U2617" s="12"/>
      <c r="V2617" s="12"/>
      <c r="W2617" s="12"/>
      <c r="X2617" s="12"/>
      <c r="Y2617" s="12"/>
      <c r="Z2617" s="12"/>
      <c r="AA2617" s="12"/>
    </row>
    <row r="2618" ht="26.25" customHeight="1">
      <c r="A2618" s="34" t="s">
        <v>5246</v>
      </c>
      <c r="B2618" s="35" t="s">
        <v>5247</v>
      </c>
      <c r="C2618" s="36">
        <v>3.0</v>
      </c>
      <c r="D2618" s="37">
        <v>197.0</v>
      </c>
      <c r="E2618" s="37">
        <v>13.0</v>
      </c>
      <c r="F2618" s="24" t="str">
        <f t="array" ref="F2618">"https://www.google.com/maps/search/?api=1&amp;query=" &amp; A2618 &amp; "," &amp; B2618</f>
        <v>https://www.google.com/maps/search/?api=1&amp;query=-3.08955272203068,-55.54924609193270</v>
      </c>
      <c r="G2618" s="25" t="str">
        <f t="array" ref="G2618">"https://earth.google.com/web/search/" &amp; A2618 &amp; "," &amp; B2618</f>
        <v>https://earth.google.com/web/search/-3.08955272203068,-55.54924609193270</v>
      </c>
      <c r="H2618" s="12"/>
      <c r="I2618" s="12"/>
      <c r="J2618" s="12"/>
      <c r="K2618" s="12"/>
      <c r="L2618" s="12"/>
      <c r="M2618" s="12"/>
      <c r="N2618" s="12"/>
      <c r="O2618" s="12"/>
      <c r="P2618" s="12"/>
      <c r="Q2618" s="12"/>
      <c r="R2618" s="12"/>
      <c r="S2618" s="12"/>
      <c r="T2618" s="12"/>
      <c r="U2618" s="12"/>
      <c r="V2618" s="12"/>
      <c r="W2618" s="12"/>
      <c r="X2618" s="12"/>
      <c r="Y2618" s="12"/>
      <c r="Z2618" s="12"/>
      <c r="AA2618" s="12"/>
    </row>
    <row r="2619" ht="26.25" customHeight="1">
      <c r="A2619" s="28" t="s">
        <v>5248</v>
      </c>
      <c r="B2619" s="29" t="s">
        <v>5249</v>
      </c>
      <c r="C2619" s="30">
        <v>3.0</v>
      </c>
      <c r="D2619" s="31">
        <v>197.0</v>
      </c>
      <c r="E2619" s="31">
        <v>14.0</v>
      </c>
      <c r="F2619" s="32" t="str">
        <f t="array" ref="F2619">"https://www.google.com/maps/search/?api=1&amp;query=" &amp; A2619 &amp; "," &amp; B2619</f>
        <v>https://www.google.com/maps/search/?api=1&amp;query=-30.89557432915380,-55.54926788812100</v>
      </c>
      <c r="G2619" s="33" t="str">
        <f t="array" ref="G2619">"https://earth.google.com/web/search/" &amp; A2619 &amp; "," &amp; B2619</f>
        <v>https://earth.google.com/web/search/-30.89557432915380,-55.54926788812100</v>
      </c>
      <c r="H2619" s="12"/>
      <c r="I2619" s="12"/>
      <c r="J2619" s="12"/>
      <c r="K2619" s="12"/>
      <c r="L2619" s="12"/>
      <c r="M2619" s="12"/>
      <c r="N2619" s="12"/>
      <c r="O2619" s="12"/>
      <c r="P2619" s="12"/>
      <c r="Q2619" s="12"/>
      <c r="R2619" s="12"/>
      <c r="S2619" s="12"/>
      <c r="T2619" s="12"/>
      <c r="U2619" s="12"/>
      <c r="V2619" s="12"/>
      <c r="W2619" s="12"/>
      <c r="X2619" s="12"/>
      <c r="Y2619" s="12"/>
      <c r="Z2619" s="12"/>
      <c r="AA2619" s="12"/>
    </row>
    <row r="2620" ht="26.25" customHeight="1">
      <c r="A2620" s="34" t="s">
        <v>5250</v>
      </c>
      <c r="B2620" s="35" t="s">
        <v>5251</v>
      </c>
      <c r="C2620" s="36">
        <v>3.0</v>
      </c>
      <c r="D2620" s="37">
        <v>197.0</v>
      </c>
      <c r="E2620" s="37">
        <v>15.0</v>
      </c>
      <c r="F2620" s="24" t="str">
        <f t="array" ref="F2620">"https://www.google.com/maps/search/?api=1&amp;query=" &amp; A2620 &amp; "," &amp; B2620</f>
        <v>https://www.google.com/maps/search/?api=1&amp;query=-30.89563598744030,-55.54930897547290</v>
      </c>
      <c r="G2620" s="25" t="str">
        <f t="array" ref="G2620">"https://earth.google.com/web/search/" &amp; A2620 &amp; "," &amp; B2620</f>
        <v>https://earth.google.com/web/search/-30.89563598744030,-55.54930897547290</v>
      </c>
      <c r="H2620" s="12"/>
      <c r="I2620" s="12"/>
      <c r="J2620" s="12"/>
      <c r="K2620" s="12"/>
      <c r="L2620" s="12"/>
      <c r="M2620" s="12"/>
      <c r="N2620" s="12"/>
      <c r="O2620" s="12"/>
      <c r="P2620" s="12"/>
      <c r="Q2620" s="12"/>
      <c r="R2620" s="12"/>
      <c r="S2620" s="12"/>
      <c r="T2620" s="12"/>
      <c r="U2620" s="12"/>
      <c r="V2620" s="12"/>
      <c r="W2620" s="12"/>
      <c r="X2620" s="12"/>
      <c r="Y2620" s="12"/>
      <c r="Z2620" s="12"/>
      <c r="AA2620" s="12"/>
    </row>
    <row r="2621" ht="26.25" customHeight="1">
      <c r="A2621" s="28" t="s">
        <v>5252</v>
      </c>
      <c r="B2621" s="29" t="s">
        <v>5253</v>
      </c>
      <c r="C2621" s="30">
        <v>3.0</v>
      </c>
      <c r="D2621" s="31">
        <v>197.0</v>
      </c>
      <c r="E2621" s="31">
        <v>16.0</v>
      </c>
      <c r="F2621" s="32" t="str">
        <f t="array" ref="F2621">"https://www.google.com/maps/search/?api=1&amp;query=" &amp; A2621 &amp; "," &amp; B2621</f>
        <v>https://www.google.com/maps/search/?api=1&amp;query=-30.89568641505860,-55.54933994452700</v>
      </c>
      <c r="G2621" s="33" t="str">
        <f t="array" ref="G2621">"https://earth.google.com/web/search/" &amp; A2621 &amp; "," &amp; B2621</f>
        <v>https://earth.google.com/web/search/-30.89568641505860,-55.54933994452700</v>
      </c>
      <c r="H2621" s="12"/>
      <c r="I2621" s="12"/>
      <c r="J2621" s="12"/>
      <c r="K2621" s="12"/>
      <c r="L2621" s="12"/>
      <c r="M2621" s="12"/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/>
      <c r="AA2621" s="12"/>
    </row>
    <row r="2622" ht="26.25" customHeight="1">
      <c r="A2622" s="34" t="s">
        <v>5254</v>
      </c>
      <c r="B2622" s="35" t="s">
        <v>5255</v>
      </c>
      <c r="C2622" s="36">
        <v>3.0</v>
      </c>
      <c r="D2622" s="37">
        <v>197.0</v>
      </c>
      <c r="E2622" s="37">
        <v>17.0</v>
      </c>
      <c r="F2622" s="24" t="str">
        <f t="array" ref="F2622">"https://www.google.com/maps/search/?api=1&amp;query=" &amp; A2622 &amp; "," &amp; B2622</f>
        <v>https://www.google.com/maps/search/?api=1&amp;query=-30.89578403222850,-55.54942511593780</v>
      </c>
      <c r="G2622" s="25" t="str">
        <f t="array" ref="G2622">"https://earth.google.com/web/search/" &amp; A2622 &amp; "," &amp; B2622</f>
        <v>https://earth.google.com/web/search/-30.89578403222850,-55.54942511593780</v>
      </c>
      <c r="H2622" s="12"/>
      <c r="I2622" s="12"/>
      <c r="J2622" s="12"/>
      <c r="K2622" s="12"/>
      <c r="L2622" s="12"/>
      <c r="M2622" s="12"/>
      <c r="N2622" s="12"/>
      <c r="O2622" s="12"/>
      <c r="P2622" s="12"/>
      <c r="Q2622" s="12"/>
      <c r="R2622" s="12"/>
      <c r="S2622" s="12"/>
      <c r="T2622" s="12"/>
      <c r="U2622" s="12"/>
      <c r="V2622" s="12"/>
      <c r="W2622" s="12"/>
      <c r="X2622" s="12"/>
      <c r="Y2622" s="12"/>
      <c r="Z2622" s="12"/>
      <c r="AA2622" s="12"/>
    </row>
    <row r="2623" ht="26.25" customHeight="1">
      <c r="A2623" s="28" t="s">
        <v>5256</v>
      </c>
      <c r="B2623" s="29" t="s">
        <v>5257</v>
      </c>
      <c r="C2623" s="30">
        <v>3.0</v>
      </c>
      <c r="D2623" s="31">
        <v>198.0</v>
      </c>
      <c r="E2623" s="31">
        <v>1.0</v>
      </c>
      <c r="F2623" s="32" t="str">
        <f t="array" ref="F2623">"https://www.google.com/maps/search/?api=1&amp;query=" &amp; A2623 &amp; "," &amp; B2623</f>
        <v>https://www.google.com/maps/search/?api=1&amp;query=-30.89522976109410,-55.54916516533080</v>
      </c>
      <c r="G2623" s="33" t="str">
        <f t="array" ref="G2623">"https://earth.google.com/web/search/" &amp; A2623 &amp; "," &amp; B2623</f>
        <v>https://earth.google.com/web/search/-30.89522976109410,-55.54916516533080</v>
      </c>
      <c r="H2623" s="12"/>
      <c r="I2623" s="12"/>
      <c r="J2623" s="12"/>
      <c r="K2623" s="12"/>
      <c r="L2623" s="12"/>
      <c r="M2623" s="12"/>
      <c r="N2623" s="12"/>
      <c r="O2623" s="12"/>
      <c r="P2623" s="12"/>
      <c r="Q2623" s="12"/>
      <c r="R2623" s="12"/>
      <c r="S2623" s="12"/>
      <c r="T2623" s="12"/>
      <c r="U2623" s="12"/>
      <c r="V2623" s="12"/>
      <c r="W2623" s="12"/>
      <c r="X2623" s="12"/>
      <c r="Y2623" s="12"/>
      <c r="Z2623" s="12"/>
      <c r="AA2623" s="12"/>
    </row>
    <row r="2624" ht="26.25" customHeight="1">
      <c r="A2624" s="34" t="s">
        <v>5258</v>
      </c>
      <c r="B2624" s="35" t="s">
        <v>5259</v>
      </c>
      <c r="C2624" s="36">
        <v>3.0</v>
      </c>
      <c r="D2624" s="37">
        <v>198.0</v>
      </c>
      <c r="E2624" s="37">
        <v>2.0</v>
      </c>
      <c r="F2624" s="24" t="str">
        <f t="array" ref="F2624">"https://www.google.com/maps/search/?api=1&amp;query=" &amp; A2624 &amp; "," &amp; B2624</f>
        <v>https://www.google.com/maps/search/?api=1&amp;query=-30.89514358950440,-5.55491082040653</v>
      </c>
      <c r="G2624" s="25" t="str">
        <f t="array" ref="G2624">"https://earth.google.com/web/search/" &amp; A2624 &amp; "," &amp; B2624</f>
        <v>https://earth.google.com/web/search/-30.89514358950440,-5.55491082040653</v>
      </c>
      <c r="H2624" s="12"/>
      <c r="I2624" s="12"/>
      <c r="J2624" s="12"/>
      <c r="K2624" s="12"/>
      <c r="L2624" s="12"/>
      <c r="M2624" s="12"/>
      <c r="N2624" s="12"/>
      <c r="O2624" s="12"/>
      <c r="P2624" s="12"/>
      <c r="Q2624" s="12"/>
      <c r="R2624" s="12"/>
      <c r="S2624" s="12"/>
      <c r="T2624" s="12"/>
      <c r="U2624" s="12"/>
      <c r="V2624" s="12"/>
      <c r="W2624" s="12"/>
      <c r="X2624" s="12"/>
      <c r="Y2624" s="12"/>
      <c r="Z2624" s="12"/>
      <c r="AA2624" s="12"/>
    </row>
    <row r="2625" ht="26.25" customHeight="1">
      <c r="A2625" s="28" t="s">
        <v>5260</v>
      </c>
      <c r="B2625" s="29" t="s">
        <v>5261</v>
      </c>
      <c r="C2625" s="30">
        <v>3.0</v>
      </c>
      <c r="D2625" s="31">
        <v>198.0</v>
      </c>
      <c r="E2625" s="31">
        <v>3.0</v>
      </c>
      <c r="F2625" s="32" t="str">
        <f t="array" ref="F2625">"https://www.google.com/maps/search/?api=1&amp;query=" &amp; A2625 &amp; "," &amp; B2625</f>
        <v>https://www.google.com/maps/search/?api=1&amp;query=-30.89503937950380,-5.55491807648668</v>
      </c>
      <c r="G2625" s="33" t="str">
        <f t="array" ref="G2625">"https://earth.google.com/web/search/" &amp; A2625 &amp; "," &amp; B2625</f>
        <v>https://earth.google.com/web/search/-30.89503937950380,-5.55491807648668</v>
      </c>
      <c r="H2625" s="12"/>
      <c r="I2625" s="12"/>
      <c r="J2625" s="12"/>
      <c r="K2625" s="12"/>
      <c r="L2625" s="12"/>
      <c r="M2625" s="12"/>
      <c r="N2625" s="12"/>
      <c r="O2625" s="12"/>
      <c r="P2625" s="12"/>
      <c r="Q2625" s="12"/>
      <c r="R2625" s="12"/>
      <c r="S2625" s="12"/>
      <c r="T2625" s="12"/>
      <c r="U2625" s="12"/>
      <c r="V2625" s="12"/>
      <c r="W2625" s="12"/>
      <c r="X2625" s="12"/>
      <c r="Y2625" s="12"/>
      <c r="Z2625" s="12"/>
      <c r="AA2625" s="12"/>
    </row>
    <row r="2626" ht="26.25" customHeight="1">
      <c r="A2626" s="34" t="s">
        <v>5262</v>
      </c>
      <c r="B2626" s="35" t="s">
        <v>5263</v>
      </c>
      <c r="C2626" s="36">
        <v>3.0</v>
      </c>
      <c r="D2626" s="37">
        <v>198.0</v>
      </c>
      <c r="E2626" s="37">
        <v>4.0</v>
      </c>
      <c r="F2626" s="24" t="str">
        <f t="array" ref="F2626">"https://www.google.com/maps/search/?api=1&amp;query=" &amp; A2626 &amp; "," &amp; B2626</f>
        <v>https://www.google.com/maps/search/?api=1&amp;query=-30.89497351821790,-55.54932300944850</v>
      </c>
      <c r="G2626" s="25" t="str">
        <f t="array" ref="G2626">"https://earth.google.com/web/search/" &amp; A2626 &amp; "," &amp; B2626</f>
        <v>https://earth.google.com/web/search/-30.89497351821790,-55.54932300944850</v>
      </c>
      <c r="H2626" s="12"/>
      <c r="I2626" s="12"/>
      <c r="J2626" s="12"/>
      <c r="K2626" s="12"/>
      <c r="L2626" s="12"/>
      <c r="M2626" s="12"/>
      <c r="N2626" s="12"/>
      <c r="O2626" s="12"/>
      <c r="P2626" s="12"/>
      <c r="Q2626" s="12"/>
      <c r="R2626" s="12"/>
      <c r="S2626" s="12"/>
      <c r="T2626" s="12"/>
      <c r="U2626" s="12"/>
      <c r="V2626" s="12"/>
      <c r="W2626" s="12"/>
      <c r="X2626" s="12"/>
      <c r="Y2626" s="12"/>
      <c r="Z2626" s="12"/>
      <c r="AA2626" s="12"/>
    </row>
    <row r="2627" ht="26.25" customHeight="1">
      <c r="A2627" s="28" t="s">
        <v>5264</v>
      </c>
      <c r="B2627" s="29" t="s">
        <v>5265</v>
      </c>
      <c r="C2627" s="30">
        <v>3.0</v>
      </c>
      <c r="D2627" s="31">
        <v>198.0</v>
      </c>
      <c r="E2627" s="31">
        <v>5.0</v>
      </c>
      <c r="F2627" s="32" t="str">
        <f t="array" ref="F2627">"https://www.google.com/maps/search/?api=1&amp;query=" &amp; A2627 &amp; "," &amp; B2627</f>
        <v>https://www.google.com/maps/search/?api=1&amp;query=-30.89470484579360,-55.54983750383030</v>
      </c>
      <c r="G2627" s="33" t="str">
        <f t="array" ref="G2627">"https://earth.google.com/web/search/" &amp; A2627 &amp; "," &amp; B2627</f>
        <v>https://earth.google.com/web/search/-30.89470484579360,-55.54983750383030</v>
      </c>
      <c r="H2627" s="12"/>
      <c r="I2627" s="12"/>
      <c r="J2627" s="12"/>
      <c r="K2627" s="12"/>
      <c r="L2627" s="12"/>
      <c r="M2627" s="12"/>
      <c r="N2627" s="12"/>
      <c r="O2627" s="12"/>
      <c r="P2627" s="12"/>
      <c r="Q2627" s="12"/>
      <c r="R2627" s="12"/>
      <c r="S2627" s="12"/>
      <c r="T2627" s="12"/>
      <c r="U2627" s="12"/>
      <c r="V2627" s="12"/>
      <c r="W2627" s="12"/>
      <c r="X2627" s="12"/>
      <c r="Y2627" s="12"/>
      <c r="Z2627" s="12"/>
      <c r="AA2627" s="12"/>
    </row>
    <row r="2628" ht="26.25" customHeight="1">
      <c r="A2628" s="34" t="s">
        <v>5266</v>
      </c>
      <c r="B2628" s="35" t="s">
        <v>5267</v>
      </c>
      <c r="C2628" s="36">
        <v>3.0</v>
      </c>
      <c r="D2628" s="37">
        <v>198.0</v>
      </c>
      <c r="E2628" s="37">
        <v>6.0</v>
      </c>
      <c r="F2628" s="24" t="str">
        <f t="array" ref="F2628">"https://www.google.com/maps/search/?api=1&amp;query=" &amp; A2628 &amp; "," &amp; B2628</f>
        <v>https://www.google.com/maps/search/?api=1&amp;query=-30.89500257957500,-55.55010860427550</v>
      </c>
      <c r="G2628" s="25" t="str">
        <f t="array" ref="G2628">"https://earth.google.com/web/search/" &amp; A2628 &amp; "," &amp; B2628</f>
        <v>https://earth.google.com/web/search/-30.89500257957500,-55.55010860427550</v>
      </c>
      <c r="H2628" s="12"/>
      <c r="I2628" s="12"/>
      <c r="J2628" s="12"/>
      <c r="K2628" s="12"/>
      <c r="L2628" s="12"/>
      <c r="M2628" s="12"/>
      <c r="N2628" s="12"/>
      <c r="O2628" s="12"/>
      <c r="P2628" s="12"/>
      <c r="Q2628" s="12"/>
      <c r="R2628" s="12"/>
      <c r="S2628" s="12"/>
      <c r="T2628" s="12"/>
      <c r="U2628" s="12"/>
      <c r="V2628" s="12"/>
      <c r="W2628" s="12"/>
      <c r="X2628" s="12"/>
      <c r="Y2628" s="12"/>
      <c r="Z2628" s="12"/>
      <c r="AA2628" s="12"/>
    </row>
    <row r="2629" ht="26.25" customHeight="1">
      <c r="A2629" s="28" t="s">
        <v>5268</v>
      </c>
      <c r="B2629" s="29" t="s">
        <v>5269</v>
      </c>
      <c r="C2629" s="30">
        <v>3.0</v>
      </c>
      <c r="D2629" s="31">
        <v>198.0</v>
      </c>
      <c r="E2629" s="31">
        <v>7.0</v>
      </c>
      <c r="F2629" s="32" t="str">
        <f t="array" ref="F2629">"https://www.google.com/maps/search/?api=1&amp;query=" &amp; A2629 &amp; "," &amp; B2629</f>
        <v>https://www.google.com/maps/search/?api=1&amp;query=-30.89518659740810,-55.55026014302650</v>
      </c>
      <c r="G2629" s="33" t="str">
        <f t="array" ref="G2629">"https://earth.google.com/web/search/" &amp; A2629 &amp; "," &amp; B2629</f>
        <v>https://earth.google.com/web/search/-30.89518659740810,-55.55026014302650</v>
      </c>
      <c r="H2629" s="12"/>
      <c r="I2629" s="12"/>
      <c r="J2629" s="12"/>
      <c r="K2629" s="12"/>
      <c r="L2629" s="12"/>
      <c r="M2629" s="12"/>
      <c r="N2629" s="12"/>
      <c r="O2629" s="12"/>
      <c r="P2629" s="12"/>
      <c r="Q2629" s="12"/>
      <c r="R2629" s="12"/>
      <c r="S2629" s="12"/>
      <c r="T2629" s="12"/>
      <c r="U2629" s="12"/>
      <c r="V2629" s="12"/>
      <c r="W2629" s="12"/>
      <c r="X2629" s="12"/>
      <c r="Y2629" s="12"/>
      <c r="Z2629" s="12"/>
      <c r="AA2629" s="12"/>
    </row>
    <row r="2630" ht="26.25" customHeight="1">
      <c r="A2630" s="34" t="s">
        <v>5270</v>
      </c>
      <c r="B2630" s="35" t="s">
        <v>5271</v>
      </c>
      <c r="C2630" s="36">
        <v>3.0</v>
      </c>
      <c r="D2630" s="37">
        <v>198.0</v>
      </c>
      <c r="E2630" s="37">
        <v>8.0</v>
      </c>
      <c r="F2630" s="24" t="str">
        <f t="array" ref="F2630">"https://www.google.com/maps/search/?api=1&amp;query=" &amp; A2630 &amp; "," &amp; B2630</f>
        <v>https://www.google.com/maps/search/?api=1&amp;query=-30.89545675599440,-55.55023285785510</v>
      </c>
      <c r="G2630" s="25" t="str">
        <f t="array" ref="G2630">"https://earth.google.com/web/search/" &amp; A2630 &amp; "," &amp; B2630</f>
        <v>https://earth.google.com/web/search/-30.89545675599440,-55.55023285785510</v>
      </c>
      <c r="H2630" s="12"/>
      <c r="I2630" s="12"/>
      <c r="J2630" s="12"/>
      <c r="K2630" s="12"/>
      <c r="L2630" s="12"/>
      <c r="M2630" s="12"/>
      <c r="N2630" s="12"/>
      <c r="O2630" s="12"/>
      <c r="P2630" s="12"/>
      <c r="Q2630" s="12"/>
      <c r="R2630" s="12"/>
      <c r="S2630" s="12"/>
      <c r="T2630" s="12"/>
      <c r="U2630" s="12"/>
      <c r="V2630" s="12"/>
      <c r="W2630" s="12"/>
      <c r="X2630" s="12"/>
      <c r="Y2630" s="12"/>
      <c r="Z2630" s="12"/>
      <c r="AA2630" s="12"/>
    </row>
    <row r="2631" ht="26.25" customHeight="1">
      <c r="A2631" s="28" t="s">
        <v>5272</v>
      </c>
      <c r="B2631" s="29" t="s">
        <v>5273</v>
      </c>
      <c r="C2631" s="30">
        <v>3.0</v>
      </c>
      <c r="D2631" s="31">
        <v>198.0</v>
      </c>
      <c r="E2631" s="31">
        <v>9.0</v>
      </c>
      <c r="F2631" s="32" t="str">
        <f t="array" ref="F2631">"https://www.google.com/maps/search/?api=1&amp;query=" &amp; A2631 &amp; "," &amp; B2631</f>
        <v>https://www.google.com/maps/search/?api=1&amp;query=-30.89556369655950,-55.55002855198900</v>
      </c>
      <c r="G2631" s="33" t="str">
        <f t="array" ref="G2631">"https://earth.google.com/web/search/" &amp; A2631 &amp; "," &amp; B2631</f>
        <v>https://earth.google.com/web/search/-30.89556369655950,-55.55002855198900</v>
      </c>
      <c r="H2631" s="12"/>
      <c r="I2631" s="12"/>
      <c r="J2631" s="12"/>
      <c r="K2631" s="12"/>
      <c r="L2631" s="12"/>
      <c r="M2631" s="12"/>
      <c r="N2631" s="12"/>
      <c r="O2631" s="12"/>
      <c r="P2631" s="12"/>
      <c r="Q2631" s="12"/>
      <c r="R2631" s="12"/>
      <c r="S2631" s="12"/>
      <c r="T2631" s="12"/>
      <c r="U2631" s="12"/>
      <c r="V2631" s="12"/>
      <c r="W2631" s="12"/>
      <c r="X2631" s="12"/>
      <c r="Y2631" s="12"/>
      <c r="Z2631" s="12"/>
      <c r="AA2631" s="12"/>
    </row>
    <row r="2632" ht="26.25" customHeight="1">
      <c r="A2632" s="34" t="s">
        <v>5274</v>
      </c>
      <c r="B2632" s="35" t="s">
        <v>5275</v>
      </c>
      <c r="C2632" s="36">
        <v>3.0</v>
      </c>
      <c r="D2632" s="37">
        <v>198.0</v>
      </c>
      <c r="E2632" s="37">
        <v>10.0</v>
      </c>
      <c r="F2632" s="24" t="str">
        <f t="array" ref="F2632">"https://www.google.com/maps/search/?api=1&amp;query=" &amp; A2632 &amp; "," &amp; B2632</f>
        <v>https://www.google.com/maps/search/?api=1&amp;query=-30.89562829207260,-55.54991325649540</v>
      </c>
      <c r="G2632" s="25" t="str">
        <f t="array" ref="G2632">"https://earth.google.com/web/search/" &amp; A2632 &amp; "," &amp; B2632</f>
        <v>https://earth.google.com/web/search/-30.89562829207260,-55.54991325649540</v>
      </c>
      <c r="H2632" s="12"/>
      <c r="I2632" s="12"/>
      <c r="J2632" s="12"/>
      <c r="K2632" s="12"/>
      <c r="L2632" s="12"/>
      <c r="M2632" s="12"/>
      <c r="N2632" s="12"/>
      <c r="O2632" s="12"/>
      <c r="P2632" s="12"/>
      <c r="Q2632" s="12"/>
      <c r="R2632" s="12"/>
      <c r="S2632" s="12"/>
      <c r="T2632" s="12"/>
      <c r="U2632" s="12"/>
      <c r="V2632" s="12"/>
      <c r="W2632" s="12"/>
      <c r="X2632" s="12"/>
      <c r="Y2632" s="12"/>
      <c r="Z2632" s="12"/>
      <c r="AA2632" s="12"/>
    </row>
    <row r="2633" ht="26.25" customHeight="1">
      <c r="A2633" s="28" t="s">
        <v>5276</v>
      </c>
      <c r="B2633" s="29" t="s">
        <v>5277</v>
      </c>
      <c r="C2633" s="30">
        <v>3.0</v>
      </c>
      <c r="D2633" s="31">
        <v>218.0</v>
      </c>
      <c r="E2633" s="31">
        <v>1.0</v>
      </c>
      <c r="F2633" s="32" t="str">
        <f t="array" ref="F2633">"https://www.google.com/maps/search/?api=1&amp;query=" &amp; A2633 &amp; "," &amp; B2633</f>
        <v>https://www.google.com/maps/search/?api=1&amp;query=-30.89648995270850,-5.55500494317216</v>
      </c>
      <c r="G2633" s="33" t="str">
        <f t="array" ref="G2633">"https://earth.google.com/web/search/" &amp; A2633 &amp; "," &amp; B2633</f>
        <v>https://earth.google.com/web/search/-30.89648995270850,-5.55500494317216</v>
      </c>
      <c r="H2633" s="12"/>
      <c r="I2633" s="12"/>
      <c r="J2633" s="12"/>
      <c r="K2633" s="12"/>
      <c r="L2633" s="12"/>
      <c r="M2633" s="12"/>
      <c r="N2633" s="12"/>
      <c r="O2633" s="12"/>
      <c r="P2633" s="12"/>
      <c r="Q2633" s="12"/>
      <c r="R2633" s="12"/>
      <c r="S2633" s="12"/>
      <c r="T2633" s="12"/>
      <c r="U2633" s="12"/>
      <c r="V2633" s="12"/>
      <c r="W2633" s="12"/>
      <c r="X2633" s="12"/>
      <c r="Y2633" s="12"/>
      <c r="Z2633" s="12"/>
      <c r="AA2633" s="12"/>
    </row>
    <row r="2634" ht="26.25" customHeight="1">
      <c r="A2634" s="34" t="s">
        <v>5278</v>
      </c>
      <c r="B2634" s="35" t="s">
        <v>5279</v>
      </c>
      <c r="C2634" s="36">
        <v>3.0</v>
      </c>
      <c r="D2634" s="37">
        <v>218.0</v>
      </c>
      <c r="E2634" s="37">
        <v>2.0</v>
      </c>
      <c r="F2634" s="24" t="str">
        <f t="array" ref="F2634">"https://www.google.com/maps/search/?api=1&amp;query=" &amp; A2634 &amp; "," &amp; B2634</f>
        <v>https://www.google.com/maps/search/?api=1&amp;query=-30.89629820274190,-55.54991987713580</v>
      </c>
      <c r="G2634" s="25" t="str">
        <f t="array" ref="G2634">"https://earth.google.com/web/search/" &amp; A2634 &amp; "," &amp; B2634</f>
        <v>https://earth.google.com/web/search/-30.89629820274190,-55.54991987713580</v>
      </c>
      <c r="H2634" s="12"/>
      <c r="I2634" s="12"/>
      <c r="J2634" s="12"/>
      <c r="K2634" s="12"/>
      <c r="L2634" s="12"/>
      <c r="M2634" s="12"/>
      <c r="N2634" s="12"/>
      <c r="O2634" s="12"/>
      <c r="P2634" s="12"/>
      <c r="Q2634" s="12"/>
      <c r="R2634" s="12"/>
      <c r="S2634" s="12"/>
      <c r="T2634" s="12"/>
      <c r="U2634" s="12"/>
      <c r="V2634" s="12"/>
      <c r="W2634" s="12"/>
      <c r="X2634" s="12"/>
      <c r="Y2634" s="12"/>
      <c r="Z2634" s="12"/>
      <c r="AA2634" s="12"/>
    </row>
    <row r="2635" ht="26.25" customHeight="1">
      <c r="A2635" s="28" t="s">
        <v>5280</v>
      </c>
      <c r="B2635" s="29" t="s">
        <v>5281</v>
      </c>
      <c r="C2635" s="30">
        <v>3.0</v>
      </c>
      <c r="D2635" s="31">
        <v>218.0</v>
      </c>
      <c r="E2635" s="31">
        <v>3.0</v>
      </c>
      <c r="F2635" s="32" t="str">
        <f t="array" ref="F2635">"https://www.google.com/maps/search/?api=1&amp;query=" &amp; A2635 &amp; "," &amp; B2635</f>
        <v>https://www.google.com/maps/search/?api=1&amp;query=-30.89617174580380,-55.54982213868510</v>
      </c>
      <c r="G2635" s="33" t="str">
        <f t="array" ref="G2635">"https://earth.google.com/web/search/" &amp; A2635 &amp; "," &amp; B2635</f>
        <v>https://earth.google.com/web/search/-30.89617174580380,-55.54982213868510</v>
      </c>
      <c r="H2635" s="12"/>
      <c r="I2635" s="12"/>
      <c r="J2635" s="12"/>
      <c r="K2635" s="12"/>
      <c r="L2635" s="12"/>
      <c r="M2635" s="12"/>
      <c r="N2635" s="12"/>
      <c r="O2635" s="12"/>
      <c r="P2635" s="12"/>
      <c r="Q2635" s="12"/>
      <c r="R2635" s="12"/>
      <c r="S2635" s="12"/>
      <c r="T2635" s="12"/>
      <c r="U2635" s="12"/>
      <c r="V2635" s="12"/>
      <c r="W2635" s="12"/>
      <c r="X2635" s="12"/>
      <c r="Y2635" s="12"/>
      <c r="Z2635" s="12"/>
      <c r="AA2635" s="12"/>
    </row>
    <row r="2636" ht="26.25" customHeight="1">
      <c r="A2636" s="34" t="s">
        <v>5282</v>
      </c>
      <c r="B2636" s="35" t="s">
        <v>5283</v>
      </c>
      <c r="C2636" s="36">
        <v>3.0</v>
      </c>
      <c r="D2636" s="37">
        <v>218.0</v>
      </c>
      <c r="E2636" s="37">
        <v>4.0</v>
      </c>
      <c r="F2636" s="24" t="str">
        <f t="array" ref="F2636">"https://www.google.com/maps/search/?api=1&amp;query=" &amp; A2636 &amp; "," &amp; B2636</f>
        <v>https://www.google.com/maps/search/?api=1&amp;query=-30.89596616428050,-55.54967423379350</v>
      </c>
      <c r="G2636" s="25" t="str">
        <f t="array" ref="G2636">"https://earth.google.com/web/search/" &amp; A2636 &amp; "," &amp; B2636</f>
        <v>https://earth.google.com/web/search/-30.89596616428050,-55.54967423379350</v>
      </c>
      <c r="H2636" s="12"/>
      <c r="I2636" s="12"/>
      <c r="J2636" s="12"/>
      <c r="K2636" s="12"/>
      <c r="L2636" s="12"/>
      <c r="M2636" s="12"/>
      <c r="N2636" s="12"/>
      <c r="O2636" s="12"/>
      <c r="P2636" s="12"/>
      <c r="Q2636" s="12"/>
      <c r="R2636" s="12"/>
      <c r="S2636" s="12"/>
      <c r="T2636" s="12"/>
      <c r="U2636" s="12"/>
      <c r="V2636" s="12"/>
      <c r="W2636" s="12"/>
      <c r="X2636" s="12"/>
      <c r="Y2636" s="12"/>
      <c r="Z2636" s="12"/>
      <c r="AA2636" s="12"/>
    </row>
    <row r="2637" ht="26.25" customHeight="1">
      <c r="A2637" s="28" t="s">
        <v>5284</v>
      </c>
      <c r="B2637" s="29" t="s">
        <v>5285</v>
      </c>
      <c r="C2637" s="30">
        <v>3.0</v>
      </c>
      <c r="D2637" s="31">
        <v>218.0</v>
      </c>
      <c r="E2637" s="31">
        <v>5.0</v>
      </c>
      <c r="F2637" s="32" t="str">
        <f t="array" ref="F2637">"https://www.google.com/maps/search/?api=1&amp;query=" &amp; A2637 &amp; "," &amp; B2637</f>
        <v>https://www.google.com/maps/search/?api=1&amp;query=-30.89584690953990,-55.54974175655080</v>
      </c>
      <c r="G2637" s="33" t="str">
        <f t="array" ref="G2637">"https://earth.google.com/web/search/" &amp; A2637 &amp; "," &amp; B2637</f>
        <v>https://earth.google.com/web/search/-30.89584690953990,-55.54974175655080</v>
      </c>
      <c r="H2637" s="12"/>
      <c r="I2637" s="12"/>
      <c r="J2637" s="12"/>
      <c r="K2637" s="12"/>
      <c r="L2637" s="12"/>
      <c r="M2637" s="12"/>
      <c r="N2637" s="12"/>
      <c r="O2637" s="12"/>
      <c r="P2637" s="12"/>
      <c r="Q2637" s="12"/>
      <c r="R2637" s="12"/>
      <c r="S2637" s="12"/>
      <c r="T2637" s="12"/>
      <c r="U2637" s="12"/>
      <c r="V2637" s="12"/>
      <c r="W2637" s="12"/>
      <c r="X2637" s="12"/>
      <c r="Y2637" s="12"/>
      <c r="Z2637" s="12"/>
      <c r="AA2637" s="12"/>
    </row>
    <row r="2638" ht="26.25" customHeight="1">
      <c r="A2638" s="34" t="s">
        <v>5286</v>
      </c>
      <c r="B2638" s="35" t="s">
        <v>5287</v>
      </c>
      <c r="C2638" s="36">
        <v>3.0</v>
      </c>
      <c r="D2638" s="37">
        <v>218.0</v>
      </c>
      <c r="E2638" s="37">
        <v>6.0</v>
      </c>
      <c r="F2638" s="24" t="str">
        <f t="array" ref="F2638">"https://www.google.com/maps/search/?api=1&amp;query=" &amp; A2638 &amp; "," &amp; B2638</f>
        <v>https://www.google.com/maps/search/?api=1&amp;query=-30.89576196101730,-5.55498616568992</v>
      </c>
      <c r="G2638" s="25" t="str">
        <f t="array" ref="G2638">"https://earth.google.com/web/search/" &amp; A2638 &amp; "," &amp; B2638</f>
        <v>https://earth.google.com/web/search/-30.89576196101730,-5.55498616568992</v>
      </c>
      <c r="H2638" s="12"/>
      <c r="I2638" s="12"/>
      <c r="J2638" s="12"/>
      <c r="K2638" s="12"/>
      <c r="L2638" s="12"/>
      <c r="M2638" s="12"/>
      <c r="N2638" s="12"/>
      <c r="O2638" s="12"/>
      <c r="P2638" s="12"/>
      <c r="Q2638" s="12"/>
      <c r="R2638" s="12"/>
      <c r="S2638" s="12"/>
      <c r="T2638" s="12"/>
      <c r="U2638" s="12"/>
      <c r="V2638" s="12"/>
      <c r="W2638" s="12"/>
      <c r="X2638" s="12"/>
      <c r="Y2638" s="12"/>
      <c r="Z2638" s="12"/>
      <c r="AA2638" s="12"/>
    </row>
    <row r="2639" ht="26.25" customHeight="1">
      <c r="A2639" s="28" t="s">
        <v>5288</v>
      </c>
      <c r="B2639" s="29" t="s">
        <v>5289</v>
      </c>
      <c r="C2639" s="30">
        <v>3.0</v>
      </c>
      <c r="D2639" s="31">
        <v>218.0</v>
      </c>
      <c r="E2639" s="31">
        <v>7.0</v>
      </c>
      <c r="F2639" s="32" t="str">
        <f t="array" ref="F2639">"https://www.google.com/maps/search/?api=1&amp;query=" &amp; A2639 &amp; "," &amp; B2639</f>
        <v>https://www.google.com/maps/search/?api=1&amp;query=-30.89550585022000,-55.55047372087230</v>
      </c>
      <c r="G2639" s="33" t="str">
        <f t="array" ref="G2639">"https://earth.google.com/web/search/" &amp; A2639 &amp; "," &amp; B2639</f>
        <v>https://earth.google.com/web/search/-30.89550585022000,-55.55047372087230</v>
      </c>
      <c r="H2639" s="12"/>
      <c r="I2639" s="12"/>
      <c r="J2639" s="12"/>
      <c r="K2639" s="12"/>
      <c r="L2639" s="12"/>
      <c r="M2639" s="12"/>
      <c r="N2639" s="12"/>
      <c r="O2639" s="12"/>
      <c r="P2639" s="12"/>
      <c r="Q2639" s="12"/>
      <c r="R2639" s="12"/>
      <c r="S2639" s="12"/>
      <c r="T2639" s="12"/>
      <c r="U2639" s="12"/>
      <c r="V2639" s="12"/>
      <c r="W2639" s="12"/>
      <c r="X2639" s="12"/>
      <c r="Y2639" s="12"/>
      <c r="Z2639" s="12"/>
      <c r="AA2639" s="12"/>
    </row>
    <row r="2640" ht="26.25" customHeight="1">
      <c r="A2640" s="34" t="s">
        <v>5290</v>
      </c>
      <c r="B2640" s="35" t="s">
        <v>5291</v>
      </c>
      <c r="C2640" s="36">
        <v>3.0</v>
      </c>
      <c r="D2640" s="37">
        <v>218.0</v>
      </c>
      <c r="E2640" s="37">
        <v>8.0</v>
      </c>
      <c r="F2640" s="24" t="str">
        <f t="array" ref="F2640">"https://www.google.com/maps/search/?api=1&amp;query=" &amp; A2640 &amp; "," &amp; B2640</f>
        <v>https://www.google.com/maps/search/?api=1&amp;query=-3.08955801552386,-55.55053324201730</v>
      </c>
      <c r="G2640" s="25" t="str">
        <f t="array" ref="G2640">"https://earth.google.com/web/search/" &amp; A2640 &amp; "," &amp; B2640</f>
        <v>https://earth.google.com/web/search/-3.08955801552386,-55.55053324201730</v>
      </c>
      <c r="H2640" s="12"/>
      <c r="I2640" s="12"/>
      <c r="J2640" s="12"/>
      <c r="K2640" s="12"/>
      <c r="L2640" s="12"/>
      <c r="M2640" s="12"/>
      <c r="N2640" s="12"/>
      <c r="O2640" s="12"/>
      <c r="P2640" s="12"/>
      <c r="Q2640" s="12"/>
      <c r="R2640" s="12"/>
      <c r="S2640" s="12"/>
      <c r="T2640" s="12"/>
      <c r="U2640" s="12"/>
      <c r="V2640" s="12"/>
      <c r="W2640" s="12"/>
      <c r="X2640" s="12"/>
      <c r="Y2640" s="12"/>
      <c r="Z2640" s="12"/>
      <c r="AA2640" s="12"/>
    </row>
    <row r="2641" ht="26.25" customHeight="1">
      <c r="A2641" s="28" t="s">
        <v>5292</v>
      </c>
      <c r="B2641" s="29" t="s">
        <v>5293</v>
      </c>
      <c r="C2641" s="30">
        <v>3.0</v>
      </c>
      <c r="D2641" s="31">
        <v>218.0</v>
      </c>
      <c r="E2641" s="31">
        <v>9.0</v>
      </c>
      <c r="F2641" s="32" t="str">
        <f t="array" ref="F2641">"https://www.google.com/maps/search/?api=1&amp;query=" &amp; A2641 &amp; "," &amp; B2641</f>
        <v>https://www.google.com/maps/search/?api=1&amp;query=-30.89564538506410,-55.55056682919250</v>
      </c>
      <c r="G2641" s="33" t="str">
        <f t="array" ref="G2641">"https://earth.google.com/web/search/" &amp; A2641 &amp; "," &amp; B2641</f>
        <v>https://earth.google.com/web/search/-30.89564538506410,-55.55056682919250</v>
      </c>
      <c r="H2641" s="12"/>
      <c r="I2641" s="12"/>
      <c r="J2641" s="12"/>
      <c r="K2641" s="12"/>
      <c r="L2641" s="12"/>
      <c r="M2641" s="12"/>
      <c r="N2641" s="12"/>
      <c r="O2641" s="12"/>
      <c r="P2641" s="12"/>
      <c r="Q2641" s="12"/>
      <c r="R2641" s="12"/>
      <c r="S2641" s="12"/>
      <c r="T2641" s="12"/>
      <c r="U2641" s="12"/>
      <c r="V2641" s="12"/>
      <c r="W2641" s="12"/>
      <c r="X2641" s="12"/>
      <c r="Y2641" s="12"/>
      <c r="Z2641" s="12"/>
      <c r="AA2641" s="12"/>
    </row>
    <row r="2642" ht="26.25" customHeight="1">
      <c r="A2642" s="34" t="s">
        <v>5294</v>
      </c>
      <c r="B2642" s="35" t="s">
        <v>5295</v>
      </c>
      <c r="C2642" s="36">
        <v>3.0</v>
      </c>
      <c r="D2642" s="37">
        <v>218.0</v>
      </c>
      <c r="E2642" s="37">
        <v>10.0</v>
      </c>
      <c r="F2642" s="24" t="str">
        <f t="array" ref="F2642">"https://www.google.com/maps/search/?api=1&amp;query=" &amp; A2642 &amp; "," &amp; B2642</f>
        <v>https://www.google.com/maps/search/?api=1&amp;query=-30.89568729753610,-5.55506055132192</v>
      </c>
      <c r="G2642" s="25" t="str">
        <f t="array" ref="G2642">"https://earth.google.com/web/search/" &amp; A2642 &amp; "," &amp; B2642</f>
        <v>https://earth.google.com/web/search/-30.89568729753610,-5.55506055132192</v>
      </c>
      <c r="H2642" s="12"/>
      <c r="I2642" s="12"/>
      <c r="J2642" s="12"/>
      <c r="K2642" s="12"/>
      <c r="L2642" s="12"/>
      <c r="M2642" s="12"/>
      <c r="N2642" s="12"/>
      <c r="O2642" s="12"/>
      <c r="P2642" s="12"/>
      <c r="Q2642" s="12"/>
      <c r="R2642" s="12"/>
      <c r="S2642" s="12"/>
      <c r="T2642" s="12"/>
      <c r="U2642" s="12"/>
      <c r="V2642" s="12"/>
      <c r="W2642" s="12"/>
      <c r="X2642" s="12"/>
      <c r="Y2642" s="12"/>
      <c r="Z2642" s="12"/>
      <c r="AA2642" s="12"/>
    </row>
    <row r="2643" ht="26.25" customHeight="1">
      <c r="A2643" s="28" t="s">
        <v>5296</v>
      </c>
      <c r="B2643" s="29" t="s">
        <v>5297</v>
      </c>
      <c r="C2643" s="30">
        <v>3.0</v>
      </c>
      <c r="D2643" s="31">
        <v>218.0</v>
      </c>
      <c r="E2643" s="31">
        <v>11.0</v>
      </c>
      <c r="F2643" s="32" t="str">
        <f t="array" ref="F2643">"https://www.google.com/maps/search/?api=1&amp;query=" &amp; A2643 &amp; "," &amp; B2643</f>
        <v>https://www.google.com/maps/search/?api=1&amp;query=-30.89578103391790,-55.55066874189360</v>
      </c>
      <c r="G2643" s="33" t="str">
        <f t="array" ref="G2643">"https://earth.google.com/web/search/" &amp; A2643 &amp; "," &amp; B2643</f>
        <v>https://earth.google.com/web/search/-30.89578103391790,-55.55066874189360</v>
      </c>
      <c r="H2643" s="12"/>
      <c r="I2643" s="12"/>
      <c r="J2643" s="12"/>
      <c r="K2643" s="12"/>
      <c r="L2643" s="12"/>
      <c r="M2643" s="12"/>
      <c r="N2643" s="12"/>
      <c r="O2643" s="12"/>
      <c r="P2643" s="12"/>
      <c r="Q2643" s="12"/>
      <c r="R2643" s="12"/>
      <c r="S2643" s="12"/>
      <c r="T2643" s="12"/>
      <c r="U2643" s="12"/>
      <c r="V2643" s="12"/>
      <c r="W2643" s="12"/>
      <c r="X2643" s="12"/>
      <c r="Y2643" s="12"/>
      <c r="Z2643" s="12"/>
      <c r="AA2643" s="12"/>
    </row>
    <row r="2644" ht="26.25" customHeight="1">
      <c r="A2644" s="34" t="s">
        <v>5298</v>
      </c>
      <c r="B2644" s="35" t="s">
        <v>5299</v>
      </c>
      <c r="C2644" s="36">
        <v>3.0</v>
      </c>
      <c r="D2644" s="37">
        <v>218.0</v>
      </c>
      <c r="E2644" s="37">
        <v>12.0</v>
      </c>
      <c r="F2644" s="24" t="str">
        <f t="array" ref="F2644">"https://www.google.com/maps/search/?api=1&amp;query=" &amp; A2644 &amp; "," &amp; B2644</f>
        <v>https://www.google.com/maps/search/?api=1&amp;query=-30.89591464832720,-55.55077850620260</v>
      </c>
      <c r="G2644" s="25" t="str">
        <f t="array" ref="G2644">"https://earth.google.com/web/search/" &amp; A2644 &amp; "," &amp; B2644</f>
        <v>https://earth.google.com/web/search/-30.89591464832720,-55.55077850620260</v>
      </c>
      <c r="H2644" s="12"/>
      <c r="I2644" s="12"/>
      <c r="J2644" s="12"/>
      <c r="K2644" s="12"/>
      <c r="L2644" s="12"/>
      <c r="M2644" s="12"/>
      <c r="N2644" s="12"/>
      <c r="O2644" s="12"/>
      <c r="P2644" s="12"/>
      <c r="Q2644" s="12"/>
      <c r="R2644" s="12"/>
      <c r="S2644" s="12"/>
      <c r="T2644" s="12"/>
      <c r="U2644" s="12"/>
      <c r="V2644" s="12"/>
      <c r="W2644" s="12"/>
      <c r="X2644" s="12"/>
      <c r="Y2644" s="12"/>
      <c r="Z2644" s="12"/>
      <c r="AA2644" s="12"/>
    </row>
    <row r="2645" ht="26.25" customHeight="1">
      <c r="A2645" s="28" t="s">
        <v>5300</v>
      </c>
      <c r="B2645" s="29" t="s">
        <v>5301</v>
      </c>
      <c r="C2645" s="30">
        <v>3.0</v>
      </c>
      <c r="D2645" s="31">
        <v>218.0</v>
      </c>
      <c r="E2645" s="31">
        <v>13.0</v>
      </c>
      <c r="F2645" s="32" t="str">
        <f t="array" ref="F2645">"https://www.google.com/maps/search/?api=1&amp;query=" &amp; A2645 &amp; "," &amp; B2645</f>
        <v>https://www.google.com/maps/search/?api=1&amp;query=-30.89598258022310,-55.55082802050410</v>
      </c>
      <c r="G2645" s="33" t="str">
        <f t="array" ref="G2645">"https://earth.google.com/web/search/" &amp; A2645 &amp; "," &amp; B2645</f>
        <v>https://earth.google.com/web/search/-30.89598258022310,-55.55082802050410</v>
      </c>
      <c r="H2645" s="12"/>
      <c r="I2645" s="12"/>
      <c r="J2645" s="12"/>
      <c r="K2645" s="12"/>
      <c r="L2645" s="12"/>
      <c r="M2645" s="12"/>
      <c r="N2645" s="12"/>
      <c r="O2645" s="12"/>
      <c r="P2645" s="12"/>
      <c r="Q2645" s="12"/>
      <c r="R2645" s="12"/>
      <c r="S2645" s="12"/>
      <c r="T2645" s="12"/>
      <c r="U2645" s="12"/>
      <c r="V2645" s="12"/>
      <c r="W2645" s="12"/>
      <c r="X2645" s="12"/>
      <c r="Y2645" s="12"/>
      <c r="Z2645" s="12"/>
      <c r="AA2645" s="12"/>
    </row>
    <row r="2646" ht="26.25" customHeight="1">
      <c r="A2646" s="34" t="s">
        <v>5302</v>
      </c>
      <c r="B2646" s="35" t="s">
        <v>5303</v>
      </c>
      <c r="C2646" s="36">
        <v>3.0</v>
      </c>
      <c r="D2646" s="37">
        <v>218.0</v>
      </c>
      <c r="E2646" s="37">
        <v>14.0</v>
      </c>
      <c r="F2646" s="24" t="str">
        <f t="array" ref="F2646">"https://www.google.com/maps/search/?api=1&amp;query=" &amp; A2646 &amp; "," &amp; B2646</f>
        <v>https://www.google.com/maps/search/?api=1&amp;query=-30.89604393881390,-55.55088107765600</v>
      </c>
      <c r="G2646" s="25" t="str">
        <f t="array" ref="G2646">"https://earth.google.com/web/search/" &amp; A2646 &amp; "," &amp; B2646</f>
        <v>https://earth.google.com/web/search/-30.89604393881390,-55.55088107765600</v>
      </c>
      <c r="H2646" s="12"/>
      <c r="I2646" s="12"/>
      <c r="J2646" s="12"/>
      <c r="K2646" s="12"/>
      <c r="L2646" s="12"/>
      <c r="M2646" s="12"/>
      <c r="N2646" s="12"/>
      <c r="O2646" s="12"/>
      <c r="P2646" s="12"/>
      <c r="Q2646" s="12"/>
      <c r="R2646" s="12"/>
      <c r="S2646" s="12"/>
      <c r="T2646" s="12"/>
      <c r="U2646" s="12"/>
      <c r="V2646" s="12"/>
      <c r="W2646" s="12"/>
      <c r="X2646" s="12"/>
      <c r="Y2646" s="12"/>
      <c r="Z2646" s="12"/>
      <c r="AA2646" s="12"/>
    </row>
    <row r="2647" ht="26.25" customHeight="1">
      <c r="A2647" s="28" t="s">
        <v>5304</v>
      </c>
      <c r="B2647" s="29" t="s">
        <v>5305</v>
      </c>
      <c r="C2647" s="30">
        <v>3.0</v>
      </c>
      <c r="D2647" s="31">
        <v>218.0</v>
      </c>
      <c r="E2647" s="31">
        <v>15.0</v>
      </c>
      <c r="F2647" s="32" t="str">
        <f t="array" ref="F2647">"https://www.google.com/maps/search/?api=1&amp;query=" &amp; A2647 &amp; "," &amp; B2647</f>
        <v>https://www.google.com/maps/search/?api=1&amp;query=-30.89626588940140,-55.55074156915420</v>
      </c>
      <c r="G2647" s="33" t="str">
        <f t="array" ref="G2647">"https://earth.google.com/web/search/" &amp; A2647 &amp; "," &amp; B2647</f>
        <v>https://earth.google.com/web/search/-30.89626588940140,-55.55074156915420</v>
      </c>
      <c r="H2647" s="12"/>
      <c r="I2647" s="12"/>
      <c r="J2647" s="12"/>
      <c r="K2647" s="12"/>
      <c r="L2647" s="12"/>
      <c r="M2647" s="12"/>
      <c r="N2647" s="12"/>
      <c r="O2647" s="12"/>
      <c r="P2647" s="12"/>
      <c r="Q2647" s="12"/>
      <c r="R2647" s="12"/>
      <c r="S2647" s="12"/>
      <c r="T2647" s="12"/>
      <c r="U2647" s="12"/>
      <c r="V2647" s="12"/>
      <c r="W2647" s="12"/>
      <c r="X2647" s="12"/>
      <c r="Y2647" s="12"/>
      <c r="Z2647" s="12"/>
      <c r="AA2647" s="12"/>
    </row>
    <row r="2648" ht="26.25" customHeight="1">
      <c r="A2648" s="34" t="s">
        <v>5306</v>
      </c>
      <c r="B2648" s="35" t="s">
        <v>5307</v>
      </c>
      <c r="C2648" s="36">
        <v>3.0</v>
      </c>
      <c r="D2648" s="37">
        <v>219.0</v>
      </c>
      <c r="E2648" s="37">
        <v>1.0</v>
      </c>
      <c r="F2648" s="24" t="str">
        <f t="array" ref="F2648">"https://www.google.com/maps/search/?api=1&amp;query=" &amp; A2648 &amp; "," &amp; B2648</f>
        <v>https://www.google.com/maps/search/?api=1&amp;query=-30.89668155168140,-55.54999593373930</v>
      </c>
      <c r="G2648" s="25" t="str">
        <f t="array" ref="G2648">"https://earth.google.com/web/search/" &amp; A2648 &amp; "," &amp; B2648</f>
        <v>https://earth.google.com/web/search/-30.89668155168140,-55.54999593373930</v>
      </c>
      <c r="H2648" s="12"/>
      <c r="I2648" s="12"/>
      <c r="J2648" s="12"/>
      <c r="K2648" s="12"/>
      <c r="L2648" s="12"/>
      <c r="M2648" s="12"/>
      <c r="N2648" s="12"/>
      <c r="O2648" s="12"/>
      <c r="P2648" s="12"/>
      <c r="Q2648" s="12"/>
      <c r="R2648" s="12"/>
      <c r="S2648" s="12"/>
      <c r="T2648" s="12"/>
      <c r="U2648" s="12"/>
      <c r="V2648" s="12"/>
      <c r="W2648" s="12"/>
      <c r="X2648" s="12"/>
      <c r="Y2648" s="12"/>
      <c r="Z2648" s="12"/>
      <c r="AA2648" s="12"/>
    </row>
    <row r="2649" ht="26.25" customHeight="1">
      <c r="A2649" s="28" t="s">
        <v>5308</v>
      </c>
      <c r="B2649" s="29" t="s">
        <v>5309</v>
      </c>
      <c r="C2649" s="30">
        <v>3.0</v>
      </c>
      <c r="D2649" s="31">
        <v>219.0</v>
      </c>
      <c r="E2649" s="31">
        <v>2.0</v>
      </c>
      <c r="F2649" s="32" t="str">
        <f t="array" ref="F2649">"https://www.google.com/maps/search/?api=1&amp;query=" &amp; A2649 &amp; "," &amp; B2649</f>
        <v>https://www.google.com/maps/search/?api=1&amp;query=-30.89671289214720,-55.54993368007800</v>
      </c>
      <c r="G2649" s="33" t="str">
        <f t="array" ref="G2649">"https://earth.google.com/web/search/" &amp; A2649 &amp; "," &amp; B2649</f>
        <v>https://earth.google.com/web/search/-30.89671289214720,-55.54993368007800</v>
      </c>
      <c r="H2649" s="12"/>
      <c r="I2649" s="12"/>
      <c r="J2649" s="12"/>
      <c r="K2649" s="12"/>
      <c r="L2649" s="12"/>
      <c r="M2649" s="12"/>
      <c r="N2649" s="12"/>
      <c r="O2649" s="12"/>
      <c r="P2649" s="12"/>
      <c r="Q2649" s="12"/>
      <c r="R2649" s="12"/>
      <c r="S2649" s="12"/>
      <c r="T2649" s="12"/>
      <c r="U2649" s="12"/>
      <c r="V2649" s="12"/>
      <c r="W2649" s="12"/>
      <c r="X2649" s="12"/>
      <c r="Y2649" s="12"/>
      <c r="Z2649" s="12"/>
      <c r="AA2649" s="12"/>
    </row>
    <row r="2650" ht="26.25" customHeight="1">
      <c r="A2650" s="34" t="s">
        <v>5310</v>
      </c>
      <c r="B2650" s="35" t="s">
        <v>5311</v>
      </c>
      <c r="C2650" s="36">
        <v>3.0</v>
      </c>
      <c r="D2650" s="37">
        <v>219.0</v>
      </c>
      <c r="E2650" s="37">
        <v>3.0</v>
      </c>
      <c r="F2650" s="24" t="str">
        <f t="array" ref="F2650">"https://www.google.com/maps/search/?api=1&amp;query=" &amp; A2650 &amp; "," &amp; B2650</f>
        <v>https://www.google.com/maps/search/?api=1&amp;query=-30.89674394812100,-55.54986898493810</v>
      </c>
      <c r="G2650" s="25" t="str">
        <f t="array" ref="G2650">"https://earth.google.com/web/search/" &amp; A2650 &amp; "," &amp; B2650</f>
        <v>https://earth.google.com/web/search/-30.89674394812100,-55.54986898493810</v>
      </c>
      <c r="H2650" s="12"/>
      <c r="I2650" s="12"/>
      <c r="J2650" s="12"/>
      <c r="K2650" s="12"/>
      <c r="L2650" s="12"/>
      <c r="M2650" s="12"/>
      <c r="N2650" s="12"/>
      <c r="O2650" s="12"/>
      <c r="P2650" s="12"/>
      <c r="Q2650" s="12"/>
      <c r="R2650" s="12"/>
      <c r="S2650" s="12"/>
      <c r="T2650" s="12"/>
      <c r="U2650" s="12"/>
      <c r="V2650" s="12"/>
      <c r="W2650" s="12"/>
      <c r="X2650" s="12"/>
      <c r="Y2650" s="12"/>
      <c r="Z2650" s="12"/>
      <c r="AA2650" s="12"/>
    </row>
    <row r="2651" ht="26.25" customHeight="1">
      <c r="A2651" s="28" t="s">
        <v>5312</v>
      </c>
      <c r="B2651" s="29" t="s">
        <v>5313</v>
      </c>
      <c r="C2651" s="30">
        <v>3.0</v>
      </c>
      <c r="D2651" s="31">
        <v>219.0</v>
      </c>
      <c r="E2651" s="31">
        <v>4.0</v>
      </c>
      <c r="F2651" s="32" t="str">
        <f t="array" ref="F2651">"https://www.google.com/maps/search/?api=1&amp;query=" &amp; A2651 &amp; "," &amp; B2651</f>
        <v>https://www.google.com/maps/search/?api=1&amp;query=-30.89677949552330,-55.54979987643540</v>
      </c>
      <c r="G2651" s="33" t="str">
        <f t="array" ref="G2651">"https://earth.google.com/web/search/" &amp; A2651 &amp; "," &amp; B2651</f>
        <v>https://earth.google.com/web/search/-30.89677949552330,-55.54979987643540</v>
      </c>
      <c r="H2651" s="12"/>
      <c r="I2651" s="12"/>
      <c r="J2651" s="12"/>
      <c r="K2651" s="12"/>
      <c r="L2651" s="12"/>
      <c r="M2651" s="12"/>
      <c r="N2651" s="12"/>
      <c r="O2651" s="12"/>
      <c r="P2651" s="12"/>
      <c r="Q2651" s="12"/>
      <c r="R2651" s="12"/>
      <c r="S2651" s="12"/>
      <c r="T2651" s="12"/>
      <c r="U2651" s="12"/>
      <c r="V2651" s="12"/>
      <c r="W2651" s="12"/>
      <c r="X2651" s="12"/>
      <c r="Y2651" s="12"/>
      <c r="Z2651" s="12"/>
      <c r="AA2651" s="12"/>
    </row>
    <row r="2652" ht="26.25" customHeight="1">
      <c r="A2652" s="34" t="s">
        <v>5314</v>
      </c>
      <c r="B2652" s="35" t="s">
        <v>5315</v>
      </c>
      <c r="C2652" s="36">
        <v>3.0</v>
      </c>
      <c r="D2652" s="37">
        <v>219.0</v>
      </c>
      <c r="E2652" s="37">
        <v>5.0</v>
      </c>
      <c r="F2652" s="24" t="str">
        <f t="array" ref="F2652">"https://www.google.com/maps/search/?api=1&amp;query=" &amp; A2652 &amp; "," &amp; B2652</f>
        <v>https://www.google.com/maps/search/?api=1&amp;query=-30.89684209474340,-55.54968636190510</v>
      </c>
      <c r="G2652" s="25" t="str">
        <f t="array" ref="G2652">"https://earth.google.com/web/search/" &amp; A2652 &amp; "," &amp; B2652</f>
        <v>https://earth.google.com/web/search/-30.89684209474340,-55.54968636190510</v>
      </c>
      <c r="H2652" s="12"/>
      <c r="I2652" s="12"/>
      <c r="J2652" s="12"/>
      <c r="K2652" s="12"/>
      <c r="L2652" s="12"/>
      <c r="M2652" s="12"/>
      <c r="N2652" s="12"/>
      <c r="O2652" s="12"/>
      <c r="P2652" s="12"/>
      <c r="Q2652" s="12"/>
      <c r="R2652" s="12"/>
      <c r="S2652" s="12"/>
      <c r="T2652" s="12"/>
      <c r="U2652" s="12"/>
      <c r="V2652" s="12"/>
      <c r="W2652" s="12"/>
      <c r="X2652" s="12"/>
      <c r="Y2652" s="12"/>
      <c r="Z2652" s="12"/>
      <c r="AA2652" s="12"/>
    </row>
    <row r="2653" ht="26.25" customHeight="1">
      <c r="A2653" s="28" t="s">
        <v>5316</v>
      </c>
      <c r="B2653" s="29" t="s">
        <v>5317</v>
      </c>
      <c r="C2653" s="30">
        <v>3.0</v>
      </c>
      <c r="D2653" s="31">
        <v>219.0</v>
      </c>
      <c r="E2653" s="31">
        <v>6.0</v>
      </c>
      <c r="F2653" s="32" t="str">
        <f t="array" ref="F2653">"https://www.google.com/maps/search/?api=1&amp;query=" &amp; A2653 &amp; "," &amp; B2653</f>
        <v>https://www.google.com/maps/search/?api=1&amp;query=-30.89690642695600,-55.54955309805150</v>
      </c>
      <c r="G2653" s="33" t="str">
        <f t="array" ref="G2653">"https://earth.google.com/web/search/" &amp; A2653 &amp; "," &amp; B2653</f>
        <v>https://earth.google.com/web/search/-30.89690642695600,-55.54955309805150</v>
      </c>
      <c r="H2653" s="12"/>
      <c r="I2653" s="12"/>
      <c r="J2653" s="12"/>
      <c r="K2653" s="12"/>
      <c r="L2653" s="12"/>
      <c r="M2653" s="12"/>
      <c r="N2653" s="12"/>
      <c r="O2653" s="12"/>
      <c r="P2653" s="12"/>
      <c r="Q2653" s="12"/>
      <c r="R2653" s="12"/>
      <c r="S2653" s="12"/>
      <c r="T2653" s="12"/>
      <c r="U2653" s="12"/>
      <c r="V2653" s="12"/>
      <c r="W2653" s="12"/>
      <c r="X2653" s="12"/>
      <c r="Y2653" s="12"/>
      <c r="Z2653" s="12"/>
      <c r="AA2653" s="12"/>
    </row>
    <row r="2654" ht="26.25" customHeight="1">
      <c r="A2654" s="34" t="s">
        <v>5318</v>
      </c>
      <c r="B2654" s="35" t="s">
        <v>5319</v>
      </c>
      <c r="C2654" s="36">
        <v>3.0</v>
      </c>
      <c r="D2654" s="37">
        <v>219.0</v>
      </c>
      <c r="E2654" s="37">
        <v>7.0</v>
      </c>
      <c r="F2654" s="24" t="str">
        <f t="array" ref="F2654">"https://www.google.com/maps/search/?api=1&amp;query=" &amp; A2654 &amp; "," &amp; B2654</f>
        <v>https://www.google.com/maps/search/?api=1&amp;query=-30.89624415627830,-55.54894073642670</v>
      </c>
      <c r="G2654" s="25" t="str">
        <f t="array" ref="G2654">"https://earth.google.com/web/search/" &amp; A2654 &amp; "," &amp; B2654</f>
        <v>https://earth.google.com/web/search/-30.89624415627830,-55.54894073642670</v>
      </c>
      <c r="H2654" s="12"/>
      <c r="I2654" s="12"/>
      <c r="J2654" s="12"/>
      <c r="K2654" s="12"/>
      <c r="L2654" s="12"/>
      <c r="M2654" s="12"/>
      <c r="N2654" s="12"/>
      <c r="O2654" s="12"/>
      <c r="P2654" s="12"/>
      <c r="Q2654" s="12"/>
      <c r="R2654" s="12"/>
      <c r="S2654" s="12"/>
      <c r="T2654" s="12"/>
      <c r="U2654" s="12"/>
      <c r="V2654" s="12"/>
      <c r="W2654" s="12"/>
      <c r="X2654" s="12"/>
      <c r="Y2654" s="12"/>
      <c r="Z2654" s="12"/>
      <c r="AA2654" s="12"/>
    </row>
    <row r="2655" ht="26.25" customHeight="1">
      <c r="A2655" s="28" t="s">
        <v>5320</v>
      </c>
      <c r="B2655" s="29" t="s">
        <v>5321</v>
      </c>
      <c r="C2655" s="30">
        <v>3.0</v>
      </c>
      <c r="D2655" s="31">
        <v>219.0</v>
      </c>
      <c r="E2655" s="31">
        <v>8.0</v>
      </c>
      <c r="F2655" s="32" t="str">
        <f t="array" ref="F2655">"https://www.google.com/maps/search/?api=1&amp;query=" &amp; A2655 &amp; "," &amp; B2655</f>
        <v>https://www.google.com/maps/search/?api=1&amp;query=-30.89607906297150,-55.54928146605790</v>
      </c>
      <c r="G2655" s="33" t="str">
        <f t="array" ref="G2655">"https://earth.google.com/web/search/" &amp; A2655 &amp; "," &amp; B2655</f>
        <v>https://earth.google.com/web/search/-30.89607906297150,-55.54928146605790</v>
      </c>
      <c r="H2655" s="12"/>
      <c r="I2655" s="12"/>
      <c r="J2655" s="12"/>
      <c r="K2655" s="12"/>
      <c r="L2655" s="12"/>
      <c r="M2655" s="12"/>
      <c r="N2655" s="12"/>
      <c r="O2655" s="12"/>
      <c r="P2655" s="12"/>
      <c r="Q2655" s="12"/>
      <c r="R2655" s="12"/>
      <c r="S2655" s="12"/>
      <c r="T2655" s="12"/>
      <c r="U2655" s="12"/>
      <c r="V2655" s="12"/>
      <c r="W2655" s="12"/>
      <c r="X2655" s="12"/>
      <c r="Y2655" s="12"/>
      <c r="Z2655" s="12"/>
      <c r="AA2655" s="12"/>
    </row>
    <row r="2656" ht="26.25" customHeight="1">
      <c r="A2656" s="34" t="s">
        <v>5322</v>
      </c>
      <c r="B2656" s="35" t="s">
        <v>5323</v>
      </c>
      <c r="C2656" s="36">
        <v>3.0</v>
      </c>
      <c r="D2656" s="37">
        <v>219.0</v>
      </c>
      <c r="E2656" s="37">
        <v>9.0</v>
      </c>
      <c r="F2656" s="24" t="str">
        <f t="array" ref="F2656">"https://www.google.com/maps/search/?api=1&amp;query=" &amp; A2656 &amp; "," &amp; B2656</f>
        <v>https://www.google.com/maps/search/?api=1&amp;query=-30.89636043803430,-55.54983648234230</v>
      </c>
      <c r="G2656" s="25" t="str">
        <f t="array" ref="G2656">"https://earth.google.com/web/search/" &amp; A2656 &amp; "," &amp; B2656</f>
        <v>https://earth.google.com/web/search/-30.89636043803430,-55.54983648234230</v>
      </c>
      <c r="H2656" s="12"/>
      <c r="I2656" s="12"/>
      <c r="J2656" s="12"/>
      <c r="K2656" s="12"/>
      <c r="L2656" s="12"/>
      <c r="M2656" s="12"/>
      <c r="N2656" s="12"/>
      <c r="O2656" s="12"/>
      <c r="P2656" s="12"/>
      <c r="Q2656" s="12"/>
      <c r="R2656" s="12"/>
      <c r="S2656" s="12"/>
      <c r="T2656" s="12"/>
      <c r="U2656" s="12"/>
      <c r="V2656" s="12"/>
      <c r="W2656" s="12"/>
      <c r="X2656" s="12"/>
      <c r="Y2656" s="12"/>
      <c r="Z2656" s="12"/>
      <c r="AA2656" s="12"/>
    </row>
    <row r="2657" ht="26.25" customHeight="1">
      <c r="A2657" s="28" t="s">
        <v>5324</v>
      </c>
      <c r="B2657" s="29" t="s">
        <v>5325</v>
      </c>
      <c r="C2657" s="30">
        <v>3.0</v>
      </c>
      <c r="D2657" s="31">
        <v>219.0</v>
      </c>
      <c r="E2657" s="31">
        <v>10.0</v>
      </c>
      <c r="F2657" s="32" t="str">
        <f t="array" ref="F2657">"https://www.google.com/maps/search/?api=1&amp;query=" &amp; A2657 &amp; "," &amp; B2657</f>
        <v>https://www.google.com/maps/search/?api=1&amp;query=-30.89643526060910,-55.54989870106690</v>
      </c>
      <c r="G2657" s="33" t="str">
        <f t="array" ref="G2657">"https://earth.google.com/web/search/" &amp; A2657 &amp; "," &amp; B2657</f>
        <v>https://earth.google.com/web/search/-30.89643526060910,-55.54989870106690</v>
      </c>
      <c r="H2657" s="12"/>
      <c r="I2657" s="12"/>
      <c r="J2657" s="12"/>
      <c r="K2657" s="12"/>
      <c r="L2657" s="12"/>
      <c r="M2657" s="12"/>
      <c r="N2657" s="12"/>
      <c r="O2657" s="12"/>
      <c r="P2657" s="12"/>
      <c r="Q2657" s="12"/>
      <c r="R2657" s="12"/>
      <c r="S2657" s="12"/>
      <c r="T2657" s="12"/>
      <c r="U2657" s="12"/>
      <c r="V2657" s="12"/>
      <c r="W2657" s="12"/>
      <c r="X2657" s="12"/>
      <c r="Y2657" s="12"/>
      <c r="Z2657" s="12"/>
      <c r="AA2657" s="12"/>
    </row>
    <row r="2658" ht="26.25" customHeight="1">
      <c r="A2658" s="34" t="s">
        <v>5326</v>
      </c>
      <c r="B2658" s="35" t="s">
        <v>5327</v>
      </c>
      <c r="C2658" s="36">
        <v>3.0</v>
      </c>
      <c r="D2658" s="37">
        <v>219.0</v>
      </c>
      <c r="E2658" s="37">
        <v>11.0</v>
      </c>
      <c r="F2658" s="24" t="str">
        <f t="array" ref="F2658">"https://www.google.com/maps/search/?api=1&amp;query=" &amp; A2658 &amp; "," &amp; B2658</f>
        <v>https://www.google.com/maps/search/?api=1&amp;query=-30.89652265127270,-55.54995228203790</v>
      </c>
      <c r="G2658" s="25" t="str">
        <f t="array" ref="G2658">"https://earth.google.com/web/search/" &amp; A2658 &amp; "," &amp; B2658</f>
        <v>https://earth.google.com/web/search/-30.89652265127270,-55.54995228203790</v>
      </c>
      <c r="H2658" s="12"/>
      <c r="I2658" s="12"/>
      <c r="J2658" s="12"/>
      <c r="K2658" s="12"/>
      <c r="L2658" s="12"/>
      <c r="M2658" s="12"/>
      <c r="N2658" s="12"/>
      <c r="O2658" s="12"/>
      <c r="P2658" s="12"/>
      <c r="Q2658" s="12"/>
      <c r="R2658" s="12"/>
      <c r="S2658" s="12"/>
      <c r="T2658" s="12"/>
      <c r="U2658" s="12"/>
      <c r="V2658" s="12"/>
      <c r="W2658" s="12"/>
      <c r="X2658" s="12"/>
      <c r="Y2658" s="12"/>
      <c r="Z2658" s="12"/>
      <c r="AA2658" s="12"/>
    </row>
    <row r="2659" ht="26.25" customHeight="1">
      <c r="A2659" s="28" t="s">
        <v>5328</v>
      </c>
      <c r="B2659" s="29" t="s">
        <v>5329</v>
      </c>
      <c r="C2659" s="30">
        <v>3.0</v>
      </c>
      <c r="D2659" s="31">
        <v>219.0</v>
      </c>
      <c r="E2659" s="31">
        <v>12.0</v>
      </c>
      <c r="F2659" s="32" t="str">
        <f t="array" ref="F2659">"https://www.google.com/maps/search/?api=1&amp;query=" &amp; A2659 &amp; "," &amp; B2659</f>
        <v>https://www.google.com/maps/search/?api=1&amp;query=-30.89655484058500,-55.54997819903860</v>
      </c>
      <c r="G2659" s="33" t="str">
        <f t="array" ref="G2659">"https://earth.google.com/web/search/" &amp; A2659 &amp; "," &amp; B2659</f>
        <v>https://earth.google.com/web/search/-30.89655484058500,-55.54997819903860</v>
      </c>
      <c r="H2659" s="12"/>
      <c r="I2659" s="12"/>
      <c r="J2659" s="12"/>
      <c r="K2659" s="12"/>
      <c r="L2659" s="12"/>
      <c r="M2659" s="12"/>
      <c r="N2659" s="12"/>
      <c r="O2659" s="12"/>
      <c r="P2659" s="12"/>
      <c r="Q2659" s="12"/>
      <c r="R2659" s="12"/>
      <c r="S2659" s="12"/>
      <c r="T2659" s="12"/>
      <c r="U2659" s="12"/>
      <c r="V2659" s="12"/>
      <c r="W2659" s="12"/>
      <c r="X2659" s="12"/>
      <c r="Y2659" s="12"/>
      <c r="Z2659" s="12"/>
      <c r="AA2659" s="12"/>
    </row>
    <row r="2660" ht="26.25" customHeight="1">
      <c r="A2660" s="34" t="s">
        <v>5330</v>
      </c>
      <c r="B2660" s="35" t="s">
        <v>5331</v>
      </c>
      <c r="C2660" s="36">
        <v>3.0</v>
      </c>
      <c r="D2660" s="37">
        <v>219.0</v>
      </c>
      <c r="E2660" s="37">
        <v>13.0</v>
      </c>
      <c r="F2660" s="24" t="str">
        <f t="array" ref="F2660">"https://www.google.com/maps/search/?api=1&amp;query=" &amp; A2660 &amp; "," &amp; B2660</f>
        <v>https://www.google.com/maps/search/?api=1&amp;query=-30.89660723275130,-55.55001985983460</v>
      </c>
      <c r="G2660" s="25" t="str">
        <f t="array" ref="G2660">"https://earth.google.com/web/search/" &amp; A2660 &amp; "," &amp; B2660</f>
        <v>https://earth.google.com/web/search/-30.89660723275130,-55.55001985983460</v>
      </c>
      <c r="H2660" s="12"/>
      <c r="I2660" s="12"/>
      <c r="J2660" s="12"/>
      <c r="K2660" s="12"/>
      <c r="L2660" s="12"/>
      <c r="M2660" s="12"/>
      <c r="N2660" s="12"/>
      <c r="O2660" s="12"/>
      <c r="P2660" s="12"/>
      <c r="Q2660" s="12"/>
      <c r="R2660" s="12"/>
      <c r="S2660" s="12"/>
      <c r="T2660" s="12"/>
      <c r="U2660" s="12"/>
      <c r="V2660" s="12"/>
      <c r="W2660" s="12"/>
      <c r="X2660" s="12"/>
      <c r="Y2660" s="12"/>
      <c r="Z2660" s="12"/>
      <c r="AA2660" s="12"/>
    </row>
    <row r="2661" ht="26.25" customHeight="1">
      <c r="A2661" s="28" t="s">
        <v>5332</v>
      </c>
      <c r="B2661" s="29" t="s">
        <v>5333</v>
      </c>
      <c r="C2661" s="30">
        <v>3.0</v>
      </c>
      <c r="D2661" s="31">
        <v>221.0</v>
      </c>
      <c r="E2661" s="31">
        <v>1.0</v>
      </c>
      <c r="F2661" s="32" t="str">
        <f t="array" ref="F2661">"https://www.google.com/maps/search/?api=1&amp;query=" &amp; A2661 &amp; "," &amp; B2661</f>
        <v>https://www.google.com/maps/search/?api=1&amp;query=-30.89762812552750,-0.05554819254715</v>
      </c>
      <c r="G2661" s="33" t="str">
        <f t="array" ref="G2661">"https://earth.google.com/web/search/" &amp; A2661 &amp; "," &amp; B2661</f>
        <v>https://earth.google.com/web/search/-30.89762812552750,-0.05554819254715</v>
      </c>
      <c r="H2661" s="12"/>
      <c r="I2661" s="12"/>
      <c r="J2661" s="12"/>
      <c r="K2661" s="12"/>
      <c r="L2661" s="12"/>
      <c r="M2661" s="12"/>
      <c r="N2661" s="12"/>
      <c r="O2661" s="12"/>
      <c r="P2661" s="12"/>
      <c r="Q2661" s="12"/>
      <c r="R2661" s="12"/>
      <c r="S2661" s="12"/>
      <c r="T2661" s="12"/>
      <c r="U2661" s="12"/>
      <c r="V2661" s="12"/>
      <c r="W2661" s="12"/>
      <c r="X2661" s="12"/>
      <c r="Y2661" s="12"/>
      <c r="Z2661" s="12"/>
      <c r="AA2661" s="12"/>
    </row>
    <row r="2662" ht="26.25" customHeight="1">
      <c r="A2662" s="34" t="s">
        <v>5334</v>
      </c>
      <c r="B2662" s="35" t="s">
        <v>5335</v>
      </c>
      <c r="C2662" s="36">
        <v>3.0</v>
      </c>
      <c r="D2662" s="37">
        <v>221.0</v>
      </c>
      <c r="E2662" s="37">
        <v>2.0</v>
      </c>
      <c r="F2662" s="24" t="str">
        <f t="array" ref="F2662">"https://www.google.com/maps/search/?api=1&amp;query=" &amp; A2662 &amp; "," &amp; B2662</f>
        <v>https://www.google.com/maps/search/?api=1&amp;query=-30.89767343519610,-55.54814216113260</v>
      </c>
      <c r="G2662" s="25" t="str">
        <f t="array" ref="G2662">"https://earth.google.com/web/search/" &amp; A2662 &amp; "," &amp; B2662</f>
        <v>https://earth.google.com/web/search/-30.89767343519610,-55.54814216113260</v>
      </c>
      <c r="H2662" s="12"/>
      <c r="I2662" s="12"/>
      <c r="J2662" s="12"/>
      <c r="K2662" s="12"/>
      <c r="L2662" s="12"/>
      <c r="M2662" s="12"/>
      <c r="N2662" s="12"/>
      <c r="O2662" s="12"/>
      <c r="P2662" s="12"/>
      <c r="Q2662" s="12"/>
      <c r="R2662" s="12"/>
      <c r="S2662" s="12"/>
      <c r="T2662" s="12"/>
      <c r="U2662" s="12"/>
      <c r="V2662" s="12"/>
      <c r="W2662" s="12"/>
      <c r="X2662" s="12"/>
      <c r="Y2662" s="12"/>
      <c r="Z2662" s="12"/>
      <c r="AA2662" s="12"/>
    </row>
    <row r="2663" ht="26.25" customHeight="1">
      <c r="A2663" s="28" t="s">
        <v>5336</v>
      </c>
      <c r="B2663" s="29" t="s">
        <v>5337</v>
      </c>
      <c r="C2663" s="30">
        <v>3.0</v>
      </c>
      <c r="D2663" s="31">
        <v>221.0</v>
      </c>
      <c r="E2663" s="31">
        <v>3.0</v>
      </c>
      <c r="F2663" s="32" t="str">
        <f t="array" ref="F2663">"https://www.google.com/maps/search/?api=1&amp;query=" &amp; A2663 &amp; "," &amp; B2663</f>
        <v>https://www.google.com/maps/search/?api=1&amp;query=-3.08977204524666,-55.54806761225470</v>
      </c>
      <c r="G2663" s="33" t="str">
        <f t="array" ref="G2663">"https://earth.google.com/web/search/" &amp; A2663 &amp; "," &amp; B2663</f>
        <v>https://earth.google.com/web/search/-3.08977204524666,-55.54806761225470</v>
      </c>
      <c r="H2663" s="12"/>
      <c r="I2663" s="12"/>
      <c r="J2663" s="12"/>
      <c r="K2663" s="12"/>
      <c r="L2663" s="12"/>
      <c r="M2663" s="12"/>
      <c r="N2663" s="12"/>
      <c r="O2663" s="12"/>
      <c r="P2663" s="12"/>
      <c r="Q2663" s="12"/>
      <c r="R2663" s="12"/>
      <c r="S2663" s="12"/>
      <c r="T2663" s="12"/>
      <c r="U2663" s="12"/>
      <c r="V2663" s="12"/>
      <c r="W2663" s="12"/>
      <c r="X2663" s="12"/>
      <c r="Y2663" s="12"/>
      <c r="Z2663" s="12"/>
      <c r="AA2663" s="12"/>
    </row>
    <row r="2664" ht="26.25" customHeight="1">
      <c r="A2664" s="34" t="s">
        <v>5338</v>
      </c>
      <c r="B2664" s="35" t="s">
        <v>5339</v>
      </c>
      <c r="C2664" s="36">
        <v>3.0</v>
      </c>
      <c r="D2664" s="37">
        <v>221.0</v>
      </c>
      <c r="E2664" s="37">
        <v>4.0</v>
      </c>
      <c r="F2664" s="24" t="str">
        <f t="array" ref="F2664">"https://www.google.com/maps/search/?api=1&amp;query=" &amp; A2664 &amp; "," &amp; B2664</f>
        <v>https://www.google.com/maps/search/?api=1&amp;query=-30.89774346727160,-55.54800778818870</v>
      </c>
      <c r="G2664" s="25" t="str">
        <f t="array" ref="G2664">"https://earth.google.com/web/search/" &amp; A2664 &amp; "," &amp; B2664</f>
        <v>https://earth.google.com/web/search/-30.89774346727160,-55.54800778818870</v>
      </c>
      <c r="H2664" s="12"/>
      <c r="I2664" s="12"/>
      <c r="J2664" s="12"/>
      <c r="K2664" s="12"/>
      <c r="L2664" s="12"/>
      <c r="M2664" s="12"/>
      <c r="N2664" s="12"/>
      <c r="O2664" s="12"/>
      <c r="P2664" s="12"/>
      <c r="Q2664" s="12"/>
      <c r="R2664" s="12"/>
      <c r="S2664" s="12"/>
      <c r="T2664" s="12"/>
      <c r="U2664" s="12"/>
      <c r="V2664" s="12"/>
      <c r="W2664" s="12"/>
      <c r="X2664" s="12"/>
      <c r="Y2664" s="12"/>
      <c r="Z2664" s="12"/>
      <c r="AA2664" s="12"/>
    </row>
    <row r="2665" ht="26.25" customHeight="1">
      <c r="A2665" s="28" t="s">
        <v>5340</v>
      </c>
      <c r="B2665" s="29" t="s">
        <v>5341</v>
      </c>
      <c r="C2665" s="30">
        <v>3.0</v>
      </c>
      <c r="D2665" s="31">
        <v>221.0</v>
      </c>
      <c r="E2665" s="31">
        <v>5.0</v>
      </c>
      <c r="F2665" s="32" t="str">
        <f t="array" ref="F2665">"https://www.google.com/maps/search/?api=1&amp;query=" &amp; A2665 &amp; "," &amp; B2665</f>
        <v>https://www.google.com/maps/search/?api=1&amp;query=-30.89783452592510,-55.54781218352710</v>
      </c>
      <c r="G2665" s="33" t="str">
        <f t="array" ref="G2665">"https://earth.google.com/web/search/" &amp; A2665 &amp; "," &amp; B2665</f>
        <v>https://earth.google.com/web/search/-30.89783452592510,-55.54781218352710</v>
      </c>
      <c r="H2665" s="12"/>
      <c r="I2665" s="12"/>
      <c r="J2665" s="12"/>
      <c r="K2665" s="12"/>
      <c r="L2665" s="12"/>
      <c r="M2665" s="12"/>
      <c r="N2665" s="12"/>
      <c r="O2665" s="12"/>
      <c r="P2665" s="12"/>
      <c r="Q2665" s="12"/>
      <c r="R2665" s="12"/>
      <c r="S2665" s="12"/>
      <c r="T2665" s="12"/>
      <c r="U2665" s="12"/>
      <c r="V2665" s="12"/>
      <c r="W2665" s="12"/>
      <c r="X2665" s="12"/>
      <c r="Y2665" s="12"/>
      <c r="Z2665" s="12"/>
      <c r="AA2665" s="12"/>
    </row>
    <row r="2666" ht="26.25" customHeight="1">
      <c r="A2666" s="34" t="s">
        <v>5342</v>
      </c>
      <c r="B2666" s="35" t="s">
        <v>5343</v>
      </c>
      <c r="C2666" s="36">
        <v>3.0</v>
      </c>
      <c r="D2666" s="37">
        <v>221.0</v>
      </c>
      <c r="E2666" s="37">
        <v>6.0</v>
      </c>
      <c r="F2666" s="24" t="str">
        <f t="array" ref="F2666">"https://www.google.com/maps/search/?api=1&amp;query=" &amp; A2666 &amp; "," &amp; B2666</f>
        <v>https://www.google.com/maps/search/?api=1&amp;query=-30.89801930695640,-55.54747320095850</v>
      </c>
      <c r="G2666" s="25" t="str">
        <f t="array" ref="G2666">"https://earth.google.com/web/search/" &amp; A2666 &amp; "," &amp; B2666</f>
        <v>https://earth.google.com/web/search/-30.89801930695640,-55.54747320095850</v>
      </c>
      <c r="H2666" s="12"/>
      <c r="I2666" s="12"/>
      <c r="J2666" s="12"/>
      <c r="K2666" s="12"/>
      <c r="L2666" s="12"/>
      <c r="M2666" s="12"/>
      <c r="N2666" s="12"/>
      <c r="O2666" s="12"/>
      <c r="P2666" s="12"/>
      <c r="Q2666" s="12"/>
      <c r="R2666" s="12"/>
      <c r="S2666" s="12"/>
      <c r="T2666" s="12"/>
      <c r="U2666" s="12"/>
      <c r="V2666" s="12"/>
      <c r="W2666" s="12"/>
      <c r="X2666" s="12"/>
      <c r="Y2666" s="12"/>
      <c r="Z2666" s="12"/>
      <c r="AA2666" s="12"/>
    </row>
    <row r="2667" ht="26.25" customHeight="1">
      <c r="A2667" s="28" t="s">
        <v>5344</v>
      </c>
      <c r="B2667" s="29" t="s">
        <v>5345</v>
      </c>
      <c r="C2667" s="30">
        <v>3.0</v>
      </c>
      <c r="D2667" s="31">
        <v>221.0</v>
      </c>
      <c r="E2667" s="31">
        <v>7.0</v>
      </c>
      <c r="F2667" s="32" t="str">
        <f t="array" ref="F2667">"https://www.google.com/maps/search/?api=1&amp;query=" &amp; A2667 &amp; "," &amp; B2667</f>
        <v>https://www.google.com/maps/search/?api=1&amp;query=-30.89799280856370,-55.54736402108620</v>
      </c>
      <c r="G2667" s="33" t="str">
        <f t="array" ref="G2667">"https://earth.google.com/web/search/" &amp; A2667 &amp; "," &amp; B2667</f>
        <v>https://earth.google.com/web/search/-30.89799280856370,-55.54736402108620</v>
      </c>
      <c r="H2667" s="12"/>
      <c r="I2667" s="12"/>
      <c r="J2667" s="12"/>
      <c r="K2667" s="12"/>
      <c r="L2667" s="12"/>
      <c r="M2667" s="12"/>
      <c r="N2667" s="12"/>
      <c r="O2667" s="12"/>
      <c r="P2667" s="12"/>
      <c r="Q2667" s="12"/>
      <c r="R2667" s="12"/>
      <c r="S2667" s="12"/>
      <c r="T2667" s="12"/>
      <c r="U2667" s="12"/>
      <c r="V2667" s="12"/>
      <c r="W2667" s="12"/>
      <c r="X2667" s="12"/>
      <c r="Y2667" s="12"/>
      <c r="Z2667" s="12"/>
      <c r="AA2667" s="12"/>
    </row>
    <row r="2668" ht="26.25" customHeight="1">
      <c r="A2668" s="34" t="s">
        <v>5346</v>
      </c>
      <c r="B2668" s="35" t="s">
        <v>5347</v>
      </c>
      <c r="C2668" s="36">
        <v>3.0</v>
      </c>
      <c r="D2668" s="37">
        <v>221.0</v>
      </c>
      <c r="E2668" s="37">
        <v>8.0</v>
      </c>
      <c r="F2668" s="24" t="str">
        <f t="array" ref="F2668">"https://www.google.com/maps/search/?api=1&amp;query=" &amp; A2668 &amp; "," &amp; B2668</f>
        <v>https://www.google.com/maps/search/?api=1&amp;query=-30.89791018121780,-5.55473173469367</v>
      </c>
      <c r="G2668" s="25" t="str">
        <f t="array" ref="G2668">"https://earth.google.com/web/search/" &amp; A2668 &amp; "," &amp; B2668</f>
        <v>https://earth.google.com/web/search/-30.89791018121780,-5.55473173469367</v>
      </c>
      <c r="H2668" s="12"/>
      <c r="I2668" s="12"/>
      <c r="J2668" s="12"/>
      <c r="K2668" s="12"/>
      <c r="L2668" s="12"/>
      <c r="M2668" s="12"/>
      <c r="N2668" s="12"/>
      <c r="O2668" s="12"/>
      <c r="P2668" s="12"/>
      <c r="Q2668" s="12"/>
      <c r="R2668" s="12"/>
      <c r="S2668" s="12"/>
      <c r="T2668" s="12"/>
      <c r="U2668" s="12"/>
      <c r="V2668" s="12"/>
      <c r="W2668" s="12"/>
      <c r="X2668" s="12"/>
      <c r="Y2668" s="12"/>
      <c r="Z2668" s="12"/>
      <c r="AA2668" s="12"/>
    </row>
    <row r="2669" ht="26.25" customHeight="1">
      <c r="A2669" s="28" t="s">
        <v>5348</v>
      </c>
      <c r="B2669" s="29" t="s">
        <v>5349</v>
      </c>
      <c r="C2669" s="30">
        <v>3.0</v>
      </c>
      <c r="D2669" s="31">
        <v>221.0</v>
      </c>
      <c r="E2669" s="31">
        <v>9.0</v>
      </c>
      <c r="F2669" s="32" t="str">
        <f t="array" ref="F2669">"https://www.google.com/maps/search/?api=1&amp;query=" &amp; A2669 &amp; "," &amp; B2669</f>
        <v>https://www.google.com/maps/search/?api=1&amp;query=-30.89783064404420,-5.55472561598456</v>
      </c>
      <c r="G2669" s="33" t="str">
        <f t="array" ref="G2669">"https://earth.google.com/web/search/" &amp; A2669 &amp; "," &amp; B2669</f>
        <v>https://earth.google.com/web/search/-30.89783064404420,-5.55472561598456</v>
      </c>
      <c r="H2669" s="12"/>
      <c r="I2669" s="12"/>
      <c r="J2669" s="12"/>
      <c r="K2669" s="12"/>
      <c r="L2669" s="12"/>
      <c r="M2669" s="12"/>
      <c r="N2669" s="12"/>
      <c r="O2669" s="12"/>
      <c r="P2669" s="12"/>
      <c r="Q2669" s="12"/>
      <c r="R2669" s="12"/>
      <c r="S2669" s="12"/>
      <c r="T2669" s="12"/>
      <c r="U2669" s="12"/>
      <c r="V2669" s="12"/>
      <c r="W2669" s="12"/>
      <c r="X2669" s="12"/>
      <c r="Y2669" s="12"/>
      <c r="Z2669" s="12"/>
      <c r="AA2669" s="12"/>
    </row>
    <row r="2670" ht="26.25" customHeight="1">
      <c r="A2670" s="34" t="s">
        <v>5350</v>
      </c>
      <c r="B2670" s="35" t="s">
        <v>5351</v>
      </c>
      <c r="C2670" s="36">
        <v>3.0</v>
      </c>
      <c r="D2670" s="37">
        <v>221.0</v>
      </c>
      <c r="E2670" s="37">
        <v>10.0</v>
      </c>
      <c r="F2670" s="24" t="str">
        <f t="array" ref="F2670">"https://www.google.com/maps/search/?api=1&amp;query=" &amp; A2670 &amp; "," &amp; B2670</f>
        <v>https://www.google.com/maps/search/?api=1&amp;query=-30.89756807296770,-55.54705362891600</v>
      </c>
      <c r="G2670" s="25" t="str">
        <f t="array" ref="G2670">"https://earth.google.com/web/search/" &amp; A2670 &amp; "," &amp; B2670</f>
        <v>https://earth.google.com/web/search/-30.89756807296770,-55.54705362891600</v>
      </c>
      <c r="H2670" s="12"/>
      <c r="I2670" s="12"/>
      <c r="J2670" s="12"/>
      <c r="K2670" s="12"/>
      <c r="L2670" s="12"/>
      <c r="M2670" s="12"/>
      <c r="N2670" s="12"/>
      <c r="O2670" s="12"/>
      <c r="P2670" s="12"/>
      <c r="Q2670" s="12"/>
      <c r="R2670" s="12"/>
      <c r="S2670" s="12"/>
      <c r="T2670" s="12"/>
      <c r="U2670" s="12"/>
      <c r="V2670" s="12"/>
      <c r="W2670" s="12"/>
      <c r="X2670" s="12"/>
      <c r="Y2670" s="12"/>
      <c r="Z2670" s="12"/>
      <c r="AA2670" s="12"/>
    </row>
    <row r="2671" ht="26.25" customHeight="1">
      <c r="A2671" s="28" t="s">
        <v>5352</v>
      </c>
      <c r="B2671" s="29" t="s">
        <v>5353</v>
      </c>
      <c r="C2671" s="30">
        <v>3.0</v>
      </c>
      <c r="D2671" s="31">
        <v>221.0</v>
      </c>
      <c r="E2671" s="31">
        <v>11.0</v>
      </c>
      <c r="F2671" s="32" t="str">
        <f t="array" ref="F2671">"https://www.google.com/maps/search/?api=1&amp;query=" &amp; A2671 &amp; "," &amp; B2671</f>
        <v>https://www.google.com/maps/search/?api=1&amp;query=-30.89742726134360,-55.54695219473610</v>
      </c>
      <c r="G2671" s="33" t="str">
        <f t="array" ref="G2671">"https://earth.google.com/web/search/" &amp; A2671 &amp; "," &amp; B2671</f>
        <v>https://earth.google.com/web/search/-30.89742726134360,-55.54695219473610</v>
      </c>
      <c r="H2671" s="12"/>
      <c r="I2671" s="12"/>
      <c r="J2671" s="12"/>
      <c r="K2671" s="12"/>
      <c r="L2671" s="12"/>
      <c r="M2671" s="12"/>
      <c r="N2671" s="12"/>
      <c r="O2671" s="12"/>
      <c r="P2671" s="12"/>
      <c r="Q2671" s="12"/>
      <c r="R2671" s="12"/>
      <c r="S2671" s="12"/>
      <c r="T2671" s="12"/>
      <c r="U2671" s="12"/>
      <c r="V2671" s="12"/>
      <c r="W2671" s="12"/>
      <c r="X2671" s="12"/>
      <c r="Y2671" s="12"/>
      <c r="Z2671" s="12"/>
      <c r="AA2671" s="12"/>
    </row>
    <row r="2672" ht="26.25" customHeight="1">
      <c r="A2672" s="34" t="s">
        <v>5354</v>
      </c>
      <c r="B2672" s="35" t="s">
        <v>5355</v>
      </c>
      <c r="C2672" s="36">
        <v>3.0</v>
      </c>
      <c r="D2672" s="37">
        <v>221.0</v>
      </c>
      <c r="E2672" s="37">
        <v>12.0</v>
      </c>
      <c r="F2672" s="24" t="str">
        <f t="array" ref="F2672">"https://www.google.com/maps/search/?api=1&amp;query=" &amp; A2672 &amp; "," &amp; B2672</f>
        <v>https://www.google.com/maps/search/?api=1&amp;query=-30.89720895030150,-5.55471426092997</v>
      </c>
      <c r="G2672" s="25" t="str">
        <f t="array" ref="G2672">"https://earth.google.com/web/search/" &amp; A2672 &amp; "," &amp; B2672</f>
        <v>https://earth.google.com/web/search/-30.89720895030150,-5.55471426092997</v>
      </c>
      <c r="H2672" s="12"/>
      <c r="I2672" s="12"/>
      <c r="J2672" s="12"/>
      <c r="K2672" s="12"/>
      <c r="L2672" s="12"/>
      <c r="M2672" s="12"/>
      <c r="N2672" s="12"/>
      <c r="O2672" s="12"/>
      <c r="P2672" s="12"/>
      <c r="Q2672" s="12"/>
      <c r="R2672" s="12"/>
      <c r="S2672" s="12"/>
      <c r="T2672" s="12"/>
      <c r="U2672" s="12"/>
      <c r="V2672" s="12"/>
      <c r="W2672" s="12"/>
      <c r="X2672" s="12"/>
      <c r="Y2672" s="12"/>
      <c r="Z2672" s="12"/>
      <c r="AA2672" s="12"/>
    </row>
    <row r="2673" ht="26.25" customHeight="1">
      <c r="A2673" s="28" t="s">
        <v>5356</v>
      </c>
      <c r="B2673" s="29" t="s">
        <v>5357</v>
      </c>
      <c r="C2673" s="30">
        <v>3.0</v>
      </c>
      <c r="D2673" s="31">
        <v>221.0</v>
      </c>
      <c r="E2673" s="31">
        <v>13.0</v>
      </c>
      <c r="F2673" s="32" t="str">
        <f t="array" ref="F2673">"https://www.google.com/maps/search/?api=1&amp;query=" &amp; A2673 &amp; "," &amp; B2673</f>
        <v>https://www.google.com/maps/search/?api=1&amp;query=-30.89714975556260,-55.54726910845470</v>
      </c>
      <c r="G2673" s="33" t="str">
        <f t="array" ref="G2673">"https://earth.google.com/web/search/" &amp; A2673 &amp; "," &amp; B2673</f>
        <v>https://earth.google.com/web/search/-30.89714975556260,-55.54726910845470</v>
      </c>
      <c r="H2673" s="12"/>
      <c r="I2673" s="12"/>
      <c r="J2673" s="12"/>
      <c r="K2673" s="12"/>
      <c r="L2673" s="12"/>
      <c r="M2673" s="12"/>
      <c r="N2673" s="12"/>
      <c r="O2673" s="12"/>
      <c r="P2673" s="12"/>
      <c r="Q2673" s="12"/>
      <c r="R2673" s="12"/>
      <c r="S2673" s="12"/>
      <c r="T2673" s="12"/>
      <c r="U2673" s="12"/>
      <c r="V2673" s="12"/>
      <c r="W2673" s="12"/>
      <c r="X2673" s="12"/>
      <c r="Y2673" s="12"/>
      <c r="Z2673" s="12"/>
      <c r="AA2673" s="12"/>
    </row>
    <row r="2674" ht="26.25" customHeight="1">
      <c r="A2674" s="34" t="s">
        <v>5358</v>
      </c>
      <c r="B2674" s="35" t="s">
        <v>5359</v>
      </c>
      <c r="C2674" s="36">
        <v>3.0</v>
      </c>
      <c r="D2674" s="37">
        <v>221.0</v>
      </c>
      <c r="E2674" s="37">
        <v>14.0</v>
      </c>
      <c r="F2674" s="24" t="str">
        <f t="array" ref="F2674">"https://www.google.com/maps/search/?api=1&amp;query=" &amp; A2674 &amp; "," &amp; B2674</f>
        <v>https://www.google.com/maps/search/?api=1&amp;query=-30.89703953359070,-55.54780764498350</v>
      </c>
      <c r="G2674" s="25" t="str">
        <f t="array" ref="G2674">"https://earth.google.com/web/search/" &amp; A2674 &amp; "," &amp; B2674</f>
        <v>https://earth.google.com/web/search/-30.89703953359070,-55.54780764498350</v>
      </c>
      <c r="H2674" s="12"/>
      <c r="I2674" s="12"/>
      <c r="J2674" s="12"/>
      <c r="K2674" s="12"/>
      <c r="L2674" s="12"/>
      <c r="M2674" s="12"/>
      <c r="N2674" s="12"/>
      <c r="O2674" s="12"/>
      <c r="P2674" s="12"/>
      <c r="Q2674" s="12"/>
      <c r="R2674" s="12"/>
      <c r="S2674" s="12"/>
      <c r="T2674" s="12"/>
      <c r="U2674" s="12"/>
      <c r="V2674" s="12"/>
      <c r="W2674" s="12"/>
      <c r="X2674" s="12"/>
      <c r="Y2674" s="12"/>
      <c r="Z2674" s="12"/>
      <c r="AA2674" s="12"/>
    </row>
    <row r="2675" ht="26.25" customHeight="1">
      <c r="A2675" s="28" t="s">
        <v>5360</v>
      </c>
      <c r="B2675" s="29" t="s">
        <v>5361</v>
      </c>
      <c r="C2675" s="30">
        <v>3.0</v>
      </c>
      <c r="D2675" s="31">
        <v>221.0</v>
      </c>
      <c r="E2675" s="31">
        <v>15.0</v>
      </c>
      <c r="F2675" s="32" t="str">
        <f t="array" ref="F2675">"https://www.google.com/maps/search/?api=1&amp;query=" &amp; A2675 &amp; "," &amp; B2675</f>
        <v>https://www.google.com/maps/search/?api=1&amp;query=-3.08972597739194,-55.54796987741360</v>
      </c>
      <c r="G2675" s="33" t="str">
        <f t="array" ref="G2675">"https://earth.google.com/web/search/" &amp; A2675 &amp; "," &amp; B2675</f>
        <v>https://earth.google.com/web/search/-3.08972597739194,-55.54796987741360</v>
      </c>
      <c r="H2675" s="12"/>
      <c r="I2675" s="12"/>
      <c r="J2675" s="12"/>
      <c r="K2675" s="12"/>
      <c r="L2675" s="12"/>
      <c r="M2675" s="12"/>
      <c r="N2675" s="12"/>
      <c r="O2675" s="12"/>
      <c r="P2675" s="12"/>
      <c r="Q2675" s="12"/>
      <c r="R2675" s="12"/>
      <c r="S2675" s="12"/>
      <c r="T2675" s="12"/>
      <c r="U2675" s="12"/>
      <c r="V2675" s="12"/>
      <c r="W2675" s="12"/>
      <c r="X2675" s="12"/>
      <c r="Y2675" s="12"/>
      <c r="Z2675" s="12"/>
      <c r="AA2675" s="12"/>
    </row>
    <row r="2676" ht="26.25" customHeight="1">
      <c r="A2676" s="34" t="s">
        <v>5362</v>
      </c>
      <c r="B2676" s="35" t="s">
        <v>5363</v>
      </c>
      <c r="C2676" s="36">
        <v>3.0</v>
      </c>
      <c r="D2676" s="37">
        <v>221.0</v>
      </c>
      <c r="E2676" s="37">
        <v>16.0</v>
      </c>
      <c r="F2676" s="24" t="str">
        <f t="array" ref="F2676">"https://www.google.com/maps/search/?api=1&amp;query=" &amp; A2676 &amp; "," &amp; B2676</f>
        <v>https://www.google.com/maps/search/?api=1&amp;query=-30.89755356937810,-5.55481841747111</v>
      </c>
      <c r="G2676" s="25" t="str">
        <f t="array" ref="G2676">"https://earth.google.com/web/search/" &amp; A2676 &amp; "," &amp; B2676</f>
        <v>https://earth.google.com/web/search/-30.89755356937810,-5.55481841747111</v>
      </c>
      <c r="H2676" s="12"/>
      <c r="I2676" s="12"/>
      <c r="J2676" s="12"/>
      <c r="K2676" s="12"/>
      <c r="L2676" s="12"/>
      <c r="M2676" s="12"/>
      <c r="N2676" s="12"/>
      <c r="O2676" s="12"/>
      <c r="P2676" s="12"/>
      <c r="Q2676" s="12"/>
      <c r="R2676" s="12"/>
      <c r="S2676" s="12"/>
      <c r="T2676" s="12"/>
      <c r="U2676" s="12"/>
      <c r="V2676" s="12"/>
      <c r="W2676" s="12"/>
      <c r="X2676" s="12"/>
      <c r="Y2676" s="12"/>
      <c r="Z2676" s="12"/>
      <c r="AA2676" s="12"/>
    </row>
    <row r="2677" ht="26.25" customHeight="1">
      <c r="A2677" s="28" t="s">
        <v>5364</v>
      </c>
      <c r="B2677" s="29" t="s">
        <v>5365</v>
      </c>
      <c r="C2677" s="30">
        <v>3.0</v>
      </c>
      <c r="D2677" s="31">
        <v>221.0</v>
      </c>
      <c r="E2677" s="31">
        <v>17.0</v>
      </c>
      <c r="F2677" s="32" t="str">
        <f t="array" ref="F2677">"https://www.google.com/maps/search/?api=1&amp;query=" &amp; A2677 &amp; "," &amp; B2677</f>
        <v>https://www.google.com/maps/search/?api=1&amp;query=-3.08977725925292,-55.54792057482500</v>
      </c>
      <c r="G2677" s="33" t="str">
        <f t="array" ref="G2677">"https://earth.google.com/web/search/" &amp; A2677 &amp; "," &amp; B2677</f>
        <v>https://earth.google.com/web/search/-3.08977725925292,-55.54792057482500</v>
      </c>
      <c r="H2677" s="12"/>
      <c r="I2677" s="12"/>
      <c r="J2677" s="12"/>
      <c r="K2677" s="12"/>
      <c r="L2677" s="12"/>
      <c r="M2677" s="12"/>
      <c r="N2677" s="12"/>
      <c r="O2677" s="12"/>
      <c r="P2677" s="12"/>
      <c r="Q2677" s="12"/>
      <c r="R2677" s="12"/>
      <c r="S2677" s="12"/>
      <c r="T2677" s="12"/>
      <c r="U2677" s="12"/>
      <c r="V2677" s="12"/>
      <c r="W2677" s="12"/>
      <c r="X2677" s="12"/>
      <c r="Y2677" s="12"/>
      <c r="Z2677" s="12"/>
      <c r="AA2677" s="12"/>
    </row>
    <row r="2678" ht="26.25" customHeight="1">
      <c r="A2678" s="34" t="s">
        <v>5366</v>
      </c>
      <c r="B2678" s="35" t="s">
        <v>5367</v>
      </c>
      <c r="C2678" s="36">
        <v>3.0</v>
      </c>
      <c r="D2678" s="37">
        <v>221.0</v>
      </c>
      <c r="E2678" s="37">
        <v>18.0</v>
      </c>
      <c r="F2678" s="24" t="str">
        <f t="array" ref="F2678">"https://www.google.com/maps/search/?api=1&amp;query=" &amp; A2678 &amp; "," &amp; B2678</f>
        <v>https://www.google.com/maps/search/?api=1&amp;query=-30.89778077675730,-55.54720123937770</v>
      </c>
      <c r="G2678" s="25" t="str">
        <f t="array" ref="G2678">"https://earth.google.com/web/search/" &amp; A2678 &amp; "," &amp; B2678</f>
        <v>https://earth.google.com/web/search/-30.89778077675730,-55.54720123937770</v>
      </c>
      <c r="H2678" s="12"/>
      <c r="I2678" s="12"/>
      <c r="J2678" s="12"/>
      <c r="K2678" s="12"/>
      <c r="L2678" s="12"/>
      <c r="M2678" s="12"/>
      <c r="N2678" s="12"/>
      <c r="O2678" s="12"/>
      <c r="P2678" s="12"/>
      <c r="Q2678" s="12"/>
      <c r="R2678" s="12"/>
      <c r="S2678" s="12"/>
      <c r="T2678" s="12"/>
      <c r="U2678" s="12"/>
      <c r="V2678" s="12"/>
      <c r="W2678" s="12"/>
      <c r="X2678" s="12"/>
      <c r="Y2678" s="12"/>
      <c r="Z2678" s="12"/>
      <c r="AA2678" s="12"/>
    </row>
    <row r="2679" ht="26.25" customHeight="1">
      <c r="A2679" s="28" t="s">
        <v>5368</v>
      </c>
      <c r="B2679" s="29" t="s">
        <v>5369</v>
      </c>
      <c r="C2679" s="30">
        <v>3.0</v>
      </c>
      <c r="D2679" s="31">
        <v>222.0</v>
      </c>
      <c r="E2679" s="31">
        <v>1.0</v>
      </c>
      <c r="F2679" s="32" t="str">
        <f t="array" ref="F2679">"https://www.google.com/maps/search/?api=1&amp;query=" &amp; A2679 &amp; "," &amp; B2679</f>
        <v>https://www.google.com/maps/search/?api=1&amp;query=-30.89828154918320,-5.55469353123754</v>
      </c>
      <c r="G2679" s="33" t="str">
        <f t="array" ref="G2679">"https://earth.google.com/web/search/" &amp; A2679 &amp; "," &amp; B2679</f>
        <v>https://earth.google.com/web/search/-30.89828154918320,-5.55469353123754</v>
      </c>
      <c r="H2679" s="12"/>
      <c r="I2679" s="12"/>
      <c r="J2679" s="12"/>
      <c r="K2679" s="12"/>
      <c r="L2679" s="12"/>
      <c r="M2679" s="12"/>
      <c r="N2679" s="12"/>
      <c r="O2679" s="12"/>
      <c r="P2679" s="12"/>
      <c r="Q2679" s="12"/>
      <c r="R2679" s="12"/>
      <c r="S2679" s="12"/>
      <c r="T2679" s="12"/>
      <c r="U2679" s="12"/>
      <c r="V2679" s="12"/>
      <c r="W2679" s="12"/>
      <c r="X2679" s="12"/>
      <c r="Y2679" s="12"/>
      <c r="Z2679" s="12"/>
      <c r="AA2679" s="12"/>
    </row>
    <row r="2680" ht="26.25" customHeight="1">
      <c r="A2680" s="34" t="s">
        <v>5370</v>
      </c>
      <c r="B2680" s="35" t="s">
        <v>5371</v>
      </c>
      <c r="C2680" s="36">
        <v>3.0</v>
      </c>
      <c r="D2680" s="37">
        <v>222.0</v>
      </c>
      <c r="E2680" s="37">
        <v>2.0</v>
      </c>
      <c r="F2680" s="24" t="str">
        <f t="array" ref="F2680">"https://www.google.com/maps/search/?api=1&amp;query=" &amp; A2680 &amp; "," &amp; B2680</f>
        <v>https://www.google.com/maps/search/?api=1&amp;query=-3.08983585520316,-55.54678361946010</v>
      </c>
      <c r="G2680" s="25" t="str">
        <f t="array" ref="G2680">"https://earth.google.com/web/search/" &amp; A2680 &amp; "," &amp; B2680</f>
        <v>https://earth.google.com/web/search/-3.08983585520316,-55.54678361946010</v>
      </c>
      <c r="H2680" s="12"/>
      <c r="I2680" s="12"/>
      <c r="J2680" s="12"/>
      <c r="K2680" s="12"/>
      <c r="L2680" s="12"/>
      <c r="M2680" s="12"/>
      <c r="N2680" s="12"/>
      <c r="O2680" s="12"/>
      <c r="P2680" s="12"/>
      <c r="Q2680" s="12"/>
      <c r="R2680" s="12"/>
      <c r="S2680" s="12"/>
      <c r="T2680" s="12"/>
      <c r="U2680" s="12"/>
      <c r="V2680" s="12"/>
      <c r="W2680" s="12"/>
      <c r="X2680" s="12"/>
      <c r="Y2680" s="12"/>
      <c r="Z2680" s="12"/>
      <c r="AA2680" s="12"/>
    </row>
    <row r="2681" ht="26.25" customHeight="1">
      <c r="A2681" s="28" t="s">
        <v>5372</v>
      </c>
      <c r="B2681" s="29" t="s">
        <v>5373</v>
      </c>
      <c r="C2681" s="30">
        <v>3.0</v>
      </c>
      <c r="D2681" s="31">
        <v>222.0</v>
      </c>
      <c r="E2681" s="31">
        <v>3.0</v>
      </c>
      <c r="F2681" s="32" t="str">
        <f t="array" ref="F2681">"https://www.google.com/maps/search/?api=1&amp;query=" &amp; A2681 &amp; "," &amp; B2681</f>
        <v>https://www.google.com/maps/search/?api=1&amp;query=-30.89832753975460,-55.54635760499330</v>
      </c>
      <c r="G2681" s="33" t="str">
        <f t="array" ref="G2681">"https://earth.google.com/web/search/" &amp; A2681 &amp; "," &amp; B2681</f>
        <v>https://earth.google.com/web/search/-30.89832753975460,-55.54635760499330</v>
      </c>
      <c r="H2681" s="12"/>
      <c r="I2681" s="12"/>
      <c r="J2681" s="12"/>
      <c r="K2681" s="12"/>
      <c r="L2681" s="12"/>
      <c r="M2681" s="12"/>
      <c r="N2681" s="12"/>
      <c r="O2681" s="12"/>
      <c r="P2681" s="12"/>
      <c r="Q2681" s="12"/>
      <c r="R2681" s="12"/>
      <c r="S2681" s="12"/>
      <c r="T2681" s="12"/>
      <c r="U2681" s="12"/>
      <c r="V2681" s="12"/>
      <c r="W2681" s="12"/>
      <c r="X2681" s="12"/>
      <c r="Y2681" s="12"/>
      <c r="Z2681" s="12"/>
      <c r="AA2681" s="12"/>
    </row>
    <row r="2682" ht="26.25" customHeight="1">
      <c r="A2682" s="34" t="s">
        <v>5374</v>
      </c>
      <c r="B2682" s="35" t="s">
        <v>5375</v>
      </c>
      <c r="C2682" s="36">
        <v>3.0</v>
      </c>
      <c r="D2682" s="37">
        <v>222.0</v>
      </c>
      <c r="E2682" s="37">
        <v>4.0</v>
      </c>
      <c r="F2682" s="24" t="str">
        <f t="array" ref="F2682">"https://www.google.com/maps/search/?api=1&amp;query=" &amp; A2682 &amp; "," &amp; B2682</f>
        <v>https://www.google.com/maps/search/?api=1&amp;query=-3.08982812230558,-55.54631527374080</v>
      </c>
      <c r="G2682" s="25" t="str">
        <f t="array" ref="G2682">"https://earth.google.com/web/search/" &amp; A2682 &amp; "," &amp; B2682</f>
        <v>https://earth.google.com/web/search/-3.08982812230558,-55.54631527374080</v>
      </c>
      <c r="H2682" s="12"/>
      <c r="I2682" s="12"/>
      <c r="J2682" s="12"/>
      <c r="K2682" s="12"/>
      <c r="L2682" s="12"/>
      <c r="M2682" s="12"/>
      <c r="N2682" s="12"/>
      <c r="O2682" s="12"/>
      <c r="P2682" s="12"/>
      <c r="Q2682" s="12"/>
      <c r="R2682" s="12"/>
      <c r="S2682" s="12"/>
      <c r="T2682" s="12"/>
      <c r="U2682" s="12"/>
      <c r="V2682" s="12"/>
      <c r="W2682" s="12"/>
      <c r="X2682" s="12"/>
      <c r="Y2682" s="12"/>
      <c r="Z2682" s="12"/>
      <c r="AA2682" s="12"/>
    </row>
    <row r="2683" ht="26.25" customHeight="1">
      <c r="A2683" s="28" t="s">
        <v>5376</v>
      </c>
      <c r="B2683" s="29" t="s">
        <v>5377</v>
      </c>
      <c r="C2683" s="30">
        <v>3.0</v>
      </c>
      <c r="D2683" s="31">
        <v>222.0</v>
      </c>
      <c r="E2683" s="31">
        <v>5.0</v>
      </c>
      <c r="F2683" s="32" t="str">
        <f t="array" ref="F2683">"https://www.google.com/maps/search/?api=1&amp;query=" &amp; A2683 &amp; "," &amp; B2683</f>
        <v>https://www.google.com/maps/search/?api=1&amp;query=-30.89821420853320,-55.54628169564540</v>
      </c>
      <c r="G2683" s="33" t="str">
        <f t="array" ref="G2683">"https://earth.google.com/web/search/" &amp; A2683 &amp; "," &amp; B2683</f>
        <v>https://earth.google.com/web/search/-30.89821420853320,-55.54628169564540</v>
      </c>
      <c r="H2683" s="12"/>
      <c r="I2683" s="12"/>
      <c r="J2683" s="12"/>
      <c r="K2683" s="12"/>
      <c r="L2683" s="12"/>
      <c r="M2683" s="12"/>
      <c r="N2683" s="12"/>
      <c r="O2683" s="12"/>
      <c r="P2683" s="12"/>
      <c r="Q2683" s="12"/>
      <c r="R2683" s="12"/>
      <c r="S2683" s="12"/>
      <c r="T2683" s="12"/>
      <c r="U2683" s="12"/>
      <c r="V2683" s="12"/>
      <c r="W2683" s="12"/>
      <c r="X2683" s="12"/>
      <c r="Y2683" s="12"/>
      <c r="Z2683" s="12"/>
      <c r="AA2683" s="12"/>
    </row>
    <row r="2684" ht="26.25" customHeight="1">
      <c r="A2684" s="34" t="s">
        <v>5378</v>
      </c>
      <c r="B2684" s="35" t="s">
        <v>5379</v>
      </c>
      <c r="C2684" s="36">
        <v>3.0</v>
      </c>
      <c r="D2684" s="37">
        <v>222.0</v>
      </c>
      <c r="E2684" s="37">
        <v>6.0</v>
      </c>
      <c r="F2684" s="24" t="str">
        <f t="array" ref="F2684">"https://www.google.com/maps/search/?api=1&amp;query=" &amp; A2684 &amp; "," &amp; B2684</f>
        <v>https://www.google.com/maps/search/?api=1&amp;query=-30.89814237015550,-55.54621886547990</v>
      </c>
      <c r="G2684" s="25" t="str">
        <f t="array" ref="G2684">"https://earth.google.com/web/search/" &amp; A2684 &amp; "," &amp; B2684</f>
        <v>https://earth.google.com/web/search/-30.89814237015550,-55.54621886547990</v>
      </c>
      <c r="H2684" s="12"/>
      <c r="I2684" s="12"/>
      <c r="J2684" s="12"/>
      <c r="K2684" s="12"/>
      <c r="L2684" s="12"/>
      <c r="M2684" s="12"/>
      <c r="N2684" s="12"/>
      <c r="O2684" s="12"/>
      <c r="P2684" s="12"/>
      <c r="Q2684" s="12"/>
      <c r="R2684" s="12"/>
      <c r="S2684" s="12"/>
      <c r="T2684" s="12"/>
      <c r="U2684" s="12"/>
      <c r="V2684" s="12"/>
      <c r="W2684" s="12"/>
      <c r="X2684" s="12"/>
      <c r="Y2684" s="12"/>
      <c r="Z2684" s="12"/>
      <c r="AA2684" s="12"/>
    </row>
    <row r="2685" ht="26.25" customHeight="1">
      <c r="A2685" s="28" t="s">
        <v>5380</v>
      </c>
      <c r="B2685" s="29" t="s">
        <v>5381</v>
      </c>
      <c r="C2685" s="30">
        <v>3.0</v>
      </c>
      <c r="D2685" s="31">
        <v>222.0</v>
      </c>
      <c r="E2685" s="31">
        <v>7.0</v>
      </c>
      <c r="F2685" s="32" t="str">
        <f t="array" ref="F2685">"https://www.google.com/maps/search/?api=1&amp;query=" &amp; A2685 &amp; "," &amp; B2685</f>
        <v>https://www.google.com/maps/search/?api=1&amp;query=-3.08977782546816,-55.54609136179780</v>
      </c>
      <c r="G2685" s="33" t="str">
        <f t="array" ref="G2685">"https://earth.google.com/web/search/" &amp; A2685 &amp; "," &amp; B2685</f>
        <v>https://earth.google.com/web/search/-3.08977782546816,-55.54609136179780</v>
      </c>
      <c r="H2685" s="12"/>
      <c r="I2685" s="12"/>
      <c r="J2685" s="12"/>
      <c r="K2685" s="12"/>
      <c r="L2685" s="12"/>
      <c r="M2685" s="12"/>
      <c r="N2685" s="12"/>
      <c r="O2685" s="12"/>
      <c r="P2685" s="12"/>
      <c r="Q2685" s="12"/>
      <c r="R2685" s="12"/>
      <c r="S2685" s="12"/>
      <c r="T2685" s="12"/>
      <c r="U2685" s="12"/>
      <c r="V2685" s="12"/>
      <c r="W2685" s="12"/>
      <c r="X2685" s="12"/>
      <c r="Y2685" s="12"/>
      <c r="Z2685" s="12"/>
      <c r="AA2685" s="12"/>
    </row>
    <row r="2686" ht="26.25" customHeight="1">
      <c r="A2686" s="34" t="s">
        <v>5382</v>
      </c>
      <c r="B2686" s="35" t="s">
        <v>5383</v>
      </c>
      <c r="C2686" s="36">
        <v>3.0</v>
      </c>
      <c r="D2686" s="37">
        <v>222.0</v>
      </c>
      <c r="E2686" s="37">
        <v>8.0</v>
      </c>
      <c r="F2686" s="24" t="str">
        <f t="array" ref="F2686">"https://www.google.com/maps/search/?api=1&amp;query=" &amp; A2686 &amp; "," &amp; B2686</f>
        <v>https://www.google.com/maps/search/?api=1&amp;query=-30.89772225967100,-55.54618037039910</v>
      </c>
      <c r="G2686" s="25" t="str">
        <f t="array" ref="G2686">"https://earth.google.com/web/search/" &amp; A2686 &amp; "," &amp; B2686</f>
        <v>https://earth.google.com/web/search/-30.89772225967100,-55.54618037039910</v>
      </c>
      <c r="H2686" s="12"/>
      <c r="I2686" s="12"/>
      <c r="J2686" s="12"/>
      <c r="K2686" s="12"/>
      <c r="L2686" s="12"/>
      <c r="M2686" s="12"/>
      <c r="N2686" s="12"/>
      <c r="O2686" s="12"/>
      <c r="P2686" s="12"/>
      <c r="Q2686" s="12"/>
      <c r="R2686" s="12"/>
      <c r="S2686" s="12"/>
      <c r="T2686" s="12"/>
      <c r="U2686" s="12"/>
      <c r="V2686" s="12"/>
      <c r="W2686" s="12"/>
      <c r="X2686" s="12"/>
      <c r="Y2686" s="12"/>
      <c r="Z2686" s="12"/>
      <c r="AA2686" s="12"/>
    </row>
    <row r="2687" ht="26.25" customHeight="1">
      <c r="A2687" s="28" t="s">
        <v>5384</v>
      </c>
      <c r="B2687" s="29" t="s">
        <v>5385</v>
      </c>
      <c r="C2687" s="30">
        <v>3.0</v>
      </c>
      <c r="D2687" s="31">
        <v>222.0</v>
      </c>
      <c r="E2687" s="31">
        <v>9.0</v>
      </c>
      <c r="F2687" s="32" t="str">
        <f t="array" ref="F2687">"https://www.google.com/maps/search/?api=1&amp;query=" &amp; A2687 &amp; "," &amp; B2687</f>
        <v>https://www.google.com/maps/search/?api=1&amp;query=-30.89765949259340,-0.55546304712092</v>
      </c>
      <c r="G2687" s="33" t="str">
        <f t="array" ref="G2687">"https://earth.google.com/web/search/" &amp; A2687 &amp; "," &amp; B2687</f>
        <v>https://earth.google.com/web/search/-30.89765949259340,-0.55546304712092</v>
      </c>
      <c r="H2687" s="12"/>
      <c r="I2687" s="12"/>
      <c r="J2687" s="12"/>
      <c r="K2687" s="12"/>
      <c r="L2687" s="12"/>
      <c r="M2687" s="12"/>
      <c r="N2687" s="12"/>
      <c r="O2687" s="12"/>
      <c r="P2687" s="12"/>
      <c r="Q2687" s="12"/>
      <c r="R2687" s="12"/>
      <c r="S2687" s="12"/>
      <c r="T2687" s="12"/>
      <c r="U2687" s="12"/>
      <c r="V2687" s="12"/>
      <c r="W2687" s="12"/>
      <c r="X2687" s="12"/>
      <c r="Y2687" s="12"/>
      <c r="Z2687" s="12"/>
      <c r="AA2687" s="12"/>
    </row>
    <row r="2688" ht="26.25" customHeight="1">
      <c r="A2688" s="34" t="s">
        <v>5386</v>
      </c>
      <c r="B2688" s="35" t="s">
        <v>5387</v>
      </c>
      <c r="C2688" s="36">
        <v>3.0</v>
      </c>
      <c r="D2688" s="37">
        <v>222.0</v>
      </c>
      <c r="E2688" s="37">
        <v>10.0</v>
      </c>
      <c r="F2688" s="24" t="str">
        <f t="array" ref="F2688">"https://www.google.com/maps/search/?api=1&amp;query=" &amp; A2688 &amp; "," &amp; B2688</f>
        <v>https://www.google.com/maps/search/?api=1&amp;query=-30.89757466511840,-55.54648907942530</v>
      </c>
      <c r="G2688" s="25" t="str">
        <f t="array" ref="G2688">"https://earth.google.com/web/search/" &amp; A2688 &amp; "," &amp; B2688</f>
        <v>https://earth.google.com/web/search/-30.89757466511840,-55.54648907942530</v>
      </c>
      <c r="H2688" s="12"/>
      <c r="I2688" s="12"/>
      <c r="J2688" s="12"/>
      <c r="K2688" s="12"/>
      <c r="L2688" s="12"/>
      <c r="M2688" s="12"/>
      <c r="N2688" s="12"/>
      <c r="O2688" s="12"/>
      <c r="P2688" s="12"/>
      <c r="Q2688" s="12"/>
      <c r="R2688" s="12"/>
      <c r="S2688" s="12"/>
      <c r="T2688" s="12"/>
      <c r="U2688" s="12"/>
      <c r="V2688" s="12"/>
      <c r="W2688" s="12"/>
      <c r="X2688" s="12"/>
      <c r="Y2688" s="12"/>
      <c r="Z2688" s="12"/>
      <c r="AA2688" s="12"/>
    </row>
    <row r="2689" ht="26.25" customHeight="1">
      <c r="A2689" s="28" t="s">
        <v>5388</v>
      </c>
      <c r="B2689" s="29" t="s">
        <v>5389</v>
      </c>
      <c r="C2689" s="30">
        <v>3.0</v>
      </c>
      <c r="D2689" s="31">
        <v>222.0</v>
      </c>
      <c r="E2689" s="31">
        <v>11.0</v>
      </c>
      <c r="F2689" s="32" t="str">
        <f t="array" ref="F2689">"https://www.google.com/maps/search/?api=1&amp;query=" &amp; A2689 &amp; "," &amp; B2689</f>
        <v>https://www.google.com/maps/search/?api=1&amp;query=-30.89747530118920,-55.54686046094520</v>
      </c>
      <c r="G2689" s="33" t="str">
        <f t="array" ref="G2689">"https://earth.google.com/web/search/" &amp; A2689 &amp; "," &amp; B2689</f>
        <v>https://earth.google.com/web/search/-30.89747530118920,-55.54686046094520</v>
      </c>
      <c r="H2689" s="12"/>
      <c r="I2689" s="12"/>
      <c r="J2689" s="12"/>
      <c r="K2689" s="12"/>
      <c r="L2689" s="12"/>
      <c r="M2689" s="12"/>
      <c r="N2689" s="12"/>
      <c r="O2689" s="12"/>
      <c r="P2689" s="12"/>
      <c r="Q2689" s="12"/>
      <c r="R2689" s="12"/>
      <c r="S2689" s="12"/>
      <c r="T2689" s="12"/>
      <c r="U2689" s="12"/>
      <c r="V2689" s="12"/>
      <c r="W2689" s="12"/>
      <c r="X2689" s="12"/>
      <c r="Y2689" s="12"/>
      <c r="Z2689" s="12"/>
      <c r="AA2689" s="12"/>
    </row>
    <row r="2690" ht="26.25" customHeight="1">
      <c r="A2690" s="34" t="s">
        <v>5390</v>
      </c>
      <c r="B2690" s="35" t="s">
        <v>5391</v>
      </c>
      <c r="C2690" s="36">
        <v>3.0</v>
      </c>
      <c r="D2690" s="37">
        <v>222.0</v>
      </c>
      <c r="E2690" s="37">
        <v>12.0</v>
      </c>
      <c r="F2690" s="24" t="str">
        <f t="array" ref="F2690">"https://www.google.com/maps/search/?api=1&amp;query=" &amp; A2690 &amp; "," &amp; B2690</f>
        <v>https://www.google.com/maps/search/?api=1&amp;query=-30.89763894976740,-55.54700240162520</v>
      </c>
      <c r="G2690" s="25" t="str">
        <f t="array" ref="G2690">"https://earth.google.com/web/search/" &amp; A2690 &amp; "," &amp; B2690</f>
        <v>https://earth.google.com/web/search/-30.89763894976740,-55.54700240162520</v>
      </c>
      <c r="H2690" s="12"/>
      <c r="I2690" s="12"/>
      <c r="J2690" s="12"/>
      <c r="K2690" s="12"/>
      <c r="L2690" s="12"/>
      <c r="M2690" s="12"/>
      <c r="N2690" s="12"/>
      <c r="O2690" s="12"/>
      <c r="P2690" s="12"/>
      <c r="Q2690" s="12"/>
      <c r="R2690" s="12"/>
      <c r="S2690" s="12"/>
      <c r="T2690" s="12"/>
      <c r="U2690" s="12"/>
      <c r="V2690" s="12"/>
      <c r="W2690" s="12"/>
      <c r="X2690" s="12"/>
      <c r="Y2690" s="12"/>
      <c r="Z2690" s="12"/>
      <c r="AA2690" s="12"/>
    </row>
    <row r="2691" ht="26.25" customHeight="1">
      <c r="A2691" s="28" t="s">
        <v>5392</v>
      </c>
      <c r="B2691" s="29" t="s">
        <v>5393</v>
      </c>
      <c r="C2691" s="30">
        <v>3.0</v>
      </c>
      <c r="D2691" s="31">
        <v>222.0</v>
      </c>
      <c r="E2691" s="31">
        <v>13.0</v>
      </c>
      <c r="F2691" s="32" t="str">
        <f t="array" ref="F2691">"https://www.google.com/maps/search/?api=1&amp;query=" &amp; A2691 &amp; "," &amp; B2691</f>
        <v>https://www.google.com/maps/search/?api=1&amp;query=-30.89772935856300,-55.54706548221490</v>
      </c>
      <c r="G2691" s="33" t="str">
        <f t="array" ref="G2691">"https://earth.google.com/web/search/" &amp; A2691 &amp; "," &amp; B2691</f>
        <v>https://earth.google.com/web/search/-30.89772935856300,-55.54706548221490</v>
      </c>
      <c r="H2691" s="12"/>
      <c r="I2691" s="12"/>
      <c r="J2691" s="12"/>
      <c r="K2691" s="12"/>
      <c r="L2691" s="12"/>
      <c r="M2691" s="12"/>
      <c r="N2691" s="12"/>
      <c r="O2691" s="12"/>
      <c r="P2691" s="12"/>
      <c r="Q2691" s="12"/>
      <c r="R2691" s="12"/>
      <c r="S2691" s="12"/>
      <c r="T2691" s="12"/>
      <c r="U2691" s="12"/>
      <c r="V2691" s="12"/>
      <c r="W2691" s="12"/>
      <c r="X2691" s="12"/>
      <c r="Y2691" s="12"/>
      <c r="Z2691" s="12"/>
      <c r="AA2691" s="12"/>
    </row>
    <row r="2692" ht="26.25" customHeight="1">
      <c r="A2692" s="34" t="s">
        <v>5394</v>
      </c>
      <c r="B2692" s="35" t="s">
        <v>5395</v>
      </c>
      <c r="C2692" s="36">
        <v>3.0</v>
      </c>
      <c r="D2692" s="37">
        <v>222.0</v>
      </c>
      <c r="E2692" s="37">
        <v>14.0</v>
      </c>
      <c r="F2692" s="24" t="str">
        <f t="array" ref="F2692">"https://www.google.com/maps/search/?api=1&amp;query=" &amp; A2692 &amp; "," &amp; B2692</f>
        <v>https://www.google.com/maps/search/?api=1&amp;query=-30.89790583565320,-55.54719840066840</v>
      </c>
      <c r="G2692" s="25" t="str">
        <f t="array" ref="G2692">"https://earth.google.com/web/search/" &amp; A2692 &amp; "," &amp; B2692</f>
        <v>https://earth.google.com/web/search/-30.89790583565320,-55.54719840066840</v>
      </c>
      <c r="H2692" s="12"/>
      <c r="I2692" s="12"/>
      <c r="J2692" s="12"/>
      <c r="K2692" s="12"/>
      <c r="L2692" s="12"/>
      <c r="M2692" s="12"/>
      <c r="N2692" s="12"/>
      <c r="O2692" s="12"/>
      <c r="P2692" s="12"/>
      <c r="Q2692" s="12"/>
      <c r="R2692" s="12"/>
      <c r="S2692" s="12"/>
      <c r="T2692" s="12"/>
      <c r="U2692" s="12"/>
      <c r="V2692" s="12"/>
      <c r="W2692" s="12"/>
      <c r="X2692" s="12"/>
      <c r="Y2692" s="12"/>
      <c r="Z2692" s="12"/>
      <c r="AA2692" s="12"/>
    </row>
    <row r="2693" ht="26.25" customHeight="1">
      <c r="A2693" s="28" t="s">
        <v>5396</v>
      </c>
      <c r="B2693" s="29" t="s">
        <v>5397</v>
      </c>
      <c r="C2693" s="30">
        <v>3.0</v>
      </c>
      <c r="D2693" s="31">
        <v>222.0</v>
      </c>
      <c r="E2693" s="31">
        <v>15.0</v>
      </c>
      <c r="F2693" s="32" t="str">
        <f t="array" ref="F2693">"https://www.google.com/maps/search/?api=1&amp;query=" &amp; A2693 &amp; "," &amp; B2693</f>
        <v>https://www.google.com/maps/search/?api=1&amp;query=-30.89798711398110,-55.54724290591300</v>
      </c>
      <c r="G2693" s="33" t="str">
        <f t="array" ref="G2693">"https://earth.google.com/web/search/" &amp; A2693 &amp; "," &amp; B2693</f>
        <v>https://earth.google.com/web/search/-30.89798711398110,-55.54724290591300</v>
      </c>
      <c r="H2693" s="12"/>
      <c r="I2693" s="12"/>
      <c r="J2693" s="12"/>
      <c r="K2693" s="12"/>
      <c r="L2693" s="12"/>
      <c r="M2693" s="12"/>
      <c r="N2693" s="12"/>
      <c r="O2693" s="12"/>
      <c r="P2693" s="12"/>
      <c r="Q2693" s="12"/>
      <c r="R2693" s="12"/>
      <c r="S2693" s="12"/>
      <c r="T2693" s="12"/>
      <c r="U2693" s="12"/>
      <c r="V2693" s="12"/>
      <c r="W2693" s="12"/>
      <c r="X2693" s="12"/>
      <c r="Y2693" s="12"/>
      <c r="Z2693" s="12"/>
      <c r="AA2693" s="12"/>
    </row>
    <row r="2694" ht="26.25" customHeight="1">
      <c r="A2694" s="34" t="s">
        <v>5398</v>
      </c>
      <c r="B2694" s="35" t="s">
        <v>5399</v>
      </c>
      <c r="C2694" s="36">
        <v>3.0</v>
      </c>
      <c r="D2694" s="37">
        <v>223.0</v>
      </c>
      <c r="E2694" s="37">
        <v>1.0</v>
      </c>
      <c r="F2694" s="24" t="str">
        <f t="array" ref="F2694">"https://www.google.com/maps/search/?api=1&amp;query=" &amp; A2694 &amp; "," &amp; B2694</f>
        <v>https://www.google.com/maps/search/?api=1&amp;query=-30.89862004033090,-55.54631446776680</v>
      </c>
      <c r="G2694" s="25" t="str">
        <f t="array" ref="G2694">"https://earth.google.com/web/search/" &amp; A2694 &amp; "," &amp; B2694</f>
        <v>https://earth.google.com/web/search/-30.89862004033090,-55.54631446776680</v>
      </c>
      <c r="H2694" s="12"/>
      <c r="I2694" s="12"/>
      <c r="J2694" s="12"/>
      <c r="K2694" s="12"/>
      <c r="L2694" s="12"/>
      <c r="M2694" s="12"/>
      <c r="N2694" s="12"/>
      <c r="O2694" s="12"/>
      <c r="P2694" s="12"/>
      <c r="Q2694" s="12"/>
      <c r="R2694" s="12"/>
      <c r="S2694" s="12"/>
      <c r="T2694" s="12"/>
      <c r="U2694" s="12"/>
      <c r="V2694" s="12"/>
      <c r="W2694" s="12"/>
      <c r="X2694" s="12"/>
      <c r="Y2694" s="12"/>
      <c r="Z2694" s="12"/>
      <c r="AA2694" s="12"/>
    </row>
    <row r="2695" ht="26.25" customHeight="1">
      <c r="A2695" s="28" t="s">
        <v>5400</v>
      </c>
      <c r="B2695" s="29" t="s">
        <v>5401</v>
      </c>
      <c r="C2695" s="30">
        <v>3.0</v>
      </c>
      <c r="D2695" s="31">
        <v>223.0</v>
      </c>
      <c r="E2695" s="31">
        <v>2.0</v>
      </c>
      <c r="F2695" s="32" t="str">
        <f t="array" ref="F2695">"https://www.google.com/maps/search/?api=1&amp;query=" &amp; A2695 &amp; "," &amp; B2695</f>
        <v>https://www.google.com/maps/search/?api=1&amp;query=-0.30898682338557,-55.54621088963980</v>
      </c>
      <c r="G2695" s="33" t="str">
        <f t="array" ref="G2695">"https://earth.google.com/web/search/" &amp; A2695 &amp; "," &amp; B2695</f>
        <v>https://earth.google.com/web/search/-0.30898682338557,-55.54621088963980</v>
      </c>
      <c r="H2695" s="12"/>
      <c r="I2695" s="12"/>
      <c r="J2695" s="12"/>
      <c r="K2695" s="12"/>
      <c r="L2695" s="12"/>
      <c r="M2695" s="12"/>
      <c r="N2695" s="12"/>
      <c r="O2695" s="12"/>
      <c r="P2695" s="12"/>
      <c r="Q2695" s="12"/>
      <c r="R2695" s="12"/>
      <c r="S2695" s="12"/>
      <c r="T2695" s="12"/>
      <c r="U2695" s="12"/>
      <c r="V2695" s="12"/>
      <c r="W2695" s="12"/>
      <c r="X2695" s="12"/>
      <c r="Y2695" s="12"/>
      <c r="Z2695" s="12"/>
      <c r="AA2695" s="12"/>
    </row>
    <row r="2696" ht="26.25" customHeight="1">
      <c r="A2696" s="34" t="s">
        <v>5402</v>
      </c>
      <c r="B2696" s="35" t="s">
        <v>5403</v>
      </c>
      <c r="C2696" s="36">
        <v>3.0</v>
      </c>
      <c r="D2696" s="37">
        <v>223.0</v>
      </c>
      <c r="E2696" s="37">
        <v>3.0</v>
      </c>
      <c r="F2696" s="24" t="str">
        <f t="array" ref="F2696">"https://www.google.com/maps/search/?api=1&amp;query=" &amp; A2696 &amp; "," &amp; B2696</f>
        <v>https://www.google.com/maps/search/?api=1&amp;query=-30.89875921577940,-55.54608716404190</v>
      </c>
      <c r="G2696" s="25" t="str">
        <f t="array" ref="G2696">"https://earth.google.com/web/search/" &amp; A2696 &amp; "," &amp; B2696</f>
        <v>https://earth.google.com/web/search/-30.89875921577940,-55.54608716404190</v>
      </c>
      <c r="H2696" s="12"/>
      <c r="I2696" s="12"/>
      <c r="J2696" s="12"/>
      <c r="K2696" s="12"/>
      <c r="L2696" s="12"/>
      <c r="M2696" s="12"/>
      <c r="N2696" s="12"/>
      <c r="O2696" s="12"/>
      <c r="P2696" s="12"/>
      <c r="Q2696" s="12"/>
      <c r="R2696" s="12"/>
      <c r="S2696" s="12"/>
      <c r="T2696" s="12"/>
      <c r="U2696" s="12"/>
      <c r="V2696" s="12"/>
      <c r="W2696" s="12"/>
      <c r="X2696" s="12"/>
      <c r="Y2696" s="12"/>
      <c r="Z2696" s="12"/>
      <c r="AA2696" s="12"/>
    </row>
    <row r="2697" ht="26.25" customHeight="1">
      <c r="A2697" s="28" t="s">
        <v>5404</v>
      </c>
      <c r="B2697" s="29" t="s">
        <v>5405</v>
      </c>
      <c r="C2697" s="30">
        <v>3.0</v>
      </c>
      <c r="D2697" s="31">
        <v>223.0</v>
      </c>
      <c r="E2697" s="31">
        <v>4.0</v>
      </c>
      <c r="F2697" s="32" t="str">
        <f t="array" ref="F2697">"https://www.google.com/maps/search/?api=1&amp;query=" &amp; A2697 &amp; "," &amp; B2697</f>
        <v>https://www.google.com/maps/search/?api=1&amp;query=-30.89882076916990,-55.54596192908210</v>
      </c>
      <c r="G2697" s="33" t="str">
        <f t="array" ref="G2697">"https://earth.google.com/web/search/" &amp; A2697 &amp; "," &amp; B2697</f>
        <v>https://earth.google.com/web/search/-30.89882076916990,-55.54596192908210</v>
      </c>
      <c r="H2697" s="12"/>
      <c r="I2697" s="12"/>
      <c r="J2697" s="12"/>
      <c r="K2697" s="12"/>
      <c r="L2697" s="12"/>
      <c r="M2697" s="12"/>
      <c r="N2697" s="12"/>
      <c r="O2697" s="12"/>
      <c r="P2697" s="12"/>
      <c r="Q2697" s="12"/>
      <c r="R2697" s="12"/>
      <c r="S2697" s="12"/>
      <c r="T2697" s="12"/>
      <c r="U2697" s="12"/>
      <c r="V2697" s="12"/>
      <c r="W2697" s="12"/>
      <c r="X2697" s="12"/>
      <c r="Y2697" s="12"/>
      <c r="Z2697" s="12"/>
      <c r="AA2697" s="12"/>
    </row>
    <row r="2698" ht="26.25" customHeight="1">
      <c r="A2698" s="34" t="s">
        <v>5406</v>
      </c>
      <c r="B2698" s="35" t="s">
        <v>5407</v>
      </c>
      <c r="C2698" s="36">
        <v>3.0</v>
      </c>
      <c r="D2698" s="37">
        <v>223.0</v>
      </c>
      <c r="E2698" s="37">
        <v>5.0</v>
      </c>
      <c r="F2698" s="24" t="str">
        <f t="array" ref="F2698">"https://www.google.com/maps/search/?api=1&amp;query=" &amp; A2698 &amp; "," &amp; B2698</f>
        <v>https://www.google.com/maps/search/?api=1&amp;query=-3.08989016282196,-55.54581521318860</v>
      </c>
      <c r="G2698" s="25" t="str">
        <f t="array" ref="G2698">"https://earth.google.com/web/search/" &amp; A2698 &amp; "," &amp; B2698</f>
        <v>https://earth.google.com/web/search/-3.08989016282196,-55.54581521318860</v>
      </c>
      <c r="H2698" s="12"/>
      <c r="I2698" s="12"/>
      <c r="J2698" s="12"/>
      <c r="K2698" s="12"/>
      <c r="L2698" s="12"/>
      <c r="M2698" s="12"/>
      <c r="N2698" s="12"/>
      <c r="O2698" s="12"/>
      <c r="P2698" s="12"/>
      <c r="Q2698" s="12"/>
      <c r="R2698" s="12"/>
      <c r="S2698" s="12"/>
      <c r="T2698" s="12"/>
      <c r="U2698" s="12"/>
      <c r="V2698" s="12"/>
      <c r="W2698" s="12"/>
      <c r="X2698" s="12"/>
      <c r="Y2698" s="12"/>
      <c r="Z2698" s="12"/>
      <c r="AA2698" s="12"/>
    </row>
    <row r="2699" ht="26.25" customHeight="1">
      <c r="A2699" s="28" t="s">
        <v>5408</v>
      </c>
      <c r="B2699" s="29" t="s">
        <v>5409</v>
      </c>
      <c r="C2699" s="30">
        <v>3.0</v>
      </c>
      <c r="D2699" s="31">
        <v>223.0</v>
      </c>
      <c r="E2699" s="31">
        <v>6.0</v>
      </c>
      <c r="F2699" s="32" t="str">
        <f t="array" ref="F2699">"https://www.google.com/maps/search/?api=1&amp;query=" &amp; A2699 &amp; "," &amp; B2699</f>
        <v>https://www.google.com/maps/search/?api=1&amp;query=-3.08989305372322,-55.54551647061000</v>
      </c>
      <c r="G2699" s="33" t="str">
        <f t="array" ref="G2699">"https://earth.google.com/web/search/" &amp; A2699 &amp; "," &amp; B2699</f>
        <v>https://earth.google.com/web/search/-3.08989305372322,-55.54551647061000</v>
      </c>
      <c r="H2699" s="12"/>
      <c r="I2699" s="12"/>
      <c r="J2699" s="12"/>
      <c r="K2699" s="12"/>
      <c r="L2699" s="12"/>
      <c r="M2699" s="12"/>
      <c r="N2699" s="12"/>
      <c r="O2699" s="12"/>
      <c r="P2699" s="12"/>
      <c r="Q2699" s="12"/>
      <c r="R2699" s="12"/>
      <c r="S2699" s="12"/>
      <c r="T2699" s="12"/>
      <c r="U2699" s="12"/>
      <c r="V2699" s="12"/>
      <c r="W2699" s="12"/>
      <c r="X2699" s="12"/>
      <c r="Y2699" s="12"/>
      <c r="Z2699" s="12"/>
      <c r="AA2699" s="12"/>
    </row>
    <row r="2700" ht="26.25" customHeight="1">
      <c r="A2700" s="34" t="s">
        <v>5410</v>
      </c>
      <c r="B2700" s="35" t="s">
        <v>5411</v>
      </c>
      <c r="C2700" s="36">
        <v>3.0</v>
      </c>
      <c r="D2700" s="37">
        <v>223.0</v>
      </c>
      <c r="E2700" s="37">
        <v>7.0</v>
      </c>
      <c r="F2700" s="24" t="str">
        <f t="array" ref="F2700">"https://www.google.com/maps/search/?api=1&amp;query=" &amp; A2700 &amp; "," &amp; B2700</f>
        <v>https://www.google.com/maps/search/?api=1&amp;query=-30.89874244499610,-55.54540088156720</v>
      </c>
      <c r="G2700" s="25" t="str">
        <f t="array" ref="G2700">"https://earth.google.com/web/search/" &amp; A2700 &amp; "," &amp; B2700</f>
        <v>https://earth.google.com/web/search/-30.89874244499610,-55.54540088156720</v>
      </c>
      <c r="H2700" s="12"/>
      <c r="I2700" s="12"/>
      <c r="J2700" s="12"/>
      <c r="K2700" s="12"/>
      <c r="L2700" s="12"/>
      <c r="M2700" s="12"/>
      <c r="N2700" s="12"/>
      <c r="O2700" s="12"/>
      <c r="P2700" s="12"/>
      <c r="Q2700" s="12"/>
      <c r="R2700" s="12"/>
      <c r="S2700" s="12"/>
      <c r="T2700" s="12"/>
      <c r="U2700" s="12"/>
      <c r="V2700" s="12"/>
      <c r="W2700" s="12"/>
      <c r="X2700" s="12"/>
      <c r="Y2700" s="12"/>
      <c r="Z2700" s="12"/>
      <c r="AA2700" s="12"/>
    </row>
    <row r="2701" ht="26.25" customHeight="1">
      <c r="A2701" s="28" t="s">
        <v>5412</v>
      </c>
      <c r="B2701" s="29" t="s">
        <v>5413</v>
      </c>
      <c r="C2701" s="30">
        <v>3.0</v>
      </c>
      <c r="D2701" s="31">
        <v>223.0</v>
      </c>
      <c r="E2701" s="31">
        <v>8.0</v>
      </c>
      <c r="F2701" s="32" t="str">
        <f t="array" ref="F2701">"https://www.google.com/maps/search/?api=1&amp;query=" &amp; A2701 &amp; "," &amp; B2701</f>
        <v>https://www.google.com/maps/search/?api=1&amp;query=-30.89855352731910,-55.54526230108280</v>
      </c>
      <c r="G2701" s="33" t="str">
        <f t="array" ref="G2701">"https://earth.google.com/web/search/" &amp; A2701 &amp; "," &amp; B2701</f>
        <v>https://earth.google.com/web/search/-30.89855352731910,-55.54526230108280</v>
      </c>
      <c r="H2701" s="12"/>
      <c r="I2701" s="12"/>
      <c r="J2701" s="12"/>
      <c r="K2701" s="12"/>
      <c r="L2701" s="12"/>
      <c r="M2701" s="12"/>
      <c r="N2701" s="12"/>
      <c r="O2701" s="12"/>
      <c r="P2701" s="12"/>
      <c r="Q2701" s="12"/>
      <c r="R2701" s="12"/>
      <c r="S2701" s="12"/>
      <c r="T2701" s="12"/>
      <c r="U2701" s="12"/>
      <c r="V2701" s="12"/>
      <c r="W2701" s="12"/>
      <c r="X2701" s="12"/>
      <c r="Y2701" s="12"/>
      <c r="Z2701" s="12"/>
      <c r="AA2701" s="12"/>
    </row>
    <row r="2702" ht="26.25" customHeight="1">
      <c r="A2702" s="34" t="s">
        <v>5414</v>
      </c>
      <c r="B2702" s="35" t="s">
        <v>5415</v>
      </c>
      <c r="C2702" s="36">
        <v>3.0</v>
      </c>
      <c r="D2702" s="37">
        <v>223.0</v>
      </c>
      <c r="E2702" s="37">
        <v>9.0</v>
      </c>
      <c r="F2702" s="24" t="str">
        <f t="array" ref="F2702">"https://www.google.com/maps/search/?api=1&amp;query=" &amp; A2702 &amp; "," &amp; B2702</f>
        <v>https://www.google.com/maps/search/?api=1&amp;query=-30.89826498479220,-55.54517697736780</v>
      </c>
      <c r="G2702" s="25" t="str">
        <f t="array" ref="G2702">"https://earth.google.com/web/search/" &amp; A2702 &amp; "," &amp; B2702</f>
        <v>https://earth.google.com/web/search/-30.89826498479220,-55.54517697736780</v>
      </c>
      <c r="H2702" s="12"/>
      <c r="I2702" s="12"/>
      <c r="J2702" s="12"/>
      <c r="K2702" s="12"/>
      <c r="L2702" s="12"/>
      <c r="M2702" s="12"/>
      <c r="N2702" s="12"/>
      <c r="O2702" s="12"/>
      <c r="P2702" s="12"/>
      <c r="Q2702" s="12"/>
      <c r="R2702" s="12"/>
      <c r="S2702" s="12"/>
      <c r="T2702" s="12"/>
      <c r="U2702" s="12"/>
      <c r="V2702" s="12"/>
      <c r="W2702" s="12"/>
      <c r="X2702" s="12"/>
      <c r="Y2702" s="12"/>
      <c r="Z2702" s="12"/>
      <c r="AA2702" s="12"/>
    </row>
    <row r="2703" ht="26.25" customHeight="1">
      <c r="A2703" s="28" t="s">
        <v>5416</v>
      </c>
      <c r="B2703" s="29" t="s">
        <v>5417</v>
      </c>
      <c r="C2703" s="30">
        <v>3.0</v>
      </c>
      <c r="D2703" s="31">
        <v>223.0</v>
      </c>
      <c r="E2703" s="31">
        <v>10.0</v>
      </c>
      <c r="F2703" s="32" t="str">
        <f t="array" ref="F2703">"https://www.google.com/maps/search/?api=1&amp;query=" &amp; A2703 &amp; "," &amp; B2703</f>
        <v>https://www.google.com/maps/search/?api=1&amp;query=-30.89817116590010,-55.54532151727960</v>
      </c>
      <c r="G2703" s="33" t="str">
        <f t="array" ref="G2703">"https://earth.google.com/web/search/" &amp; A2703 &amp; "," &amp; B2703</f>
        <v>https://earth.google.com/web/search/-30.89817116590010,-55.54532151727960</v>
      </c>
      <c r="H2703" s="12"/>
      <c r="I2703" s="12"/>
      <c r="J2703" s="12"/>
      <c r="K2703" s="12"/>
      <c r="L2703" s="12"/>
      <c r="M2703" s="12"/>
      <c r="N2703" s="12"/>
      <c r="O2703" s="12"/>
      <c r="P2703" s="12"/>
      <c r="Q2703" s="12"/>
      <c r="R2703" s="12"/>
      <c r="S2703" s="12"/>
      <c r="T2703" s="12"/>
      <c r="U2703" s="12"/>
      <c r="V2703" s="12"/>
      <c r="W2703" s="12"/>
      <c r="X2703" s="12"/>
      <c r="Y2703" s="12"/>
      <c r="Z2703" s="12"/>
      <c r="AA2703" s="12"/>
    </row>
    <row r="2704" ht="26.25" customHeight="1">
      <c r="A2704" s="34" t="s">
        <v>5418</v>
      </c>
      <c r="B2704" s="35" t="s">
        <v>5419</v>
      </c>
      <c r="C2704" s="36">
        <v>3.0</v>
      </c>
      <c r="D2704" s="37">
        <v>223.0</v>
      </c>
      <c r="E2704" s="37">
        <v>11.0</v>
      </c>
      <c r="F2704" s="24" t="str">
        <f t="array" ref="F2704">"https://www.google.com/maps/search/?api=1&amp;query=" &amp; A2704 &amp; "," &amp; B2704</f>
        <v>https://www.google.com/maps/search/?api=1&amp;query=-30.89819620800690,-55.54614682891720</v>
      </c>
      <c r="G2704" s="25" t="str">
        <f t="array" ref="G2704">"https://earth.google.com/web/search/" &amp; A2704 &amp; "," &amp; B2704</f>
        <v>https://earth.google.com/web/search/-30.89819620800690,-55.54614682891720</v>
      </c>
      <c r="H2704" s="12"/>
      <c r="I2704" s="12"/>
      <c r="J2704" s="12"/>
      <c r="K2704" s="12"/>
      <c r="L2704" s="12"/>
      <c r="M2704" s="12"/>
      <c r="N2704" s="12"/>
      <c r="O2704" s="12"/>
      <c r="P2704" s="12"/>
      <c r="Q2704" s="12"/>
      <c r="R2704" s="12"/>
      <c r="S2704" s="12"/>
      <c r="T2704" s="12"/>
      <c r="U2704" s="12"/>
      <c r="V2704" s="12"/>
      <c r="W2704" s="12"/>
      <c r="X2704" s="12"/>
      <c r="Y2704" s="12"/>
      <c r="Z2704" s="12"/>
      <c r="AA2704" s="12"/>
    </row>
    <row r="2705" ht="26.25" customHeight="1">
      <c r="A2705" s="28" t="s">
        <v>5420</v>
      </c>
      <c r="B2705" s="29" t="s">
        <v>5421</v>
      </c>
      <c r="C2705" s="30">
        <v>3.0</v>
      </c>
      <c r="D2705" s="31">
        <v>223.0</v>
      </c>
      <c r="E2705" s="31">
        <v>12.0</v>
      </c>
      <c r="F2705" s="32" t="str">
        <f t="array" ref="F2705">"https://www.google.com/maps/search/?api=1&amp;query=" &amp; A2705 &amp; "," &amp; B2705</f>
        <v>https://www.google.com/maps/search/?api=1&amp;query=-30.89828531251550,-55.54618438085410</v>
      </c>
      <c r="G2705" s="33" t="str">
        <f t="array" ref="G2705">"https://earth.google.com/web/search/" &amp; A2705 &amp; "," &amp; B2705</f>
        <v>https://earth.google.com/web/search/-30.89828531251550,-55.54618438085410</v>
      </c>
      <c r="H2705" s="12"/>
      <c r="I2705" s="12"/>
      <c r="J2705" s="12"/>
      <c r="K2705" s="12"/>
      <c r="L2705" s="12"/>
      <c r="M2705" s="12"/>
      <c r="N2705" s="12"/>
      <c r="O2705" s="12"/>
      <c r="P2705" s="12"/>
      <c r="Q2705" s="12"/>
      <c r="R2705" s="12"/>
      <c r="S2705" s="12"/>
      <c r="T2705" s="12"/>
      <c r="U2705" s="12"/>
      <c r="V2705" s="12"/>
      <c r="W2705" s="12"/>
      <c r="X2705" s="12"/>
      <c r="Y2705" s="12"/>
      <c r="Z2705" s="12"/>
      <c r="AA2705" s="12"/>
    </row>
    <row r="2706" ht="26.25" customHeight="1">
      <c r="A2706" s="34" t="s">
        <v>5422</v>
      </c>
      <c r="B2706" s="35" t="s">
        <v>5423</v>
      </c>
      <c r="C2706" s="36">
        <v>3.0</v>
      </c>
      <c r="D2706" s="37">
        <v>223.0</v>
      </c>
      <c r="E2706" s="37">
        <v>13.0</v>
      </c>
      <c r="F2706" s="24" t="str">
        <f t="array" ref="F2706">"https://www.google.com/maps/search/?api=1&amp;query=" &amp; A2706 &amp; "," &amp; B2706</f>
        <v>https://www.google.com/maps/search/?api=1&amp;query=-30.89898037220890,-55.54567638206420</v>
      </c>
      <c r="G2706" s="25" t="str">
        <f t="array" ref="G2706">"https://earth.google.com/web/search/" &amp; A2706 &amp; "," &amp; B2706</f>
        <v>https://earth.google.com/web/search/-30.89898037220890,-55.54567638206420</v>
      </c>
      <c r="H2706" s="12"/>
      <c r="I2706" s="12"/>
      <c r="J2706" s="12"/>
      <c r="K2706" s="12"/>
      <c r="L2706" s="12"/>
      <c r="M2706" s="12"/>
      <c r="N2706" s="12"/>
      <c r="O2706" s="12"/>
      <c r="P2706" s="12"/>
      <c r="Q2706" s="12"/>
      <c r="R2706" s="12"/>
      <c r="S2706" s="12"/>
      <c r="T2706" s="12"/>
      <c r="U2706" s="12"/>
      <c r="V2706" s="12"/>
      <c r="W2706" s="12"/>
      <c r="X2706" s="12"/>
      <c r="Y2706" s="12"/>
      <c r="Z2706" s="12"/>
      <c r="AA2706" s="12"/>
    </row>
    <row r="2707" ht="26.25" customHeight="1">
      <c r="A2707" s="28" t="s">
        <v>5424</v>
      </c>
      <c r="B2707" s="29" t="s">
        <v>5425</v>
      </c>
      <c r="C2707" s="30">
        <v>3.0</v>
      </c>
      <c r="D2707" s="31">
        <v>224.0</v>
      </c>
      <c r="E2707" s="31">
        <v>1.0</v>
      </c>
      <c r="F2707" s="32" t="str">
        <f t="array" ref="F2707">"https://www.google.com/maps/search/?api=1&amp;query=" &amp; A2707 &amp; "," &amp; B2707</f>
        <v>https://www.google.com/maps/search/?api=1&amp;query=-30.89917411023510,-55.54531430846620</v>
      </c>
      <c r="G2707" s="33" t="str">
        <f t="array" ref="G2707">"https://earth.google.com/web/search/" &amp; A2707 &amp; "," &amp; B2707</f>
        <v>https://earth.google.com/web/search/-30.89917411023510,-55.54531430846620</v>
      </c>
      <c r="H2707" s="12"/>
      <c r="I2707" s="12"/>
      <c r="J2707" s="12"/>
      <c r="K2707" s="12"/>
      <c r="L2707" s="12"/>
      <c r="M2707" s="12"/>
      <c r="N2707" s="12"/>
      <c r="O2707" s="12"/>
      <c r="P2707" s="12"/>
      <c r="Q2707" s="12"/>
      <c r="R2707" s="12"/>
      <c r="S2707" s="12"/>
      <c r="T2707" s="12"/>
      <c r="U2707" s="12"/>
      <c r="V2707" s="12"/>
      <c r="W2707" s="12"/>
      <c r="X2707" s="12"/>
      <c r="Y2707" s="12"/>
      <c r="Z2707" s="12"/>
      <c r="AA2707" s="12"/>
    </row>
    <row r="2708" ht="26.25" customHeight="1">
      <c r="A2708" s="34" t="s">
        <v>5426</v>
      </c>
      <c r="B2708" s="35" t="s">
        <v>5427</v>
      </c>
      <c r="C2708" s="36">
        <v>3.0</v>
      </c>
      <c r="D2708" s="37">
        <v>224.0</v>
      </c>
      <c r="E2708" s="37">
        <v>2.0</v>
      </c>
      <c r="F2708" s="24" t="str">
        <f t="array" ref="F2708">"https://www.google.com/maps/search/?api=1&amp;query=" &amp; A2708 &amp; "," &amp; B2708</f>
        <v>https://www.google.com/maps/search/?api=1&amp;query=-30.89920833577140,-55.54523109365750</v>
      </c>
      <c r="G2708" s="25" t="str">
        <f t="array" ref="G2708">"https://earth.google.com/web/search/" &amp; A2708 &amp; "," &amp; B2708</f>
        <v>https://earth.google.com/web/search/-30.89920833577140,-55.54523109365750</v>
      </c>
      <c r="H2708" s="12"/>
      <c r="I2708" s="12"/>
      <c r="J2708" s="12"/>
      <c r="K2708" s="12"/>
      <c r="L2708" s="12"/>
      <c r="M2708" s="12"/>
      <c r="N2708" s="12"/>
      <c r="O2708" s="12"/>
      <c r="P2708" s="12"/>
      <c r="Q2708" s="12"/>
      <c r="R2708" s="12"/>
      <c r="S2708" s="12"/>
      <c r="T2708" s="12"/>
      <c r="U2708" s="12"/>
      <c r="V2708" s="12"/>
      <c r="W2708" s="12"/>
      <c r="X2708" s="12"/>
      <c r="Y2708" s="12"/>
      <c r="Z2708" s="12"/>
      <c r="AA2708" s="12"/>
    </row>
    <row r="2709" ht="26.25" customHeight="1">
      <c r="A2709" s="28" t="s">
        <v>5428</v>
      </c>
      <c r="B2709" s="29" t="s">
        <v>5429</v>
      </c>
      <c r="C2709" s="30">
        <v>3.0</v>
      </c>
      <c r="D2709" s="31">
        <v>224.0</v>
      </c>
      <c r="E2709" s="31">
        <v>3.0</v>
      </c>
      <c r="F2709" s="32" t="str">
        <f t="array" ref="F2709">"https://www.google.com/maps/search/?api=1&amp;query=" &amp; A2709 &amp; "," &amp; B2709</f>
        <v>https://www.google.com/maps/search/?api=1&amp;query=-30.89924963051880,-0.55545147628094</v>
      </c>
      <c r="G2709" s="33" t="str">
        <f t="array" ref="G2709">"https://earth.google.com/web/search/" &amp; A2709 &amp; "," &amp; B2709</f>
        <v>https://earth.google.com/web/search/-30.89924963051880,-0.55545147628094</v>
      </c>
      <c r="H2709" s="12"/>
      <c r="I2709" s="12"/>
      <c r="J2709" s="12"/>
      <c r="K2709" s="12"/>
      <c r="L2709" s="12"/>
      <c r="M2709" s="12"/>
      <c r="N2709" s="12"/>
      <c r="O2709" s="12"/>
      <c r="P2709" s="12"/>
      <c r="Q2709" s="12"/>
      <c r="R2709" s="12"/>
      <c r="S2709" s="12"/>
      <c r="T2709" s="12"/>
      <c r="U2709" s="12"/>
      <c r="V2709" s="12"/>
      <c r="W2709" s="12"/>
      <c r="X2709" s="12"/>
      <c r="Y2709" s="12"/>
      <c r="Z2709" s="12"/>
      <c r="AA2709" s="12"/>
    </row>
    <row r="2710" ht="26.25" customHeight="1">
      <c r="A2710" s="34" t="s">
        <v>5430</v>
      </c>
      <c r="B2710" s="35" t="s">
        <v>5431</v>
      </c>
      <c r="C2710" s="36">
        <v>3.0</v>
      </c>
      <c r="D2710" s="37">
        <v>224.0</v>
      </c>
      <c r="E2710" s="37">
        <v>4.0</v>
      </c>
      <c r="F2710" s="24" t="str">
        <f t="array" ref="F2710">"https://www.google.com/maps/search/?api=1&amp;query=" &amp; A2710 &amp; "," &amp; B2710</f>
        <v>https://www.google.com/maps/search/?api=1&amp;query=-30.89929152519510,-55.54506744616400</v>
      </c>
      <c r="G2710" s="25" t="str">
        <f t="array" ref="G2710">"https://earth.google.com/web/search/" &amp; A2710 &amp; "," &amp; B2710</f>
        <v>https://earth.google.com/web/search/-30.89929152519510,-55.54506744616400</v>
      </c>
      <c r="H2710" s="12"/>
      <c r="I2710" s="12"/>
      <c r="J2710" s="12"/>
      <c r="K2710" s="12"/>
      <c r="L2710" s="12"/>
      <c r="M2710" s="12"/>
      <c r="N2710" s="12"/>
      <c r="O2710" s="12"/>
      <c r="P2710" s="12"/>
      <c r="Q2710" s="12"/>
      <c r="R2710" s="12"/>
      <c r="S2710" s="12"/>
      <c r="T2710" s="12"/>
      <c r="U2710" s="12"/>
      <c r="V2710" s="12"/>
      <c r="W2710" s="12"/>
      <c r="X2710" s="12"/>
      <c r="Y2710" s="12"/>
      <c r="Z2710" s="12"/>
      <c r="AA2710" s="12"/>
    </row>
    <row r="2711" ht="26.25" customHeight="1">
      <c r="A2711" s="28" t="s">
        <v>5432</v>
      </c>
      <c r="B2711" s="29" t="s">
        <v>5433</v>
      </c>
      <c r="C2711" s="30">
        <v>3.0</v>
      </c>
      <c r="D2711" s="31">
        <v>224.0</v>
      </c>
      <c r="E2711" s="31">
        <v>5.0</v>
      </c>
      <c r="F2711" s="32" t="str">
        <f t="array" ref="F2711">"https://www.google.com/maps/search/?api=1&amp;query=" &amp; A2711 &amp; "," &amp; B2711</f>
        <v>https://www.google.com/maps/search/?api=1&amp;query=-3.08993319014541,-55.54499460218760</v>
      </c>
      <c r="G2711" s="33" t="str">
        <f t="array" ref="G2711">"https://earth.google.com/web/search/" &amp; A2711 &amp; "," &amp; B2711</f>
        <v>https://earth.google.com/web/search/-3.08993319014541,-55.54499460218760</v>
      </c>
      <c r="H2711" s="12"/>
      <c r="I2711" s="12"/>
      <c r="J2711" s="12"/>
      <c r="K2711" s="12"/>
      <c r="L2711" s="12"/>
      <c r="M2711" s="12"/>
      <c r="N2711" s="12"/>
      <c r="O2711" s="12"/>
      <c r="P2711" s="12"/>
      <c r="Q2711" s="12"/>
      <c r="R2711" s="12"/>
      <c r="S2711" s="12"/>
      <c r="T2711" s="12"/>
      <c r="U2711" s="12"/>
      <c r="V2711" s="12"/>
      <c r="W2711" s="12"/>
      <c r="X2711" s="12"/>
      <c r="Y2711" s="12"/>
      <c r="Z2711" s="12"/>
      <c r="AA2711" s="12"/>
    </row>
    <row r="2712" ht="26.25" customHeight="1">
      <c r="A2712" s="34" t="s">
        <v>5434</v>
      </c>
      <c r="B2712" s="35" t="s">
        <v>5435</v>
      </c>
      <c r="C2712" s="36">
        <v>3.0</v>
      </c>
      <c r="D2712" s="37">
        <v>224.0</v>
      </c>
      <c r="E2712" s="37">
        <v>6.0</v>
      </c>
      <c r="F2712" s="24" t="str">
        <f t="array" ref="F2712">"https://www.google.com/maps/search/?api=1&amp;query=" &amp; A2712 &amp; "," &amp; B2712</f>
        <v>https://www.google.com/maps/search/?api=1&amp;query=-30.89937073713210,-55.54492913355590</v>
      </c>
      <c r="G2712" s="25" t="str">
        <f t="array" ref="G2712">"https://earth.google.com/web/search/" &amp; A2712 &amp; "," &amp; B2712</f>
        <v>https://earth.google.com/web/search/-30.89937073713210,-55.54492913355590</v>
      </c>
      <c r="H2712" s="12"/>
      <c r="I2712" s="12"/>
      <c r="J2712" s="12"/>
      <c r="K2712" s="12"/>
      <c r="L2712" s="12"/>
      <c r="M2712" s="12"/>
      <c r="N2712" s="12"/>
      <c r="O2712" s="12"/>
      <c r="P2712" s="12"/>
      <c r="Q2712" s="12"/>
      <c r="R2712" s="12"/>
      <c r="S2712" s="12"/>
      <c r="T2712" s="12"/>
      <c r="U2712" s="12"/>
      <c r="V2712" s="12"/>
      <c r="W2712" s="12"/>
      <c r="X2712" s="12"/>
      <c r="Y2712" s="12"/>
      <c r="Z2712" s="12"/>
      <c r="AA2712" s="12"/>
    </row>
    <row r="2713" ht="26.25" customHeight="1">
      <c r="A2713" s="28" t="s">
        <v>5436</v>
      </c>
      <c r="B2713" s="29" t="s">
        <v>5437</v>
      </c>
      <c r="C2713" s="30">
        <v>3.0</v>
      </c>
      <c r="D2713" s="31">
        <v>224.0</v>
      </c>
      <c r="E2713" s="31">
        <v>7.0</v>
      </c>
      <c r="F2713" s="32" t="str">
        <f t="array" ref="F2713">"https://www.google.com/maps/search/?api=1&amp;query=" &amp; A2713 &amp; "," &amp; B2713</f>
        <v>https://www.google.com/maps/search/?api=1&amp;query=-30.89943969551770,-55.54477942895980</v>
      </c>
      <c r="G2713" s="33" t="str">
        <f t="array" ref="G2713">"https://earth.google.com/web/search/" &amp; A2713 &amp; "," &amp; B2713</f>
        <v>https://earth.google.com/web/search/-30.89943969551770,-55.54477942895980</v>
      </c>
      <c r="H2713" s="12"/>
      <c r="I2713" s="12"/>
      <c r="J2713" s="12"/>
      <c r="K2713" s="12"/>
      <c r="L2713" s="12"/>
      <c r="M2713" s="12"/>
      <c r="N2713" s="12"/>
      <c r="O2713" s="12"/>
      <c r="P2713" s="12"/>
      <c r="Q2713" s="12"/>
      <c r="R2713" s="12"/>
      <c r="S2713" s="12"/>
      <c r="T2713" s="12"/>
      <c r="U2713" s="12"/>
      <c r="V2713" s="12"/>
      <c r="W2713" s="12"/>
      <c r="X2713" s="12"/>
      <c r="Y2713" s="12"/>
      <c r="Z2713" s="12"/>
      <c r="AA2713" s="12"/>
    </row>
    <row r="2714" ht="26.25" customHeight="1">
      <c r="A2714" s="34" t="s">
        <v>5438</v>
      </c>
      <c r="B2714" s="35" t="s">
        <v>5439</v>
      </c>
      <c r="C2714" s="36">
        <v>3.0</v>
      </c>
      <c r="D2714" s="37">
        <v>224.0</v>
      </c>
      <c r="E2714" s="37">
        <v>8.0</v>
      </c>
      <c r="F2714" s="24" t="str">
        <f t="array" ref="F2714">"https://www.google.com/maps/search/?api=1&amp;query=" &amp; A2714 &amp; "," &amp; B2714</f>
        <v>https://www.google.com/maps/search/?api=1&amp;query=-30.89940973454520,-55.54462769555740</v>
      </c>
      <c r="G2714" s="25" t="str">
        <f t="array" ref="G2714">"https://earth.google.com/web/search/" &amp; A2714 &amp; "," &amp; B2714</f>
        <v>https://earth.google.com/web/search/-30.89940973454520,-55.54462769555740</v>
      </c>
      <c r="H2714" s="12"/>
      <c r="I2714" s="12"/>
      <c r="J2714" s="12"/>
      <c r="K2714" s="12"/>
      <c r="L2714" s="12"/>
      <c r="M2714" s="12"/>
      <c r="N2714" s="12"/>
      <c r="O2714" s="12"/>
      <c r="P2714" s="12"/>
      <c r="Q2714" s="12"/>
      <c r="R2714" s="12"/>
      <c r="S2714" s="12"/>
      <c r="T2714" s="12"/>
      <c r="U2714" s="12"/>
      <c r="V2714" s="12"/>
      <c r="W2714" s="12"/>
      <c r="X2714" s="12"/>
      <c r="Y2714" s="12"/>
      <c r="Z2714" s="12"/>
      <c r="AA2714" s="12"/>
    </row>
    <row r="2715" ht="26.25" customHeight="1">
      <c r="A2715" s="28" t="s">
        <v>5440</v>
      </c>
      <c r="B2715" s="29" t="s">
        <v>5441</v>
      </c>
      <c r="C2715" s="30">
        <v>3.0</v>
      </c>
      <c r="D2715" s="31">
        <v>224.0</v>
      </c>
      <c r="E2715" s="31">
        <v>9.0</v>
      </c>
      <c r="F2715" s="32" t="str">
        <f t="array" ref="F2715">"https://www.google.com/maps/search/?api=1&amp;query=" &amp; A2715 &amp; "," &amp; B2715</f>
        <v>https://www.google.com/maps/search/?api=1&amp;query=-30.89932670355580,-55.54457501406490</v>
      </c>
      <c r="G2715" s="33" t="str">
        <f t="array" ref="G2715">"https://earth.google.com/web/search/" &amp; A2715 &amp; "," &amp; B2715</f>
        <v>https://earth.google.com/web/search/-30.89932670355580,-55.54457501406490</v>
      </c>
      <c r="H2715" s="12"/>
      <c r="I2715" s="12"/>
      <c r="J2715" s="12"/>
      <c r="K2715" s="12"/>
      <c r="L2715" s="12"/>
      <c r="M2715" s="12"/>
      <c r="N2715" s="12"/>
      <c r="O2715" s="12"/>
      <c r="P2715" s="12"/>
      <c r="Q2715" s="12"/>
      <c r="R2715" s="12"/>
      <c r="S2715" s="12"/>
      <c r="T2715" s="12"/>
      <c r="U2715" s="12"/>
      <c r="V2715" s="12"/>
      <c r="W2715" s="12"/>
      <c r="X2715" s="12"/>
      <c r="Y2715" s="12"/>
      <c r="Z2715" s="12"/>
      <c r="AA2715" s="12"/>
    </row>
    <row r="2716" ht="26.25" customHeight="1">
      <c r="A2716" s="34" t="s">
        <v>5442</v>
      </c>
      <c r="B2716" s="35" t="s">
        <v>5443</v>
      </c>
      <c r="C2716" s="36">
        <v>3.0</v>
      </c>
      <c r="D2716" s="37">
        <v>224.0</v>
      </c>
      <c r="E2716" s="37">
        <v>10.0</v>
      </c>
      <c r="F2716" s="24" t="str">
        <f t="array" ref="F2716">"https://www.google.com/maps/search/?api=1&amp;query=" &amp; A2716 &amp; "," &amp; B2716</f>
        <v>https://www.google.com/maps/search/?api=1&amp;query=-30.89927353489270,-55.54453202108940</v>
      </c>
      <c r="G2716" s="25" t="str">
        <f t="array" ref="G2716">"https://earth.google.com/web/search/" &amp; A2716 &amp; "," &amp; B2716</f>
        <v>https://earth.google.com/web/search/-30.89927353489270,-55.54453202108940</v>
      </c>
      <c r="H2716" s="12"/>
      <c r="I2716" s="12"/>
      <c r="J2716" s="12"/>
      <c r="K2716" s="12"/>
      <c r="L2716" s="12"/>
      <c r="M2716" s="12"/>
      <c r="N2716" s="12"/>
      <c r="O2716" s="12"/>
      <c r="P2716" s="12"/>
      <c r="Q2716" s="12"/>
      <c r="R2716" s="12"/>
      <c r="S2716" s="12"/>
      <c r="T2716" s="12"/>
      <c r="U2716" s="12"/>
      <c r="V2716" s="12"/>
      <c r="W2716" s="12"/>
      <c r="X2716" s="12"/>
      <c r="Y2716" s="12"/>
      <c r="Z2716" s="12"/>
      <c r="AA2716" s="12"/>
    </row>
    <row r="2717" ht="26.25" customHeight="1">
      <c r="A2717" s="28" t="s">
        <v>5444</v>
      </c>
      <c r="B2717" s="29" t="s">
        <v>5445</v>
      </c>
      <c r="C2717" s="30">
        <v>3.0</v>
      </c>
      <c r="D2717" s="31">
        <v>224.0</v>
      </c>
      <c r="E2717" s="31">
        <v>11.0</v>
      </c>
      <c r="F2717" s="32" t="str">
        <f t="array" ref="F2717">"https://www.google.com/maps/search/?api=1&amp;query=" &amp; A2717 &amp; "," &amp; B2717</f>
        <v>https://www.google.com/maps/search/?api=1&amp;query=-30.89920813580600,-55.54448209543820</v>
      </c>
      <c r="G2717" s="33" t="str">
        <f t="array" ref="G2717">"https://earth.google.com/web/search/" &amp; A2717 &amp; "," &amp; B2717</f>
        <v>https://earth.google.com/web/search/-30.89920813580600,-55.54448209543820</v>
      </c>
      <c r="H2717" s="12"/>
      <c r="I2717" s="12"/>
      <c r="J2717" s="12"/>
      <c r="K2717" s="12"/>
      <c r="L2717" s="12"/>
      <c r="M2717" s="12"/>
      <c r="N2717" s="12"/>
      <c r="O2717" s="12"/>
      <c r="P2717" s="12"/>
      <c r="Q2717" s="12"/>
      <c r="R2717" s="12"/>
      <c r="S2717" s="12"/>
      <c r="T2717" s="12"/>
      <c r="U2717" s="12"/>
      <c r="V2717" s="12"/>
      <c r="W2717" s="12"/>
      <c r="X2717" s="12"/>
      <c r="Y2717" s="12"/>
      <c r="Z2717" s="12"/>
      <c r="AA2717" s="12"/>
    </row>
    <row r="2718" ht="26.25" customHeight="1">
      <c r="A2718" s="34" t="s">
        <v>5446</v>
      </c>
      <c r="B2718" s="35" t="s">
        <v>5447</v>
      </c>
      <c r="C2718" s="36">
        <v>3.0</v>
      </c>
      <c r="D2718" s="37">
        <v>224.0</v>
      </c>
      <c r="E2718" s="37">
        <v>12.0</v>
      </c>
      <c r="F2718" s="24" t="str">
        <f t="array" ref="F2718">"https://www.google.com/maps/search/?api=1&amp;query=" &amp; A2718 &amp; "," &amp; B2718</f>
        <v>https://www.google.com/maps/search/?api=1&amp;query=-30.89911682112010,-55.54441127429350</v>
      </c>
      <c r="G2718" s="25" t="str">
        <f t="array" ref="G2718">"https://earth.google.com/web/search/" &amp; A2718 &amp; "," &amp; B2718</f>
        <v>https://earth.google.com/web/search/-30.89911682112010,-55.54441127429350</v>
      </c>
      <c r="H2718" s="12"/>
      <c r="I2718" s="12"/>
      <c r="J2718" s="12"/>
      <c r="K2718" s="12"/>
      <c r="L2718" s="12"/>
      <c r="M2718" s="12"/>
      <c r="N2718" s="12"/>
      <c r="O2718" s="12"/>
      <c r="P2718" s="12"/>
      <c r="Q2718" s="12"/>
      <c r="R2718" s="12"/>
      <c r="S2718" s="12"/>
      <c r="T2718" s="12"/>
      <c r="U2718" s="12"/>
      <c r="V2718" s="12"/>
      <c r="W2718" s="12"/>
      <c r="X2718" s="12"/>
      <c r="Y2718" s="12"/>
      <c r="Z2718" s="12"/>
      <c r="AA2718" s="12"/>
    </row>
    <row r="2719" ht="26.25" customHeight="1">
      <c r="A2719" s="28" t="s">
        <v>5448</v>
      </c>
      <c r="B2719" s="29" t="s">
        <v>5449</v>
      </c>
      <c r="C2719" s="30">
        <v>3.0</v>
      </c>
      <c r="D2719" s="31">
        <v>224.0</v>
      </c>
      <c r="E2719" s="31">
        <v>13.0</v>
      </c>
      <c r="F2719" s="32" t="str">
        <f t="array" ref="F2719">"https://www.google.com/maps/search/?api=1&amp;query=" &amp; A2719 &amp; "," &amp; B2719</f>
        <v>https://www.google.com/maps/search/?api=1&amp;query=-30.89905996795340,-55.54436834506110</v>
      </c>
      <c r="G2719" s="33" t="str">
        <f t="array" ref="G2719">"https://earth.google.com/web/search/" &amp; A2719 &amp; "," &amp; B2719</f>
        <v>https://earth.google.com/web/search/-30.89905996795340,-55.54436834506110</v>
      </c>
      <c r="H2719" s="12"/>
      <c r="I2719" s="12"/>
      <c r="J2719" s="12"/>
      <c r="K2719" s="12"/>
      <c r="L2719" s="12"/>
      <c r="M2719" s="12"/>
      <c r="N2719" s="12"/>
      <c r="O2719" s="12"/>
      <c r="P2719" s="12"/>
      <c r="Q2719" s="12"/>
      <c r="R2719" s="12"/>
      <c r="S2719" s="12"/>
      <c r="T2719" s="12"/>
      <c r="U2719" s="12"/>
      <c r="V2719" s="12"/>
      <c r="W2719" s="12"/>
      <c r="X2719" s="12"/>
      <c r="Y2719" s="12"/>
      <c r="Z2719" s="12"/>
      <c r="AA2719" s="12"/>
    </row>
    <row r="2720" ht="26.25" customHeight="1">
      <c r="A2720" s="34" t="s">
        <v>5450</v>
      </c>
      <c r="B2720" s="35" t="s">
        <v>5451</v>
      </c>
      <c r="C2720" s="36">
        <v>3.0</v>
      </c>
      <c r="D2720" s="37">
        <v>224.0</v>
      </c>
      <c r="E2720" s="37">
        <v>14.0</v>
      </c>
      <c r="F2720" s="24" t="str">
        <f t="array" ref="F2720">"https://www.google.com/maps/search/?api=1&amp;query=" &amp; A2720 &amp; "," &amp; B2720</f>
        <v>https://www.google.com/maps/search/?api=1&amp;query=-30.89873076664950,-55.54426785382600</v>
      </c>
      <c r="G2720" s="25" t="str">
        <f t="array" ref="G2720">"https://earth.google.com/web/search/" &amp; A2720 &amp; "," &amp; B2720</f>
        <v>https://earth.google.com/web/search/-30.89873076664950,-55.54426785382600</v>
      </c>
      <c r="H2720" s="12"/>
      <c r="I2720" s="12"/>
      <c r="J2720" s="12"/>
      <c r="K2720" s="12"/>
      <c r="L2720" s="12"/>
      <c r="M2720" s="12"/>
      <c r="N2720" s="12"/>
      <c r="O2720" s="12"/>
      <c r="P2720" s="12"/>
      <c r="Q2720" s="12"/>
      <c r="R2720" s="12"/>
      <c r="S2720" s="12"/>
      <c r="T2720" s="12"/>
      <c r="U2720" s="12"/>
      <c r="V2720" s="12"/>
      <c r="W2720" s="12"/>
      <c r="X2720" s="12"/>
      <c r="Y2720" s="12"/>
      <c r="Z2720" s="12"/>
      <c r="AA2720" s="12"/>
    </row>
    <row r="2721" ht="26.25" customHeight="1">
      <c r="A2721" s="28" t="s">
        <v>5452</v>
      </c>
      <c r="B2721" s="29" t="s">
        <v>5453</v>
      </c>
      <c r="C2721" s="30">
        <v>3.0</v>
      </c>
      <c r="D2721" s="31">
        <v>224.0</v>
      </c>
      <c r="E2721" s="31">
        <v>15.0</v>
      </c>
      <c r="F2721" s="32" t="str">
        <f t="array" ref="F2721">"https://www.google.com/maps/search/?api=1&amp;query=" &amp; A2721 &amp; "," &amp; B2721</f>
        <v>https://www.google.com/maps/search/?api=1&amp;query=-30.89870237315490,-55.54432991267120</v>
      </c>
      <c r="G2721" s="33" t="str">
        <f t="array" ref="G2721">"https://earth.google.com/web/search/" &amp; A2721 &amp; "," &amp; B2721</f>
        <v>https://earth.google.com/web/search/-30.89870237315490,-55.54432991267120</v>
      </c>
      <c r="H2721" s="12"/>
      <c r="I2721" s="12"/>
      <c r="J2721" s="12"/>
      <c r="K2721" s="12"/>
      <c r="L2721" s="12"/>
      <c r="M2721" s="12"/>
      <c r="N2721" s="12"/>
      <c r="O2721" s="12"/>
      <c r="P2721" s="12"/>
      <c r="Q2721" s="12"/>
      <c r="R2721" s="12"/>
      <c r="S2721" s="12"/>
      <c r="T2721" s="12"/>
      <c r="U2721" s="12"/>
      <c r="V2721" s="12"/>
      <c r="W2721" s="12"/>
      <c r="X2721" s="12"/>
      <c r="Y2721" s="12"/>
      <c r="Z2721" s="12"/>
      <c r="AA2721" s="12"/>
    </row>
    <row r="2722" ht="26.25" customHeight="1">
      <c r="A2722" s="34" t="s">
        <v>5454</v>
      </c>
      <c r="B2722" s="35" t="s">
        <v>5455</v>
      </c>
      <c r="C2722" s="36">
        <v>3.0</v>
      </c>
      <c r="D2722" s="37">
        <v>224.0</v>
      </c>
      <c r="E2722" s="37">
        <v>16.0</v>
      </c>
      <c r="F2722" s="24" t="str">
        <f t="array" ref="F2722">"https://www.google.com/maps/search/?api=1&amp;query=" &amp; A2722 &amp; "," &amp; B2722</f>
        <v>https://www.google.com/maps/search/?api=1&amp;query=-30.89866571266110,-55.54440411899890</v>
      </c>
      <c r="G2722" s="25" t="str">
        <f t="array" ref="G2722">"https://earth.google.com/web/search/" &amp; A2722 &amp; "," &amp; B2722</f>
        <v>https://earth.google.com/web/search/-30.89866571266110,-55.54440411899890</v>
      </c>
      <c r="H2722" s="12"/>
      <c r="I2722" s="12"/>
      <c r="J2722" s="12"/>
      <c r="K2722" s="12"/>
      <c r="L2722" s="12"/>
      <c r="M2722" s="12"/>
      <c r="N2722" s="12"/>
      <c r="O2722" s="12"/>
      <c r="P2722" s="12"/>
      <c r="Q2722" s="12"/>
      <c r="R2722" s="12"/>
      <c r="S2722" s="12"/>
      <c r="T2722" s="12"/>
      <c r="U2722" s="12"/>
      <c r="V2722" s="12"/>
      <c r="W2722" s="12"/>
      <c r="X2722" s="12"/>
      <c r="Y2722" s="12"/>
      <c r="Z2722" s="12"/>
      <c r="AA2722" s="12"/>
    </row>
    <row r="2723" ht="26.25" customHeight="1">
      <c r="A2723" s="28" t="s">
        <v>5456</v>
      </c>
      <c r="B2723" s="29" t="s">
        <v>5457</v>
      </c>
      <c r="C2723" s="30">
        <v>3.0</v>
      </c>
      <c r="D2723" s="31">
        <v>224.0</v>
      </c>
      <c r="E2723" s="31">
        <v>17.0</v>
      </c>
      <c r="F2723" s="32" t="str">
        <f t="array" ref="F2723">"https://www.google.com/maps/search/?api=1&amp;query=" &amp; A2723 &amp; "," &amp; B2723</f>
        <v>https://www.google.com/maps/search/?api=1&amp;query=-30.89861315598160,-55.54448788350370</v>
      </c>
      <c r="G2723" s="33" t="str">
        <f t="array" ref="G2723">"https://earth.google.com/web/search/" &amp; A2723 &amp; "," &amp; B2723</f>
        <v>https://earth.google.com/web/search/-30.89861315598160,-55.54448788350370</v>
      </c>
      <c r="H2723" s="12"/>
      <c r="I2723" s="12"/>
      <c r="J2723" s="12"/>
      <c r="K2723" s="12"/>
      <c r="L2723" s="12"/>
      <c r="M2723" s="12"/>
      <c r="N2723" s="12"/>
      <c r="O2723" s="12"/>
      <c r="P2723" s="12"/>
      <c r="Q2723" s="12"/>
      <c r="R2723" s="12"/>
      <c r="S2723" s="12"/>
      <c r="T2723" s="12"/>
      <c r="U2723" s="12"/>
      <c r="V2723" s="12"/>
      <c r="W2723" s="12"/>
      <c r="X2723" s="12"/>
      <c r="Y2723" s="12"/>
      <c r="Z2723" s="12"/>
      <c r="AA2723" s="12"/>
    </row>
    <row r="2724" ht="26.25" customHeight="1">
      <c r="A2724" s="34" t="s">
        <v>5458</v>
      </c>
      <c r="B2724" s="35" t="s">
        <v>5459</v>
      </c>
      <c r="C2724" s="36">
        <v>3.0</v>
      </c>
      <c r="D2724" s="37">
        <v>224.0</v>
      </c>
      <c r="E2724" s="37">
        <v>18.0</v>
      </c>
      <c r="F2724" s="24" t="str">
        <f t="array" ref="F2724">"https://www.google.com/maps/search/?api=1&amp;query=" &amp; A2724 &amp; "," &amp; B2724</f>
        <v>https://www.google.com/maps/search/?api=1&amp;query=-30.89856952277080,-55.54455320234820</v>
      </c>
      <c r="G2724" s="25" t="str">
        <f t="array" ref="G2724">"https://earth.google.com/web/search/" &amp; A2724 &amp; "," &amp; B2724</f>
        <v>https://earth.google.com/web/search/-30.89856952277080,-55.54455320234820</v>
      </c>
      <c r="H2724" s="12"/>
      <c r="I2724" s="12"/>
      <c r="J2724" s="12"/>
      <c r="K2724" s="12"/>
      <c r="L2724" s="12"/>
      <c r="M2724" s="12"/>
      <c r="N2724" s="12"/>
      <c r="O2724" s="12"/>
      <c r="P2724" s="12"/>
      <c r="Q2724" s="12"/>
      <c r="R2724" s="12"/>
      <c r="S2724" s="12"/>
      <c r="T2724" s="12"/>
      <c r="U2724" s="12"/>
      <c r="V2724" s="12"/>
      <c r="W2724" s="12"/>
      <c r="X2724" s="12"/>
      <c r="Y2724" s="12"/>
      <c r="Z2724" s="12"/>
      <c r="AA2724" s="12"/>
    </row>
    <row r="2725" ht="26.25" customHeight="1">
      <c r="A2725" s="28" t="s">
        <v>5460</v>
      </c>
      <c r="B2725" s="29" t="s">
        <v>5461</v>
      </c>
      <c r="C2725" s="30">
        <v>3.0</v>
      </c>
      <c r="D2725" s="31">
        <v>224.0</v>
      </c>
      <c r="E2725" s="31">
        <v>19.0</v>
      </c>
      <c r="F2725" s="32" t="str">
        <f t="array" ref="F2725">"https://www.google.com/maps/search/?api=1&amp;query=" &amp; A2725 &amp; "," &amp; B2725</f>
        <v>https://www.google.com/maps/search/?api=1&amp;query=-30.89850383520330,-55.54470418768160</v>
      </c>
      <c r="G2725" s="33" t="str">
        <f t="array" ref="G2725">"https://earth.google.com/web/search/" &amp; A2725 &amp; "," &amp; B2725</f>
        <v>https://earth.google.com/web/search/-30.89850383520330,-55.54470418768160</v>
      </c>
      <c r="H2725" s="12"/>
      <c r="I2725" s="12"/>
      <c r="J2725" s="12"/>
      <c r="K2725" s="12"/>
      <c r="L2725" s="12"/>
      <c r="M2725" s="12"/>
      <c r="N2725" s="12"/>
      <c r="O2725" s="12"/>
      <c r="P2725" s="12"/>
      <c r="Q2725" s="12"/>
      <c r="R2725" s="12"/>
      <c r="S2725" s="12"/>
      <c r="T2725" s="12"/>
      <c r="U2725" s="12"/>
      <c r="V2725" s="12"/>
      <c r="W2725" s="12"/>
      <c r="X2725" s="12"/>
      <c r="Y2725" s="12"/>
      <c r="Z2725" s="12"/>
      <c r="AA2725" s="12"/>
    </row>
    <row r="2726" ht="26.25" customHeight="1">
      <c r="A2726" s="34" t="s">
        <v>5462</v>
      </c>
      <c r="B2726" s="35" t="s">
        <v>5463</v>
      </c>
      <c r="C2726" s="36">
        <v>3.0</v>
      </c>
      <c r="D2726" s="37">
        <v>224.0</v>
      </c>
      <c r="E2726" s="37">
        <v>20.0</v>
      </c>
      <c r="F2726" s="24" t="str">
        <f t="array" ref="F2726">"https://www.google.com/maps/search/?api=1&amp;query=" &amp; A2726 &amp; "," &amp; B2726</f>
        <v>https://www.google.com/maps/search/?api=1&amp;query=-30.89843604003640,-55.54478816618070</v>
      </c>
      <c r="G2726" s="25" t="str">
        <f t="array" ref="G2726">"https://earth.google.com/web/search/" &amp; A2726 &amp; "," &amp; B2726</f>
        <v>https://earth.google.com/web/search/-30.89843604003640,-55.54478816618070</v>
      </c>
      <c r="H2726" s="12"/>
      <c r="I2726" s="12"/>
      <c r="J2726" s="12"/>
      <c r="K2726" s="12"/>
      <c r="L2726" s="12"/>
      <c r="M2726" s="12"/>
      <c r="N2726" s="12"/>
      <c r="O2726" s="12"/>
      <c r="P2726" s="12"/>
      <c r="Q2726" s="12"/>
      <c r="R2726" s="12"/>
      <c r="S2726" s="12"/>
      <c r="T2726" s="12"/>
      <c r="U2726" s="12"/>
      <c r="V2726" s="12"/>
      <c r="W2726" s="12"/>
      <c r="X2726" s="12"/>
      <c r="Y2726" s="12"/>
      <c r="Z2726" s="12"/>
      <c r="AA2726" s="12"/>
    </row>
    <row r="2727" ht="26.25" customHeight="1">
      <c r="A2727" s="28" t="s">
        <v>5464</v>
      </c>
      <c r="B2727" s="29" t="s">
        <v>5465</v>
      </c>
      <c r="C2727" s="30">
        <v>3.0</v>
      </c>
      <c r="D2727" s="31">
        <v>224.0</v>
      </c>
      <c r="E2727" s="31">
        <v>21.0</v>
      </c>
      <c r="F2727" s="32" t="str">
        <f t="array" ref="F2727">"https://www.google.com/maps/search/?api=1&amp;query=" &amp; A2727 &amp; "," &amp; B2727</f>
        <v>https://www.google.com/maps/search/?api=1&amp;query=-30.89839016434660,-55.54492079736550</v>
      </c>
      <c r="G2727" s="33" t="str">
        <f t="array" ref="G2727">"https://earth.google.com/web/search/" &amp; A2727 &amp; "," &amp; B2727</f>
        <v>https://earth.google.com/web/search/-30.89839016434660,-55.54492079736550</v>
      </c>
      <c r="H2727" s="12"/>
      <c r="I2727" s="12"/>
      <c r="J2727" s="12"/>
      <c r="K2727" s="12"/>
      <c r="L2727" s="12"/>
      <c r="M2727" s="12"/>
      <c r="N2727" s="12"/>
      <c r="O2727" s="12"/>
      <c r="P2727" s="12"/>
      <c r="Q2727" s="12"/>
      <c r="R2727" s="12"/>
      <c r="S2727" s="12"/>
      <c r="T2727" s="12"/>
      <c r="U2727" s="12"/>
      <c r="V2727" s="12"/>
      <c r="W2727" s="12"/>
      <c r="X2727" s="12"/>
      <c r="Y2727" s="12"/>
      <c r="Z2727" s="12"/>
      <c r="AA2727" s="12"/>
    </row>
    <row r="2728" ht="26.25" customHeight="1">
      <c r="A2728" s="34" t="s">
        <v>5466</v>
      </c>
      <c r="B2728" s="35" t="s">
        <v>5467</v>
      </c>
      <c r="C2728" s="36">
        <v>3.0</v>
      </c>
      <c r="D2728" s="37">
        <v>224.0</v>
      </c>
      <c r="E2728" s="37">
        <v>22.0</v>
      </c>
      <c r="F2728" s="24" t="str">
        <f t="array" ref="F2728">"https://www.google.com/maps/search/?api=1&amp;query=" &amp; A2728 &amp; "," &amp; B2728</f>
        <v>https://www.google.com/maps/search/?api=1&amp;query=-30.89839749761980,-55.54504667377540</v>
      </c>
      <c r="G2728" s="25" t="str">
        <f t="array" ref="G2728">"https://earth.google.com/web/search/" &amp; A2728 &amp; "," &amp; B2728</f>
        <v>https://earth.google.com/web/search/-30.89839749761980,-55.54504667377540</v>
      </c>
      <c r="H2728" s="12"/>
      <c r="I2728" s="12"/>
      <c r="J2728" s="12"/>
      <c r="K2728" s="12"/>
      <c r="L2728" s="12"/>
      <c r="M2728" s="12"/>
      <c r="N2728" s="12"/>
      <c r="O2728" s="12"/>
      <c r="P2728" s="12"/>
      <c r="Q2728" s="12"/>
      <c r="R2728" s="12"/>
      <c r="S2728" s="12"/>
      <c r="T2728" s="12"/>
      <c r="U2728" s="12"/>
      <c r="V2728" s="12"/>
      <c r="W2728" s="12"/>
      <c r="X2728" s="12"/>
      <c r="Y2728" s="12"/>
      <c r="Z2728" s="12"/>
      <c r="AA2728" s="12"/>
    </row>
    <row r="2729" ht="26.25" customHeight="1">
      <c r="A2729" s="28" t="s">
        <v>5468</v>
      </c>
      <c r="B2729" s="29" t="s">
        <v>5469</v>
      </c>
      <c r="C2729" s="30">
        <v>3.0</v>
      </c>
      <c r="D2729" s="31">
        <v>224.0</v>
      </c>
      <c r="E2729" s="31">
        <v>23.0</v>
      </c>
      <c r="F2729" s="32" t="str">
        <f t="array" ref="F2729">"https://www.google.com/maps/search/?api=1&amp;query=" &amp; A2729 &amp; "," &amp; B2729</f>
        <v>https://www.google.com/maps/search/?api=1&amp;query=-3.08984833957337,-55.54511165578980</v>
      </c>
      <c r="G2729" s="33" t="str">
        <f t="array" ref="G2729">"https://earth.google.com/web/search/" &amp; A2729 &amp; "," &amp; B2729</f>
        <v>https://earth.google.com/web/search/-3.08984833957337,-55.54511165578980</v>
      </c>
      <c r="H2729" s="12"/>
      <c r="I2729" s="12"/>
      <c r="J2729" s="12"/>
      <c r="K2729" s="12"/>
      <c r="L2729" s="12"/>
      <c r="M2729" s="12"/>
      <c r="N2729" s="12"/>
      <c r="O2729" s="12"/>
      <c r="P2729" s="12"/>
      <c r="Q2729" s="12"/>
      <c r="R2729" s="12"/>
      <c r="S2729" s="12"/>
      <c r="T2729" s="12"/>
      <c r="U2729" s="12"/>
      <c r="V2729" s="12"/>
      <c r="W2729" s="12"/>
      <c r="X2729" s="12"/>
      <c r="Y2729" s="12"/>
      <c r="Z2729" s="12"/>
      <c r="AA2729" s="12"/>
    </row>
    <row r="2730" ht="26.25" customHeight="1">
      <c r="A2730" s="34" t="s">
        <v>5470</v>
      </c>
      <c r="B2730" s="35" t="s">
        <v>5471</v>
      </c>
      <c r="C2730" s="36">
        <v>3.0</v>
      </c>
      <c r="D2730" s="37">
        <v>224.0</v>
      </c>
      <c r="E2730" s="37">
        <v>24.0</v>
      </c>
      <c r="F2730" s="24" t="str">
        <f t="array" ref="F2730">"https://www.google.com/maps/search/?api=1&amp;query=" &amp; A2730 &amp; "," &amp; B2730</f>
        <v>https://www.google.com/maps/search/?api=1&amp;query=-30.89875231449060,-55.54528780117770</v>
      </c>
      <c r="G2730" s="25" t="str">
        <f t="array" ref="G2730">"https://earth.google.com/web/search/" &amp; A2730 &amp; "," &amp; B2730</f>
        <v>https://earth.google.com/web/search/-30.89875231449060,-55.54528780117770</v>
      </c>
      <c r="H2730" s="12"/>
      <c r="I2730" s="12"/>
      <c r="J2730" s="12"/>
      <c r="K2730" s="12"/>
      <c r="L2730" s="12"/>
      <c r="M2730" s="12"/>
      <c r="N2730" s="12"/>
      <c r="O2730" s="12"/>
      <c r="P2730" s="12"/>
      <c r="Q2730" s="12"/>
      <c r="R2730" s="12"/>
      <c r="S2730" s="12"/>
      <c r="T2730" s="12"/>
      <c r="U2730" s="12"/>
      <c r="V2730" s="12"/>
      <c r="W2730" s="12"/>
      <c r="X2730" s="12"/>
      <c r="Y2730" s="12"/>
      <c r="Z2730" s="12"/>
      <c r="AA2730" s="12"/>
    </row>
    <row r="2731" ht="26.25" customHeight="1">
      <c r="A2731" s="28" t="s">
        <v>5472</v>
      </c>
      <c r="B2731" s="29" t="s">
        <v>5473</v>
      </c>
      <c r="C2731" s="30">
        <v>3.0</v>
      </c>
      <c r="D2731" s="31">
        <v>224.0</v>
      </c>
      <c r="E2731" s="31">
        <v>25.0</v>
      </c>
      <c r="F2731" s="32" t="str">
        <f t="array" ref="F2731">"https://www.google.com/maps/search/?api=1&amp;query=" &amp; A2731 &amp; "," &amp; B2731</f>
        <v>https://www.google.com/maps/search/?api=1&amp;query=-30.89882038434390,-55.54533793637280</v>
      </c>
      <c r="G2731" s="33" t="str">
        <f t="array" ref="G2731">"https://earth.google.com/web/search/" &amp; A2731 &amp; "," &amp; B2731</f>
        <v>https://earth.google.com/web/search/-30.89882038434390,-55.54533793637280</v>
      </c>
      <c r="H2731" s="12"/>
      <c r="I2731" s="12"/>
      <c r="J2731" s="12"/>
      <c r="K2731" s="12"/>
      <c r="L2731" s="12"/>
      <c r="M2731" s="12"/>
      <c r="N2731" s="12"/>
      <c r="O2731" s="12"/>
      <c r="P2731" s="12"/>
      <c r="Q2731" s="12"/>
      <c r="R2731" s="12"/>
      <c r="S2731" s="12"/>
      <c r="T2731" s="12"/>
      <c r="U2731" s="12"/>
      <c r="V2731" s="12"/>
      <c r="W2731" s="12"/>
      <c r="X2731" s="12"/>
      <c r="Y2731" s="12"/>
      <c r="Z2731" s="12"/>
      <c r="AA2731" s="12"/>
    </row>
    <row r="2732" ht="26.25" customHeight="1">
      <c r="A2732" s="34" t="s">
        <v>5474</v>
      </c>
      <c r="B2732" s="35" t="s">
        <v>5475</v>
      </c>
      <c r="C2732" s="36">
        <v>3.0</v>
      </c>
      <c r="D2732" s="37">
        <v>224.0</v>
      </c>
      <c r="E2732" s="37">
        <v>26.0</v>
      </c>
      <c r="F2732" s="24" t="str">
        <f t="array" ref="F2732">"https://www.google.com/maps/search/?api=1&amp;query=" &amp; A2732 &amp; "," &amp; B2732</f>
        <v>https://www.google.com/maps/search/?api=1&amp;query=-30.89888919111760,-55.54537380341560</v>
      </c>
      <c r="G2732" s="25" t="str">
        <f t="array" ref="G2732">"https://earth.google.com/web/search/" &amp; A2732 &amp; "," &amp; B2732</f>
        <v>https://earth.google.com/web/search/-30.89888919111760,-55.54537380341560</v>
      </c>
      <c r="H2732" s="12"/>
      <c r="I2732" s="12"/>
      <c r="J2732" s="12"/>
      <c r="K2732" s="12"/>
      <c r="L2732" s="12"/>
      <c r="M2732" s="12"/>
      <c r="N2732" s="12"/>
      <c r="O2732" s="12"/>
      <c r="P2732" s="12"/>
      <c r="Q2732" s="12"/>
      <c r="R2732" s="12"/>
      <c r="S2732" s="12"/>
      <c r="T2732" s="12"/>
      <c r="U2732" s="12"/>
      <c r="V2732" s="12"/>
      <c r="W2732" s="12"/>
      <c r="X2732" s="12"/>
      <c r="Y2732" s="12"/>
      <c r="Z2732" s="12"/>
      <c r="AA2732" s="12"/>
    </row>
    <row r="2733" ht="26.25" customHeight="1">
      <c r="A2733" s="28" t="s">
        <v>5476</v>
      </c>
      <c r="B2733" s="29" t="s">
        <v>5477</v>
      </c>
      <c r="C2733" s="30">
        <v>3.0</v>
      </c>
      <c r="D2733" s="31">
        <v>224.0</v>
      </c>
      <c r="E2733" s="31">
        <v>27.0</v>
      </c>
      <c r="F2733" s="32" t="str">
        <f t="array" ref="F2733">"https://www.google.com/maps/search/?api=1&amp;query=" &amp; A2733 &amp; "," &amp; B2733</f>
        <v>https://www.google.com/maps/search/?api=1&amp;query=-30.89894812433900,-55.54542543993910</v>
      </c>
      <c r="G2733" s="33" t="str">
        <f t="array" ref="G2733">"https://earth.google.com/web/search/" &amp; A2733 &amp; "," &amp; B2733</f>
        <v>https://earth.google.com/web/search/-30.89894812433900,-55.54542543993910</v>
      </c>
      <c r="H2733" s="12"/>
      <c r="I2733" s="12"/>
      <c r="J2733" s="12"/>
      <c r="K2733" s="12"/>
      <c r="L2733" s="12"/>
      <c r="M2733" s="12"/>
      <c r="N2733" s="12"/>
      <c r="O2733" s="12"/>
      <c r="P2733" s="12"/>
      <c r="Q2733" s="12"/>
      <c r="R2733" s="12"/>
      <c r="S2733" s="12"/>
      <c r="T2733" s="12"/>
      <c r="U2733" s="12"/>
      <c r="V2733" s="12"/>
      <c r="W2733" s="12"/>
      <c r="X2733" s="12"/>
      <c r="Y2733" s="12"/>
      <c r="Z2733" s="12"/>
      <c r="AA2733" s="12"/>
    </row>
    <row r="2734" ht="26.25" customHeight="1">
      <c r="A2734" s="34" t="s">
        <v>5478</v>
      </c>
      <c r="B2734" s="35" t="s">
        <v>5479</v>
      </c>
      <c r="C2734" s="36">
        <v>3.0</v>
      </c>
      <c r="D2734" s="37">
        <v>224.0</v>
      </c>
      <c r="E2734" s="37">
        <v>28.0</v>
      </c>
      <c r="F2734" s="24" t="str">
        <f t="array" ref="F2734">"https://www.google.com/maps/search/?api=1&amp;query=" &amp; A2734 &amp; "," &amp; B2734</f>
        <v>https://www.google.com/maps/search/?api=1&amp;query=-3.08990043959975,-55.54546639612270</v>
      </c>
      <c r="G2734" s="25" t="str">
        <f t="array" ref="G2734">"https://earth.google.com/web/search/" &amp; A2734 &amp; "," &amp; B2734</f>
        <v>https://earth.google.com/web/search/-3.08990043959975,-55.54546639612270</v>
      </c>
      <c r="H2734" s="12"/>
      <c r="I2734" s="12"/>
      <c r="J2734" s="12"/>
      <c r="K2734" s="12"/>
      <c r="L2734" s="12"/>
      <c r="M2734" s="12"/>
      <c r="N2734" s="12"/>
      <c r="O2734" s="12"/>
      <c r="P2734" s="12"/>
      <c r="Q2734" s="12"/>
      <c r="R2734" s="12"/>
      <c r="S2734" s="12"/>
      <c r="T2734" s="12"/>
      <c r="U2734" s="12"/>
      <c r="V2734" s="12"/>
      <c r="W2734" s="12"/>
      <c r="X2734" s="12"/>
      <c r="Y2734" s="12"/>
      <c r="Z2734" s="12"/>
      <c r="AA2734" s="12"/>
    </row>
    <row r="2735" ht="26.25" customHeight="1">
      <c r="A2735" s="28" t="s">
        <v>5480</v>
      </c>
      <c r="B2735" s="29" t="s">
        <v>5481</v>
      </c>
      <c r="C2735" s="30">
        <v>3.0</v>
      </c>
      <c r="D2735" s="31">
        <v>244.0</v>
      </c>
      <c r="E2735" s="31">
        <v>1.0</v>
      </c>
      <c r="F2735" s="32" t="str">
        <f t="array" ref="F2735">"https://www.google.com/maps/search/?api=1&amp;query=" &amp; A2735 &amp; "," &amp; B2735</f>
        <v>https://www.google.com/maps/search/?api=1&amp;query=-30.90014943623640,-55.54502655858750</v>
      </c>
      <c r="G2735" s="33" t="str">
        <f t="array" ref="G2735">"https://earth.google.com/web/search/" &amp; A2735 &amp; "," &amp; B2735</f>
        <v>https://earth.google.com/web/search/-30.90014943623640,-55.54502655858750</v>
      </c>
      <c r="H2735" s="12"/>
      <c r="I2735" s="12"/>
      <c r="J2735" s="12"/>
      <c r="K2735" s="12"/>
      <c r="L2735" s="12"/>
      <c r="M2735" s="12"/>
      <c r="N2735" s="12"/>
      <c r="O2735" s="12"/>
      <c r="P2735" s="12"/>
      <c r="Q2735" s="12"/>
      <c r="R2735" s="12"/>
      <c r="S2735" s="12"/>
      <c r="T2735" s="12"/>
      <c r="U2735" s="12"/>
      <c r="V2735" s="12"/>
      <c r="W2735" s="12"/>
      <c r="X2735" s="12"/>
      <c r="Y2735" s="12"/>
      <c r="Z2735" s="12"/>
      <c r="AA2735" s="12"/>
    </row>
    <row r="2736" ht="26.25" customHeight="1">
      <c r="A2736" s="34" t="s">
        <v>5482</v>
      </c>
      <c r="B2736" s="35" t="s">
        <v>5483</v>
      </c>
      <c r="C2736" s="36">
        <v>3.0</v>
      </c>
      <c r="D2736" s="37">
        <v>244.0</v>
      </c>
      <c r="E2736" s="37">
        <v>2.0</v>
      </c>
      <c r="F2736" s="24" t="str">
        <f t="array" ref="F2736">"https://www.google.com/maps/search/?api=1&amp;query=" &amp; A2736 &amp; "," &amp; B2736</f>
        <v>https://www.google.com/maps/search/?api=1&amp;query=-30.90005104662190,-55.54496721413470</v>
      </c>
      <c r="G2736" s="25" t="str">
        <f t="array" ref="G2736">"https://earth.google.com/web/search/" &amp; A2736 &amp; "," &amp; B2736</f>
        <v>https://earth.google.com/web/search/-30.90005104662190,-55.54496721413470</v>
      </c>
      <c r="H2736" s="12"/>
      <c r="I2736" s="12"/>
      <c r="J2736" s="12"/>
      <c r="K2736" s="12"/>
      <c r="L2736" s="12"/>
      <c r="M2736" s="12"/>
      <c r="N2736" s="12"/>
      <c r="O2736" s="12"/>
      <c r="P2736" s="12"/>
      <c r="Q2736" s="12"/>
      <c r="R2736" s="12"/>
      <c r="S2736" s="12"/>
      <c r="T2736" s="12"/>
      <c r="U2736" s="12"/>
      <c r="V2736" s="12"/>
      <c r="W2736" s="12"/>
      <c r="X2736" s="12"/>
      <c r="Y2736" s="12"/>
      <c r="Z2736" s="12"/>
      <c r="AA2736" s="12"/>
    </row>
    <row r="2737" ht="26.25" customHeight="1">
      <c r="A2737" s="28" t="s">
        <v>5484</v>
      </c>
      <c r="B2737" s="29" t="s">
        <v>5485</v>
      </c>
      <c r="C2737" s="30">
        <v>3.0</v>
      </c>
      <c r="D2737" s="31">
        <v>244.0</v>
      </c>
      <c r="E2737" s="31">
        <v>3.0</v>
      </c>
      <c r="F2737" s="32" t="str">
        <f t="array" ref="F2737">"https://www.google.com/maps/search/?api=1&amp;query=" &amp; A2737 &amp; "," &amp; B2737</f>
        <v>https://www.google.com/maps/search/?api=1&amp;query=-30.89987817898440,-55.54484102836630</v>
      </c>
      <c r="G2737" s="33" t="str">
        <f t="array" ref="G2737">"https://earth.google.com/web/search/" &amp; A2737 &amp; "," &amp; B2737</f>
        <v>https://earth.google.com/web/search/-30.89987817898440,-55.54484102836630</v>
      </c>
      <c r="H2737" s="12"/>
      <c r="I2737" s="12"/>
      <c r="J2737" s="12"/>
      <c r="K2737" s="12"/>
      <c r="L2737" s="12"/>
      <c r="M2737" s="12"/>
      <c r="N2737" s="12"/>
      <c r="O2737" s="12"/>
      <c r="P2737" s="12"/>
      <c r="Q2737" s="12"/>
      <c r="R2737" s="12"/>
      <c r="S2737" s="12"/>
      <c r="T2737" s="12"/>
      <c r="U2737" s="12"/>
      <c r="V2737" s="12"/>
      <c r="W2737" s="12"/>
      <c r="X2737" s="12"/>
      <c r="Y2737" s="12"/>
      <c r="Z2737" s="12"/>
      <c r="AA2737" s="12"/>
    </row>
    <row r="2738" ht="26.25" customHeight="1">
      <c r="A2738" s="34" t="s">
        <v>5486</v>
      </c>
      <c r="B2738" s="35" t="s">
        <v>5487</v>
      </c>
      <c r="C2738" s="36">
        <v>3.0</v>
      </c>
      <c r="D2738" s="37">
        <v>244.0</v>
      </c>
      <c r="E2738" s="37">
        <v>4.0</v>
      </c>
      <c r="F2738" s="24" t="str">
        <f t="array" ref="F2738">"https://www.google.com/maps/search/?api=1&amp;query=" &amp; A2738 &amp; "," &amp; B2738</f>
        <v>https://www.google.com/maps/search/?api=1&amp;query=-30.89980870205470,-55.54478240181520</v>
      </c>
      <c r="G2738" s="25" t="str">
        <f t="array" ref="G2738">"https://earth.google.com/web/search/" &amp; A2738 &amp; "," &amp; B2738</f>
        <v>https://earth.google.com/web/search/-30.89980870205470,-55.54478240181520</v>
      </c>
      <c r="H2738" s="12"/>
      <c r="I2738" s="12"/>
      <c r="J2738" s="12"/>
      <c r="K2738" s="12"/>
      <c r="L2738" s="12"/>
      <c r="M2738" s="12"/>
      <c r="N2738" s="12"/>
      <c r="O2738" s="12"/>
      <c r="P2738" s="12"/>
      <c r="Q2738" s="12"/>
      <c r="R2738" s="12"/>
      <c r="S2738" s="12"/>
      <c r="T2738" s="12"/>
      <c r="U2738" s="12"/>
      <c r="V2738" s="12"/>
      <c r="W2738" s="12"/>
      <c r="X2738" s="12"/>
      <c r="Y2738" s="12"/>
      <c r="Z2738" s="12"/>
      <c r="AA2738" s="12"/>
    </row>
    <row r="2739" ht="26.25" customHeight="1">
      <c r="A2739" s="28" t="s">
        <v>5488</v>
      </c>
      <c r="B2739" s="29" t="s">
        <v>5489</v>
      </c>
      <c r="C2739" s="30">
        <v>3.0</v>
      </c>
      <c r="D2739" s="31">
        <v>244.0</v>
      </c>
      <c r="E2739" s="31">
        <v>5.0</v>
      </c>
      <c r="F2739" s="32" t="str">
        <f t="array" ref="F2739">"https://www.google.com/maps/search/?api=1&amp;query=" &amp; A2739 &amp; "," &amp; B2739</f>
        <v>https://www.google.com/maps/search/?api=1&amp;query=-30.89973415531280,-55.54472557524980</v>
      </c>
      <c r="G2739" s="33" t="str">
        <f t="array" ref="G2739">"https://earth.google.com/web/search/" &amp; A2739 &amp; "," &amp; B2739</f>
        <v>https://earth.google.com/web/search/-30.89973415531280,-55.54472557524980</v>
      </c>
      <c r="H2739" s="12"/>
      <c r="I2739" s="12"/>
      <c r="J2739" s="12"/>
      <c r="K2739" s="12"/>
      <c r="L2739" s="12"/>
      <c r="M2739" s="12"/>
      <c r="N2739" s="12"/>
      <c r="O2739" s="12"/>
      <c r="P2739" s="12"/>
      <c r="Q2739" s="12"/>
      <c r="R2739" s="12"/>
      <c r="S2739" s="12"/>
      <c r="T2739" s="12"/>
      <c r="U2739" s="12"/>
      <c r="V2739" s="12"/>
      <c r="W2739" s="12"/>
      <c r="X2739" s="12"/>
      <c r="Y2739" s="12"/>
      <c r="Z2739" s="12"/>
      <c r="AA2739" s="12"/>
    </row>
    <row r="2740" ht="26.25" customHeight="1">
      <c r="A2740" s="34" t="s">
        <v>5490</v>
      </c>
      <c r="B2740" s="35" t="s">
        <v>5491</v>
      </c>
      <c r="C2740" s="36">
        <v>3.0</v>
      </c>
      <c r="D2740" s="37">
        <v>244.0</v>
      </c>
      <c r="E2740" s="37">
        <v>6.0</v>
      </c>
      <c r="F2740" s="24" t="str">
        <f t="array" ref="F2740">"https://www.google.com/maps/search/?api=1&amp;query=" &amp; A2740 &amp; "," &amp; B2740</f>
        <v>https://www.google.com/maps/search/?api=1&amp;query=-30.89970512895140,-55.54447263805830</v>
      </c>
      <c r="G2740" s="25" t="str">
        <f t="array" ref="G2740">"https://earth.google.com/web/search/" &amp; A2740 &amp; "," &amp; B2740</f>
        <v>https://earth.google.com/web/search/-30.89970512895140,-55.54447263805830</v>
      </c>
      <c r="H2740" s="12"/>
      <c r="I2740" s="12"/>
      <c r="J2740" s="12"/>
      <c r="K2740" s="12"/>
      <c r="L2740" s="12"/>
      <c r="M2740" s="12"/>
      <c r="N2740" s="12"/>
      <c r="O2740" s="12"/>
      <c r="P2740" s="12"/>
      <c r="Q2740" s="12"/>
      <c r="R2740" s="12"/>
      <c r="S2740" s="12"/>
      <c r="T2740" s="12"/>
      <c r="U2740" s="12"/>
      <c r="V2740" s="12"/>
      <c r="W2740" s="12"/>
      <c r="X2740" s="12"/>
      <c r="Y2740" s="12"/>
      <c r="Z2740" s="12"/>
      <c r="AA2740" s="12"/>
    </row>
    <row r="2741" ht="26.25" customHeight="1">
      <c r="A2741" s="28" t="s">
        <v>5492</v>
      </c>
      <c r="B2741" s="29" t="s">
        <v>5493</v>
      </c>
      <c r="C2741" s="30">
        <v>3.0</v>
      </c>
      <c r="D2741" s="31">
        <v>244.0</v>
      </c>
      <c r="E2741" s="31">
        <v>7.0</v>
      </c>
      <c r="F2741" s="32" t="str">
        <f t="array" ref="F2741">"https://www.google.com/maps/search/?api=1&amp;query=" &amp; A2741 &amp; "," &amp; B2741</f>
        <v>https://www.google.com/maps/search/?api=1&amp;query=-30.89976147579360,-55.54433854336830</v>
      </c>
      <c r="G2741" s="33" t="str">
        <f t="array" ref="G2741">"https://earth.google.com/web/search/" &amp; A2741 &amp; "," &amp; B2741</f>
        <v>https://earth.google.com/web/search/-30.89976147579360,-55.54433854336830</v>
      </c>
      <c r="H2741" s="12"/>
      <c r="I2741" s="12"/>
      <c r="J2741" s="12"/>
      <c r="K2741" s="12"/>
      <c r="L2741" s="12"/>
      <c r="M2741" s="12"/>
      <c r="N2741" s="12"/>
      <c r="O2741" s="12"/>
      <c r="P2741" s="12"/>
      <c r="Q2741" s="12"/>
      <c r="R2741" s="12"/>
      <c r="S2741" s="12"/>
      <c r="T2741" s="12"/>
      <c r="U2741" s="12"/>
      <c r="V2741" s="12"/>
      <c r="W2741" s="12"/>
      <c r="X2741" s="12"/>
      <c r="Y2741" s="12"/>
      <c r="Z2741" s="12"/>
      <c r="AA2741" s="12"/>
    </row>
    <row r="2742" ht="26.25" customHeight="1">
      <c r="A2742" s="34" t="s">
        <v>5494</v>
      </c>
      <c r="B2742" s="35" t="s">
        <v>5495</v>
      </c>
      <c r="C2742" s="36">
        <v>3.0</v>
      </c>
      <c r="D2742" s="37">
        <v>244.0</v>
      </c>
      <c r="E2742" s="37">
        <v>8.0</v>
      </c>
      <c r="F2742" s="24" t="str">
        <f t="array" ref="F2742">"https://www.google.com/maps/search/?api=1&amp;query=" &amp; A2742 &amp; "," &amp; B2742</f>
        <v>https://www.google.com/maps/search/?api=1&amp;query=-30.89982207993760,-55.54423777384590</v>
      </c>
      <c r="G2742" s="25" t="str">
        <f t="array" ref="G2742">"https://earth.google.com/web/search/" &amp; A2742 &amp; "," &amp; B2742</f>
        <v>https://earth.google.com/web/search/-30.89982207993760,-55.54423777384590</v>
      </c>
      <c r="H2742" s="12"/>
      <c r="I2742" s="12"/>
      <c r="J2742" s="12"/>
      <c r="K2742" s="12"/>
      <c r="L2742" s="12"/>
      <c r="M2742" s="12"/>
      <c r="N2742" s="12"/>
      <c r="O2742" s="12"/>
      <c r="P2742" s="12"/>
      <c r="Q2742" s="12"/>
      <c r="R2742" s="12"/>
      <c r="S2742" s="12"/>
      <c r="T2742" s="12"/>
      <c r="U2742" s="12"/>
      <c r="V2742" s="12"/>
      <c r="W2742" s="12"/>
      <c r="X2742" s="12"/>
      <c r="Y2742" s="12"/>
      <c r="Z2742" s="12"/>
      <c r="AA2742" s="12"/>
    </row>
    <row r="2743" ht="26.25" customHeight="1">
      <c r="A2743" s="28" t="s">
        <v>5496</v>
      </c>
      <c r="B2743" s="29" t="s">
        <v>5497</v>
      </c>
      <c r="C2743" s="30">
        <v>3.0</v>
      </c>
      <c r="D2743" s="31">
        <v>244.0</v>
      </c>
      <c r="E2743" s="31">
        <v>9.0</v>
      </c>
      <c r="F2743" s="32" t="str">
        <f t="array" ref="F2743">"https://www.google.com/maps/search/?api=1&amp;query=" &amp; A2743 &amp; "," &amp; B2743</f>
        <v>https://www.google.com/maps/search/?api=1&amp;query=-30.89985704649940,-55.54416067750290</v>
      </c>
      <c r="G2743" s="33" t="str">
        <f t="array" ref="G2743">"https://earth.google.com/web/search/" &amp; A2743 &amp; "," &amp; B2743</f>
        <v>https://earth.google.com/web/search/-30.89985704649940,-55.54416067750290</v>
      </c>
      <c r="H2743" s="12"/>
      <c r="I2743" s="12"/>
      <c r="J2743" s="12"/>
      <c r="K2743" s="12"/>
      <c r="L2743" s="12"/>
      <c r="M2743" s="12"/>
      <c r="N2743" s="12"/>
      <c r="O2743" s="12"/>
      <c r="P2743" s="12"/>
      <c r="Q2743" s="12"/>
      <c r="R2743" s="12"/>
      <c r="S2743" s="12"/>
      <c r="T2743" s="12"/>
      <c r="U2743" s="12"/>
      <c r="V2743" s="12"/>
      <c r="W2743" s="12"/>
      <c r="X2743" s="12"/>
      <c r="Y2743" s="12"/>
      <c r="Z2743" s="12"/>
      <c r="AA2743" s="12"/>
    </row>
    <row r="2744" ht="26.25" customHeight="1">
      <c r="A2744" s="34" t="s">
        <v>5498</v>
      </c>
      <c r="B2744" s="35" t="s">
        <v>5499</v>
      </c>
      <c r="C2744" s="36">
        <v>3.0</v>
      </c>
      <c r="D2744" s="37">
        <v>244.0</v>
      </c>
      <c r="E2744" s="37">
        <v>10.0</v>
      </c>
      <c r="F2744" s="24" t="str">
        <f t="array" ref="F2744">"https://www.google.com/maps/search/?api=1&amp;query=" &amp; A2744 &amp; "," &amp; B2744</f>
        <v>https://www.google.com/maps/search/?api=1&amp;query=-3.09000088583824,-55.54391183356270</v>
      </c>
      <c r="G2744" s="25" t="str">
        <f t="array" ref="G2744">"https://earth.google.com/web/search/" &amp; A2744 &amp; "," &amp; B2744</f>
        <v>https://earth.google.com/web/search/-3.09000088583824,-55.54391183356270</v>
      </c>
      <c r="H2744" s="12"/>
      <c r="I2744" s="12"/>
      <c r="J2744" s="12"/>
      <c r="K2744" s="12"/>
      <c r="L2744" s="12"/>
      <c r="M2744" s="12"/>
      <c r="N2744" s="12"/>
      <c r="O2744" s="12"/>
      <c r="P2744" s="12"/>
      <c r="Q2744" s="12"/>
      <c r="R2744" s="12"/>
      <c r="S2744" s="12"/>
      <c r="T2744" s="12"/>
      <c r="U2744" s="12"/>
      <c r="V2744" s="12"/>
      <c r="W2744" s="12"/>
      <c r="X2744" s="12"/>
      <c r="Y2744" s="12"/>
      <c r="Z2744" s="12"/>
      <c r="AA2744" s="12"/>
    </row>
    <row r="2745" ht="26.25" customHeight="1">
      <c r="A2745" s="28" t="s">
        <v>5500</v>
      </c>
      <c r="B2745" s="29" t="s">
        <v>5501</v>
      </c>
      <c r="C2745" s="30">
        <v>3.0</v>
      </c>
      <c r="D2745" s="31">
        <v>244.0</v>
      </c>
      <c r="E2745" s="31">
        <v>11.0</v>
      </c>
      <c r="F2745" s="32" t="str">
        <f t="array" ref="F2745">"https://www.google.com/maps/search/?api=1&amp;query=" &amp; A2745 &amp; "," &amp; B2745</f>
        <v>https://www.google.com/maps/search/?api=1&amp;query=-3.09005172632606,-5.55441727687238</v>
      </c>
      <c r="G2745" s="33" t="str">
        <f t="array" ref="G2745">"https://earth.google.com/web/search/" &amp; A2745 &amp; "," &amp; B2745</f>
        <v>https://earth.google.com/web/search/-3.09005172632606,-5.55441727687238</v>
      </c>
      <c r="H2745" s="12"/>
      <c r="I2745" s="12"/>
      <c r="J2745" s="12"/>
      <c r="K2745" s="12"/>
      <c r="L2745" s="12"/>
      <c r="M2745" s="12"/>
      <c r="N2745" s="12"/>
      <c r="O2745" s="12"/>
      <c r="P2745" s="12"/>
      <c r="Q2745" s="12"/>
      <c r="R2745" s="12"/>
      <c r="S2745" s="12"/>
      <c r="T2745" s="12"/>
      <c r="U2745" s="12"/>
      <c r="V2745" s="12"/>
      <c r="W2745" s="12"/>
      <c r="X2745" s="12"/>
      <c r="Y2745" s="12"/>
      <c r="Z2745" s="12"/>
      <c r="AA2745" s="12"/>
    </row>
    <row r="2746" ht="26.25" customHeight="1">
      <c r="A2746" s="34" t="s">
        <v>5502</v>
      </c>
      <c r="B2746" s="35" t="s">
        <v>5503</v>
      </c>
      <c r="C2746" s="36">
        <v>3.0</v>
      </c>
      <c r="D2746" s="37">
        <v>244.0</v>
      </c>
      <c r="E2746" s="37">
        <v>12.0</v>
      </c>
      <c r="F2746" s="24" t="str">
        <f t="array" ref="F2746">"https://www.google.com/maps/search/?api=1&amp;query=" &amp; A2746 &amp; "," &amp; B2746</f>
        <v>https://www.google.com/maps/search/?api=1&amp;query=-30.90058209715710,-55.54421975204100</v>
      </c>
      <c r="G2746" s="25" t="str">
        <f t="array" ref="G2746">"https://earth.google.com/web/search/" &amp; A2746 &amp; "," &amp; B2746</f>
        <v>https://earth.google.com/web/search/-30.90058209715710,-55.54421975204100</v>
      </c>
      <c r="H2746" s="12"/>
      <c r="I2746" s="12"/>
      <c r="J2746" s="12"/>
      <c r="K2746" s="12"/>
      <c r="L2746" s="12"/>
      <c r="M2746" s="12"/>
      <c r="N2746" s="12"/>
      <c r="O2746" s="12"/>
      <c r="P2746" s="12"/>
      <c r="Q2746" s="12"/>
      <c r="R2746" s="12"/>
      <c r="S2746" s="12"/>
      <c r="T2746" s="12"/>
      <c r="U2746" s="12"/>
      <c r="V2746" s="12"/>
      <c r="W2746" s="12"/>
      <c r="X2746" s="12"/>
      <c r="Y2746" s="12"/>
      <c r="Z2746" s="12"/>
      <c r="AA2746" s="12"/>
    </row>
    <row r="2747" ht="26.25" customHeight="1">
      <c r="A2747" s="28" t="s">
        <v>5504</v>
      </c>
      <c r="B2747" s="29" t="s">
        <v>5505</v>
      </c>
      <c r="C2747" s="30">
        <v>3.0</v>
      </c>
      <c r="D2747" s="31">
        <v>244.0</v>
      </c>
      <c r="E2747" s="31">
        <v>13.0</v>
      </c>
      <c r="F2747" s="32" t="str">
        <f t="array" ref="F2747">"https://www.google.com/maps/search/?api=1&amp;query=" &amp; A2747 &amp; "," &amp; B2747</f>
        <v>https://www.google.com/maps/search/?api=1&amp;query=-30.90060940581190,-55.54426783574840</v>
      </c>
      <c r="G2747" s="33" t="str">
        <f t="array" ref="G2747">"https://earth.google.com/web/search/" &amp; A2747 &amp; "," &amp; B2747</f>
        <v>https://earth.google.com/web/search/-30.90060940581190,-55.54426783574840</v>
      </c>
      <c r="H2747" s="12"/>
      <c r="I2747" s="12"/>
      <c r="J2747" s="12"/>
      <c r="K2747" s="12"/>
      <c r="L2747" s="12"/>
      <c r="M2747" s="12"/>
      <c r="N2747" s="12"/>
      <c r="O2747" s="12"/>
      <c r="P2747" s="12"/>
      <c r="Q2747" s="12"/>
      <c r="R2747" s="12"/>
      <c r="S2747" s="12"/>
      <c r="T2747" s="12"/>
      <c r="U2747" s="12"/>
      <c r="V2747" s="12"/>
      <c r="W2747" s="12"/>
      <c r="X2747" s="12"/>
      <c r="Y2747" s="12"/>
      <c r="Z2747" s="12"/>
      <c r="AA2747" s="12"/>
    </row>
    <row r="2748" ht="26.25" customHeight="1">
      <c r="A2748" s="34" t="s">
        <v>5506</v>
      </c>
      <c r="B2748" s="35" t="s">
        <v>5507</v>
      </c>
      <c r="C2748" s="36">
        <v>3.0</v>
      </c>
      <c r="D2748" s="37">
        <v>244.0</v>
      </c>
      <c r="E2748" s="37">
        <v>14.0</v>
      </c>
      <c r="F2748" s="24" t="str">
        <f t="array" ref="F2748">"https://www.google.com/maps/search/?api=1&amp;query=" &amp; A2748 &amp; "," &amp; B2748</f>
        <v>https://www.google.com/maps/search/?api=1&amp;query=-30.90062562419660,-55.54431843140910</v>
      </c>
      <c r="G2748" s="25" t="str">
        <f t="array" ref="G2748">"https://earth.google.com/web/search/" &amp; A2748 &amp; "," &amp; B2748</f>
        <v>https://earth.google.com/web/search/-30.90062562419660,-55.54431843140910</v>
      </c>
      <c r="H2748" s="12"/>
      <c r="I2748" s="12"/>
      <c r="J2748" s="12"/>
      <c r="K2748" s="12"/>
      <c r="L2748" s="12"/>
      <c r="M2748" s="12"/>
      <c r="N2748" s="12"/>
      <c r="O2748" s="12"/>
      <c r="P2748" s="12"/>
      <c r="Q2748" s="12"/>
      <c r="R2748" s="12"/>
      <c r="S2748" s="12"/>
      <c r="T2748" s="12"/>
      <c r="U2748" s="12"/>
      <c r="V2748" s="12"/>
      <c r="W2748" s="12"/>
      <c r="X2748" s="12"/>
      <c r="Y2748" s="12"/>
      <c r="Z2748" s="12"/>
      <c r="AA2748" s="12"/>
    </row>
    <row r="2749" ht="26.25" customHeight="1">
      <c r="A2749" s="28" t="s">
        <v>5508</v>
      </c>
      <c r="B2749" s="29" t="s">
        <v>5509</v>
      </c>
      <c r="C2749" s="30">
        <v>3.0</v>
      </c>
      <c r="D2749" s="31">
        <v>244.0</v>
      </c>
      <c r="E2749" s="31">
        <v>15.0</v>
      </c>
      <c r="F2749" s="32" t="str">
        <f t="array" ref="F2749">"https://www.google.com/maps/search/?api=1&amp;query=" &amp; A2749 &amp; "," &amp; B2749</f>
        <v>https://www.google.com/maps/search/?api=1&amp;query=-30.90069277461390,-55.54434741595340</v>
      </c>
      <c r="G2749" s="33" t="str">
        <f t="array" ref="G2749">"https://earth.google.com/web/search/" &amp; A2749 &amp; "," &amp; B2749</f>
        <v>https://earth.google.com/web/search/-30.90069277461390,-55.54434741595340</v>
      </c>
      <c r="H2749" s="12"/>
      <c r="I2749" s="12"/>
      <c r="J2749" s="12"/>
      <c r="K2749" s="12"/>
      <c r="L2749" s="12"/>
      <c r="M2749" s="12"/>
      <c r="N2749" s="12"/>
      <c r="O2749" s="12"/>
      <c r="P2749" s="12"/>
      <c r="Q2749" s="12"/>
      <c r="R2749" s="12"/>
      <c r="S2749" s="12"/>
      <c r="T2749" s="12"/>
      <c r="U2749" s="12"/>
      <c r="V2749" s="12"/>
      <c r="W2749" s="12"/>
      <c r="X2749" s="12"/>
      <c r="Y2749" s="12"/>
      <c r="Z2749" s="12"/>
      <c r="AA2749" s="12"/>
    </row>
    <row r="2750" ht="26.25" customHeight="1">
      <c r="A2750" s="34" t="s">
        <v>5510</v>
      </c>
      <c r="B2750" s="35" t="s">
        <v>5511</v>
      </c>
      <c r="C2750" s="36">
        <v>3.0</v>
      </c>
      <c r="D2750" s="37">
        <v>244.0</v>
      </c>
      <c r="E2750" s="37">
        <v>16.0</v>
      </c>
      <c r="F2750" s="24" t="str">
        <f t="array" ref="F2750">"https://www.google.com/maps/search/?api=1&amp;query=" &amp; A2750 &amp; "," &amp; B2750</f>
        <v>https://www.google.com/maps/search/?api=1&amp;query=-30.90065013159220,-55.54446888361080</v>
      </c>
      <c r="G2750" s="25" t="str">
        <f t="array" ref="G2750">"https://earth.google.com/web/search/" &amp; A2750 &amp; "," &amp; B2750</f>
        <v>https://earth.google.com/web/search/-30.90065013159220,-55.54446888361080</v>
      </c>
      <c r="H2750" s="12"/>
      <c r="I2750" s="12"/>
      <c r="J2750" s="12"/>
      <c r="K2750" s="12"/>
      <c r="L2750" s="12"/>
      <c r="M2750" s="12"/>
      <c r="N2750" s="12"/>
      <c r="O2750" s="12"/>
      <c r="P2750" s="12"/>
      <c r="Q2750" s="12"/>
      <c r="R2750" s="12"/>
      <c r="S2750" s="12"/>
      <c r="T2750" s="12"/>
      <c r="U2750" s="12"/>
      <c r="V2750" s="12"/>
      <c r="W2750" s="12"/>
      <c r="X2750" s="12"/>
      <c r="Y2750" s="12"/>
      <c r="Z2750" s="12"/>
      <c r="AA2750" s="12"/>
    </row>
    <row r="2751" ht="26.25" customHeight="1">
      <c r="A2751" s="28" t="s">
        <v>5512</v>
      </c>
      <c r="B2751" s="29" t="s">
        <v>5513</v>
      </c>
      <c r="C2751" s="30">
        <v>3.0</v>
      </c>
      <c r="D2751" s="31">
        <v>244.0</v>
      </c>
      <c r="E2751" s="31">
        <v>17.0</v>
      </c>
      <c r="F2751" s="32" t="str">
        <f t="array" ref="F2751">"https://www.google.com/maps/search/?api=1&amp;query=" &amp; A2751 &amp; "," &amp; B2751</f>
        <v>https://www.google.com/maps/search/?api=1&amp;query=-30.90050146771510,-55.54479269302860</v>
      </c>
      <c r="G2751" s="33" t="str">
        <f t="array" ref="G2751">"https://earth.google.com/web/search/" &amp; A2751 &amp; "," &amp; B2751</f>
        <v>https://earth.google.com/web/search/-30.90050146771510,-55.54479269302860</v>
      </c>
      <c r="H2751" s="12"/>
      <c r="I2751" s="12"/>
      <c r="J2751" s="12"/>
      <c r="K2751" s="12"/>
      <c r="L2751" s="12"/>
      <c r="M2751" s="12"/>
      <c r="N2751" s="12"/>
      <c r="O2751" s="12"/>
      <c r="P2751" s="12"/>
      <c r="Q2751" s="12"/>
      <c r="R2751" s="12"/>
      <c r="S2751" s="12"/>
      <c r="T2751" s="12"/>
      <c r="U2751" s="12"/>
      <c r="V2751" s="12"/>
      <c r="W2751" s="12"/>
      <c r="X2751" s="12"/>
      <c r="Y2751" s="12"/>
      <c r="Z2751" s="12"/>
      <c r="AA2751" s="12"/>
    </row>
    <row r="2752" ht="26.25" customHeight="1">
      <c r="A2752" s="34" t="s">
        <v>5514</v>
      </c>
      <c r="B2752" s="35" t="s">
        <v>5515</v>
      </c>
      <c r="C2752" s="36">
        <v>3.0</v>
      </c>
      <c r="D2752" s="37">
        <v>244.0</v>
      </c>
      <c r="E2752" s="37">
        <v>18.0</v>
      </c>
      <c r="F2752" s="24" t="str">
        <f t="array" ref="F2752">"https://www.google.com/maps/search/?api=1&amp;query=" &amp; A2752 &amp; "," &amp; B2752</f>
        <v>https://www.google.com/maps/search/?api=1&amp;query=-30.90045763758010,-55.54486688193250</v>
      </c>
      <c r="G2752" s="25" t="str">
        <f t="array" ref="G2752">"https://earth.google.com/web/search/" &amp; A2752 &amp; "," &amp; B2752</f>
        <v>https://earth.google.com/web/search/-30.90045763758010,-55.54486688193250</v>
      </c>
      <c r="H2752" s="12"/>
      <c r="I2752" s="12"/>
      <c r="J2752" s="12"/>
      <c r="K2752" s="12"/>
      <c r="L2752" s="12"/>
      <c r="M2752" s="12"/>
      <c r="N2752" s="12"/>
      <c r="O2752" s="12"/>
      <c r="P2752" s="12"/>
      <c r="Q2752" s="12"/>
      <c r="R2752" s="12"/>
      <c r="S2752" s="12"/>
      <c r="T2752" s="12"/>
      <c r="U2752" s="12"/>
      <c r="V2752" s="12"/>
      <c r="W2752" s="12"/>
      <c r="X2752" s="12"/>
      <c r="Y2752" s="12"/>
      <c r="Z2752" s="12"/>
      <c r="AA2752" s="12"/>
    </row>
    <row r="2753" ht="26.25" customHeight="1">
      <c r="A2753" s="28" t="s">
        <v>5516</v>
      </c>
      <c r="B2753" s="29" t="s">
        <v>5517</v>
      </c>
      <c r="C2753" s="30">
        <v>3.0</v>
      </c>
      <c r="D2753" s="31">
        <v>245.0</v>
      </c>
      <c r="E2753" s="31">
        <v>1.0</v>
      </c>
      <c r="F2753" s="32" t="str">
        <f t="array" ref="F2753">"https://www.google.com/maps/search/?api=1&amp;query=" &amp; A2753 &amp; "," &amp; B2753</f>
        <v>https://www.google.com/maps/search/?api=1&amp;query=-30.90012403249920,-55.54556034690370</v>
      </c>
      <c r="G2753" s="33" t="str">
        <f t="array" ref="G2753">"https://earth.google.com/web/search/" &amp; A2753 &amp; "," &amp; B2753</f>
        <v>https://earth.google.com/web/search/-30.90012403249920,-55.54556034690370</v>
      </c>
      <c r="H2753" s="12"/>
      <c r="I2753" s="12"/>
      <c r="J2753" s="12"/>
      <c r="K2753" s="12"/>
      <c r="L2753" s="12"/>
      <c r="M2753" s="12"/>
      <c r="N2753" s="12"/>
      <c r="O2753" s="12"/>
      <c r="P2753" s="12"/>
      <c r="Q2753" s="12"/>
      <c r="R2753" s="12"/>
      <c r="S2753" s="12"/>
      <c r="T2753" s="12"/>
      <c r="U2753" s="12"/>
      <c r="V2753" s="12"/>
      <c r="W2753" s="12"/>
      <c r="X2753" s="12"/>
      <c r="Y2753" s="12"/>
      <c r="Z2753" s="12"/>
      <c r="AA2753" s="12"/>
    </row>
    <row r="2754" ht="26.25" customHeight="1">
      <c r="A2754" s="34" t="s">
        <v>5518</v>
      </c>
      <c r="B2754" s="35" t="s">
        <v>5519</v>
      </c>
      <c r="C2754" s="36">
        <v>3.0</v>
      </c>
      <c r="D2754" s="37">
        <v>245.0</v>
      </c>
      <c r="E2754" s="37">
        <v>2.0</v>
      </c>
      <c r="F2754" s="24" t="str">
        <f t="array" ref="F2754">"https://www.google.com/maps/search/?api=1&amp;query=" &amp; A2754 &amp; "," &amp; B2754</f>
        <v>https://www.google.com/maps/search/?api=1&amp;query=-30.90025524797320,-55.54529997848610</v>
      </c>
      <c r="G2754" s="25" t="str">
        <f t="array" ref="G2754">"https://earth.google.com/web/search/" &amp; A2754 &amp; "," &amp; B2754</f>
        <v>https://earth.google.com/web/search/-30.90025524797320,-55.54529997848610</v>
      </c>
      <c r="H2754" s="12"/>
      <c r="I2754" s="12"/>
      <c r="J2754" s="12"/>
      <c r="K2754" s="12"/>
      <c r="L2754" s="12"/>
      <c r="M2754" s="12"/>
      <c r="N2754" s="12"/>
      <c r="O2754" s="12"/>
      <c r="P2754" s="12"/>
      <c r="Q2754" s="12"/>
      <c r="R2754" s="12"/>
      <c r="S2754" s="12"/>
      <c r="T2754" s="12"/>
      <c r="U2754" s="12"/>
      <c r="V2754" s="12"/>
      <c r="W2754" s="12"/>
      <c r="X2754" s="12"/>
      <c r="Y2754" s="12"/>
      <c r="Z2754" s="12"/>
      <c r="AA2754" s="12"/>
    </row>
    <row r="2755" ht="26.25" customHeight="1">
      <c r="A2755" s="28" t="s">
        <v>5520</v>
      </c>
      <c r="B2755" s="29" t="s">
        <v>5521</v>
      </c>
      <c r="C2755" s="30">
        <v>3.0</v>
      </c>
      <c r="D2755" s="31">
        <v>245.0</v>
      </c>
      <c r="E2755" s="31">
        <v>3.0</v>
      </c>
      <c r="F2755" s="32" t="str">
        <f t="array" ref="F2755">"https://www.google.com/maps/search/?api=1&amp;query=" &amp; A2755 &amp; "," &amp; B2755</f>
        <v>https://www.google.com/maps/search/?api=1&amp;query=-0.30900010306708,-55.54503046115830</v>
      </c>
      <c r="G2755" s="33" t="str">
        <f t="array" ref="G2755">"https://earth.google.com/web/search/" &amp; A2755 &amp; "," &amp; B2755</f>
        <v>https://earth.google.com/web/search/-0.30900010306708,-55.54503046115830</v>
      </c>
      <c r="H2755" s="12"/>
      <c r="I2755" s="12"/>
      <c r="J2755" s="12"/>
      <c r="K2755" s="12"/>
      <c r="L2755" s="12"/>
      <c r="M2755" s="12"/>
      <c r="N2755" s="12"/>
      <c r="O2755" s="12"/>
      <c r="P2755" s="12"/>
      <c r="Q2755" s="12"/>
      <c r="R2755" s="12"/>
      <c r="S2755" s="12"/>
      <c r="T2755" s="12"/>
      <c r="U2755" s="12"/>
      <c r="V2755" s="12"/>
      <c r="W2755" s="12"/>
      <c r="X2755" s="12"/>
      <c r="Y2755" s="12"/>
      <c r="Z2755" s="12"/>
      <c r="AA2755" s="12"/>
    </row>
    <row r="2756" ht="26.25" customHeight="1">
      <c r="A2756" s="34" t="s">
        <v>5522</v>
      </c>
      <c r="B2756" s="35" t="s">
        <v>5523</v>
      </c>
      <c r="C2756" s="36">
        <v>3.0</v>
      </c>
      <c r="D2756" s="37">
        <v>245.0</v>
      </c>
      <c r="E2756" s="37">
        <v>4.0</v>
      </c>
      <c r="F2756" s="24" t="str">
        <f t="array" ref="F2756">"https://www.google.com/maps/search/?api=1&amp;query=" &amp; A2756 &amp; "," &amp; B2756</f>
        <v>https://www.google.com/maps/search/?api=1&amp;query=-30.89989348880720,-55.54493150573560</v>
      </c>
      <c r="G2756" s="25" t="str">
        <f t="array" ref="G2756">"https://earth.google.com/web/search/" &amp; A2756 &amp; "," &amp; B2756</f>
        <v>https://earth.google.com/web/search/-30.89989348880720,-55.54493150573560</v>
      </c>
      <c r="H2756" s="12"/>
      <c r="I2756" s="12"/>
      <c r="J2756" s="12"/>
      <c r="K2756" s="12"/>
      <c r="L2756" s="12"/>
      <c r="M2756" s="12"/>
      <c r="N2756" s="12"/>
      <c r="O2756" s="12"/>
      <c r="P2756" s="12"/>
      <c r="Q2756" s="12"/>
      <c r="R2756" s="12"/>
      <c r="S2756" s="12"/>
      <c r="T2756" s="12"/>
      <c r="U2756" s="12"/>
      <c r="V2756" s="12"/>
      <c r="W2756" s="12"/>
      <c r="X2756" s="12"/>
      <c r="Y2756" s="12"/>
      <c r="Z2756" s="12"/>
      <c r="AA2756" s="12"/>
    </row>
    <row r="2757" ht="26.25" customHeight="1">
      <c r="A2757" s="28" t="s">
        <v>5524</v>
      </c>
      <c r="B2757" s="29" t="s">
        <v>5525</v>
      </c>
      <c r="C2757" s="30">
        <v>3.0</v>
      </c>
      <c r="D2757" s="31">
        <v>245.0</v>
      </c>
      <c r="E2757" s="31">
        <v>5.0</v>
      </c>
      <c r="F2757" s="32" t="str">
        <f t="array" ref="F2757">"https://www.google.com/maps/search/?api=1&amp;query=" &amp; A2757 &amp; "," &amp; B2757</f>
        <v>https://www.google.com/maps/search/?api=1&amp;query=-30.89967325093270,-55.54478934046350</v>
      </c>
      <c r="G2757" s="33" t="str">
        <f t="array" ref="G2757">"https://earth.google.com/web/search/" &amp; A2757 &amp; "," &amp; B2757</f>
        <v>https://earth.google.com/web/search/-30.89967325093270,-55.54478934046350</v>
      </c>
      <c r="H2757" s="12"/>
      <c r="I2757" s="12"/>
      <c r="J2757" s="12"/>
      <c r="K2757" s="12"/>
      <c r="L2757" s="12"/>
      <c r="M2757" s="12"/>
      <c r="N2757" s="12"/>
      <c r="O2757" s="12"/>
      <c r="P2757" s="12"/>
      <c r="Q2757" s="12"/>
      <c r="R2757" s="12"/>
      <c r="S2757" s="12"/>
      <c r="T2757" s="12"/>
      <c r="U2757" s="12"/>
      <c r="V2757" s="12"/>
      <c r="W2757" s="12"/>
      <c r="X2757" s="12"/>
      <c r="Y2757" s="12"/>
      <c r="Z2757" s="12"/>
      <c r="AA2757" s="12"/>
    </row>
    <row r="2758" ht="26.25" customHeight="1">
      <c r="A2758" s="34" t="s">
        <v>5526</v>
      </c>
      <c r="B2758" s="35" t="s">
        <v>5527</v>
      </c>
      <c r="C2758" s="36">
        <v>3.0</v>
      </c>
      <c r="D2758" s="37">
        <v>245.0</v>
      </c>
      <c r="E2758" s="37">
        <v>6.0</v>
      </c>
      <c r="F2758" s="24" t="str">
        <f t="array" ref="F2758">"https://www.google.com/maps/search/?api=1&amp;query=" &amp; A2758 &amp; "," &amp; B2758</f>
        <v>https://www.google.com/maps/search/?api=1&amp;query=-3.08995357396605,-55.54478100745170</v>
      </c>
      <c r="G2758" s="25" t="str">
        <f t="array" ref="G2758">"https://earth.google.com/web/search/" &amp; A2758 &amp; "," &amp; B2758</f>
        <v>https://earth.google.com/web/search/-3.08995357396605,-55.54478100745170</v>
      </c>
      <c r="H2758" s="12"/>
      <c r="I2758" s="12"/>
      <c r="J2758" s="12"/>
      <c r="K2758" s="12"/>
      <c r="L2758" s="12"/>
      <c r="M2758" s="12"/>
      <c r="N2758" s="12"/>
      <c r="O2758" s="12"/>
      <c r="P2758" s="12"/>
      <c r="Q2758" s="12"/>
      <c r="R2758" s="12"/>
      <c r="S2758" s="12"/>
      <c r="T2758" s="12"/>
      <c r="U2758" s="12"/>
      <c r="V2758" s="12"/>
      <c r="W2758" s="12"/>
      <c r="X2758" s="12"/>
      <c r="Y2758" s="12"/>
      <c r="Z2758" s="12"/>
      <c r="AA2758" s="12"/>
    </row>
    <row r="2759" ht="26.25" customHeight="1">
      <c r="A2759" s="28" t="s">
        <v>5528</v>
      </c>
      <c r="B2759" s="29" t="s">
        <v>5529</v>
      </c>
      <c r="C2759" s="30">
        <v>3.0</v>
      </c>
      <c r="D2759" s="31">
        <v>245.0</v>
      </c>
      <c r="E2759" s="31">
        <v>7.0</v>
      </c>
      <c r="F2759" s="32" t="str">
        <f t="array" ref="F2759">"https://www.google.com/maps/search/?api=1&amp;query=" &amp; A2759 &amp; "," &amp; B2759</f>
        <v>https://www.google.com/maps/search/?api=1&amp;query=-30.89946969128220,-55.54491987732830</v>
      </c>
      <c r="G2759" s="33" t="str">
        <f t="array" ref="G2759">"https://earth.google.com/web/search/" &amp; A2759 &amp; "," &amp; B2759</f>
        <v>https://earth.google.com/web/search/-30.89946969128220,-55.54491987732830</v>
      </c>
      <c r="H2759" s="12"/>
      <c r="I2759" s="12"/>
      <c r="J2759" s="12"/>
      <c r="K2759" s="12"/>
      <c r="L2759" s="12"/>
      <c r="M2759" s="12"/>
      <c r="N2759" s="12"/>
      <c r="O2759" s="12"/>
      <c r="P2759" s="12"/>
      <c r="Q2759" s="12"/>
      <c r="R2759" s="12"/>
      <c r="S2759" s="12"/>
      <c r="T2759" s="12"/>
      <c r="U2759" s="12"/>
      <c r="V2759" s="12"/>
      <c r="W2759" s="12"/>
      <c r="X2759" s="12"/>
      <c r="Y2759" s="12"/>
      <c r="Z2759" s="12"/>
      <c r="AA2759" s="12"/>
    </row>
    <row r="2760" ht="26.25" customHeight="1">
      <c r="A2760" s="34" t="s">
        <v>5530</v>
      </c>
      <c r="B2760" s="35" t="s">
        <v>5531</v>
      </c>
      <c r="C2760" s="36">
        <v>3.0</v>
      </c>
      <c r="D2760" s="37">
        <v>245.0</v>
      </c>
      <c r="E2760" s="37">
        <v>8.0</v>
      </c>
      <c r="F2760" s="24" t="str">
        <f t="array" ref="F2760">"https://www.google.com/maps/search/?api=1&amp;query=" &amp; A2760 &amp; "," &amp; B2760</f>
        <v>https://www.google.com/maps/search/?api=1&amp;query=-30.89942406019940,-55.54501592611050</v>
      </c>
      <c r="G2760" s="25" t="str">
        <f t="array" ref="G2760">"https://earth.google.com/web/search/" &amp; A2760 &amp; "," &amp; B2760</f>
        <v>https://earth.google.com/web/search/-30.89942406019940,-55.54501592611050</v>
      </c>
      <c r="H2760" s="12"/>
      <c r="I2760" s="12"/>
      <c r="J2760" s="12"/>
      <c r="K2760" s="12"/>
      <c r="L2760" s="12"/>
      <c r="M2760" s="12"/>
      <c r="N2760" s="12"/>
      <c r="O2760" s="12"/>
      <c r="P2760" s="12"/>
      <c r="Q2760" s="12"/>
      <c r="R2760" s="12"/>
      <c r="S2760" s="12"/>
      <c r="T2760" s="12"/>
      <c r="U2760" s="12"/>
      <c r="V2760" s="12"/>
      <c r="W2760" s="12"/>
      <c r="X2760" s="12"/>
      <c r="Y2760" s="12"/>
      <c r="Z2760" s="12"/>
      <c r="AA2760" s="12"/>
    </row>
    <row r="2761" ht="26.25" customHeight="1">
      <c r="A2761" s="28" t="s">
        <v>5532</v>
      </c>
      <c r="B2761" s="29" t="s">
        <v>5533</v>
      </c>
      <c r="C2761" s="30">
        <v>3.0</v>
      </c>
      <c r="D2761" s="31">
        <v>245.0</v>
      </c>
      <c r="E2761" s="31">
        <v>9.0</v>
      </c>
      <c r="F2761" s="32" t="str">
        <f t="array" ref="F2761">"https://www.google.com/maps/search/?api=1&amp;query=" &amp; A2761 &amp; "," &amp; B2761</f>
        <v>https://www.google.com/maps/search/?api=1&amp;query=-30.89932947334870,-55.54518823979630</v>
      </c>
      <c r="G2761" s="33" t="str">
        <f t="array" ref="G2761">"https://earth.google.com/web/search/" &amp; A2761 &amp; "," &amp; B2761</f>
        <v>https://earth.google.com/web/search/-30.89932947334870,-55.54518823979630</v>
      </c>
      <c r="H2761" s="12"/>
      <c r="I2761" s="12"/>
      <c r="J2761" s="12"/>
      <c r="K2761" s="12"/>
      <c r="L2761" s="12"/>
      <c r="M2761" s="12"/>
      <c r="N2761" s="12"/>
      <c r="O2761" s="12"/>
      <c r="P2761" s="12"/>
      <c r="Q2761" s="12"/>
      <c r="R2761" s="12"/>
      <c r="S2761" s="12"/>
      <c r="T2761" s="12"/>
      <c r="U2761" s="12"/>
      <c r="V2761" s="12"/>
      <c r="W2761" s="12"/>
      <c r="X2761" s="12"/>
      <c r="Y2761" s="12"/>
      <c r="Z2761" s="12"/>
      <c r="AA2761" s="12"/>
    </row>
    <row r="2762" ht="26.25" customHeight="1">
      <c r="A2762" s="34" t="s">
        <v>5534</v>
      </c>
      <c r="B2762" s="35" t="s">
        <v>5535</v>
      </c>
      <c r="C2762" s="36">
        <v>3.0</v>
      </c>
      <c r="D2762" s="37">
        <v>245.0</v>
      </c>
      <c r="E2762" s="37">
        <v>10.0</v>
      </c>
      <c r="F2762" s="24" t="str">
        <f t="array" ref="F2762">"https://www.google.com/maps/search/?api=1&amp;query=" &amp; A2762 &amp; "," &amp; B2762</f>
        <v>https://www.google.com/maps/search/?api=1&amp;query=-30.89928862787630,-55.54527948409270</v>
      </c>
      <c r="G2762" s="25" t="str">
        <f t="array" ref="G2762">"https://earth.google.com/web/search/" &amp; A2762 &amp; "," &amp; B2762</f>
        <v>https://earth.google.com/web/search/-30.89928862787630,-55.54527948409270</v>
      </c>
      <c r="H2762" s="12"/>
      <c r="I2762" s="12"/>
      <c r="J2762" s="12"/>
      <c r="K2762" s="12"/>
      <c r="L2762" s="12"/>
      <c r="M2762" s="12"/>
      <c r="N2762" s="12"/>
      <c r="O2762" s="12"/>
      <c r="P2762" s="12"/>
      <c r="Q2762" s="12"/>
      <c r="R2762" s="12"/>
      <c r="S2762" s="12"/>
      <c r="T2762" s="12"/>
      <c r="U2762" s="12"/>
      <c r="V2762" s="12"/>
      <c r="W2762" s="12"/>
      <c r="X2762" s="12"/>
      <c r="Y2762" s="12"/>
      <c r="Z2762" s="12"/>
      <c r="AA2762" s="12"/>
    </row>
    <row r="2763" ht="26.25" customHeight="1">
      <c r="A2763" s="28" t="s">
        <v>5536</v>
      </c>
      <c r="B2763" s="29" t="s">
        <v>5537</v>
      </c>
      <c r="C2763" s="30">
        <v>3.0</v>
      </c>
      <c r="D2763" s="31">
        <v>245.0</v>
      </c>
      <c r="E2763" s="31">
        <v>11.0</v>
      </c>
      <c r="F2763" s="32" t="str">
        <f t="array" ref="F2763">"https://www.google.com/maps/search/?api=1&amp;query=" &amp; A2763 &amp; "," &amp; B2763</f>
        <v>https://www.google.com/maps/search/?api=1&amp;query=-3.08992201157677,-55.54541060820260</v>
      </c>
      <c r="G2763" s="33" t="str">
        <f t="array" ref="G2763">"https://earth.google.com/web/search/" &amp; A2763 &amp; "," &amp; B2763</f>
        <v>https://earth.google.com/web/search/-3.08992201157677,-55.54541060820260</v>
      </c>
      <c r="H2763" s="12"/>
      <c r="I2763" s="12"/>
      <c r="J2763" s="12"/>
      <c r="K2763" s="12"/>
      <c r="L2763" s="12"/>
      <c r="M2763" s="12"/>
      <c r="N2763" s="12"/>
      <c r="O2763" s="12"/>
      <c r="P2763" s="12"/>
      <c r="Q2763" s="12"/>
      <c r="R2763" s="12"/>
      <c r="S2763" s="12"/>
      <c r="T2763" s="12"/>
      <c r="U2763" s="12"/>
      <c r="V2763" s="12"/>
      <c r="W2763" s="12"/>
      <c r="X2763" s="12"/>
      <c r="Y2763" s="12"/>
      <c r="Z2763" s="12"/>
      <c r="AA2763" s="12"/>
    </row>
    <row r="2764" ht="26.25" customHeight="1">
      <c r="A2764" s="34" t="s">
        <v>5538</v>
      </c>
      <c r="B2764" s="35" t="s">
        <v>5539</v>
      </c>
      <c r="C2764" s="36">
        <v>3.0</v>
      </c>
      <c r="D2764" s="37">
        <v>245.0</v>
      </c>
      <c r="E2764" s="37">
        <v>12.0</v>
      </c>
      <c r="F2764" s="24" t="str">
        <f t="array" ref="F2764">"https://www.google.com/maps/search/?api=1&amp;query=" &amp; A2764 &amp; "," &amp; B2764</f>
        <v>https://www.google.com/maps/search/?api=1&amp;query=-30.89917733127090,-55.54553595432220</v>
      </c>
      <c r="G2764" s="25" t="str">
        <f t="array" ref="G2764">"https://earth.google.com/web/search/" &amp; A2764 &amp; "," &amp; B2764</f>
        <v>https://earth.google.com/web/search/-30.89917733127090,-55.54553595432220</v>
      </c>
      <c r="H2764" s="12"/>
      <c r="I2764" s="12"/>
      <c r="J2764" s="12"/>
      <c r="K2764" s="12"/>
      <c r="L2764" s="12"/>
      <c r="M2764" s="12"/>
      <c r="N2764" s="12"/>
      <c r="O2764" s="12"/>
      <c r="P2764" s="12"/>
      <c r="Q2764" s="12"/>
      <c r="R2764" s="12"/>
      <c r="S2764" s="12"/>
      <c r="T2764" s="12"/>
      <c r="U2764" s="12"/>
      <c r="V2764" s="12"/>
      <c r="W2764" s="12"/>
      <c r="X2764" s="12"/>
      <c r="Y2764" s="12"/>
      <c r="Z2764" s="12"/>
      <c r="AA2764" s="12"/>
    </row>
    <row r="2765" ht="26.25" customHeight="1">
      <c r="A2765" s="28" t="s">
        <v>5540</v>
      </c>
      <c r="B2765" s="29" t="s">
        <v>5541</v>
      </c>
      <c r="C2765" s="30">
        <v>3.0</v>
      </c>
      <c r="D2765" s="31">
        <v>245.0</v>
      </c>
      <c r="E2765" s="31">
        <v>13.0</v>
      </c>
      <c r="F2765" s="32" t="str">
        <f t="array" ref="F2765">"https://www.google.com/maps/search/?api=1&amp;query=" &amp; A2765 &amp; "," &amp; B2765</f>
        <v>https://www.google.com/maps/search/?api=1&amp;query=-30.89953429470540,-55.54584349269310</v>
      </c>
      <c r="G2765" s="33" t="str">
        <f t="array" ref="G2765">"https://earth.google.com/web/search/" &amp; A2765 &amp; "," &amp; B2765</f>
        <v>https://earth.google.com/web/search/-30.89953429470540,-55.54584349269310</v>
      </c>
      <c r="H2765" s="12"/>
      <c r="I2765" s="12"/>
      <c r="J2765" s="12"/>
      <c r="K2765" s="12"/>
      <c r="L2765" s="12"/>
      <c r="M2765" s="12"/>
      <c r="N2765" s="12"/>
      <c r="O2765" s="12"/>
      <c r="P2765" s="12"/>
      <c r="Q2765" s="12"/>
      <c r="R2765" s="12"/>
      <c r="S2765" s="12"/>
      <c r="T2765" s="12"/>
      <c r="U2765" s="12"/>
      <c r="V2765" s="12"/>
      <c r="W2765" s="12"/>
      <c r="X2765" s="12"/>
      <c r="Y2765" s="12"/>
      <c r="Z2765" s="12"/>
      <c r="AA2765" s="12"/>
    </row>
    <row r="2766" ht="26.25" customHeight="1">
      <c r="A2766" s="34" t="s">
        <v>5542</v>
      </c>
      <c r="B2766" s="35" t="s">
        <v>5543</v>
      </c>
      <c r="C2766" s="36">
        <v>3.0</v>
      </c>
      <c r="D2766" s="37">
        <v>245.0</v>
      </c>
      <c r="E2766" s="37">
        <v>14.0</v>
      </c>
      <c r="F2766" s="24" t="str">
        <f t="array" ref="F2766">"https://www.google.com/maps/search/?api=1&amp;query=" &amp; A2766 &amp; "," &amp; B2766</f>
        <v>https://www.google.com/maps/search/?api=1&amp;query=-30.89959742922030,-55.54590297199040</v>
      </c>
      <c r="G2766" s="25" t="str">
        <f t="array" ref="G2766">"https://earth.google.com/web/search/" &amp; A2766 &amp; "," &amp; B2766</f>
        <v>https://earth.google.com/web/search/-30.89959742922030,-55.54590297199040</v>
      </c>
      <c r="H2766" s="12"/>
      <c r="I2766" s="12"/>
      <c r="J2766" s="12"/>
      <c r="K2766" s="12"/>
      <c r="L2766" s="12"/>
      <c r="M2766" s="12"/>
      <c r="N2766" s="12"/>
      <c r="O2766" s="12"/>
      <c r="P2766" s="12"/>
      <c r="Q2766" s="12"/>
      <c r="R2766" s="12"/>
      <c r="S2766" s="12"/>
      <c r="T2766" s="12"/>
      <c r="U2766" s="12"/>
      <c r="V2766" s="12"/>
      <c r="W2766" s="12"/>
      <c r="X2766" s="12"/>
      <c r="Y2766" s="12"/>
      <c r="Z2766" s="12"/>
      <c r="AA2766" s="12"/>
    </row>
    <row r="2767" ht="26.25" customHeight="1">
      <c r="A2767" s="28" t="s">
        <v>5544</v>
      </c>
      <c r="B2767" s="29" t="s">
        <v>5545</v>
      </c>
      <c r="C2767" s="30">
        <v>3.0</v>
      </c>
      <c r="D2767" s="31">
        <v>245.0</v>
      </c>
      <c r="E2767" s="31">
        <v>15.0</v>
      </c>
      <c r="F2767" s="32" t="str">
        <f t="array" ref="F2767">"https://www.google.com/maps/search/?api=1&amp;query=" &amp; A2767 &amp; "," &amp; B2767</f>
        <v>https://www.google.com/maps/search/?api=1&amp;query=-30.89967779857050,-55.54594582152770</v>
      </c>
      <c r="G2767" s="33" t="str">
        <f t="array" ref="G2767">"https://earth.google.com/web/search/" &amp; A2767 &amp; "," &amp; B2767</f>
        <v>https://earth.google.com/web/search/-30.89967779857050,-55.54594582152770</v>
      </c>
      <c r="H2767" s="12"/>
      <c r="I2767" s="12"/>
      <c r="J2767" s="12"/>
      <c r="K2767" s="12"/>
      <c r="L2767" s="12"/>
      <c r="M2767" s="12"/>
      <c r="N2767" s="12"/>
      <c r="O2767" s="12"/>
      <c r="P2767" s="12"/>
      <c r="Q2767" s="12"/>
      <c r="R2767" s="12"/>
      <c r="S2767" s="12"/>
      <c r="T2767" s="12"/>
      <c r="U2767" s="12"/>
      <c r="V2767" s="12"/>
      <c r="W2767" s="12"/>
      <c r="X2767" s="12"/>
      <c r="Y2767" s="12"/>
      <c r="Z2767" s="12"/>
      <c r="AA2767" s="12"/>
    </row>
    <row r="2768" ht="26.25" customHeight="1">
      <c r="A2768" s="34" t="s">
        <v>5546</v>
      </c>
      <c r="B2768" s="35" t="s">
        <v>5547</v>
      </c>
      <c r="C2768" s="36">
        <v>3.0</v>
      </c>
      <c r="D2768" s="37">
        <v>246.0</v>
      </c>
      <c r="E2768" s="37">
        <v>1.0</v>
      </c>
      <c r="F2768" s="24" t="str">
        <f t="array" ref="F2768">"https://www.google.com/maps/search/?api=1&amp;query=" &amp; A2768 &amp; "," &amp; B2768</f>
        <v>https://www.google.com/maps/search/?api=1&amp;query=-30.89947647697550,-55.54675223442960</v>
      </c>
      <c r="G2768" s="25" t="str">
        <f t="array" ref="G2768">"https://earth.google.com/web/search/" &amp; A2768 &amp; "," &amp; B2768</f>
        <v>https://earth.google.com/web/search/-30.89947647697550,-55.54675223442960</v>
      </c>
      <c r="H2768" s="12"/>
      <c r="I2768" s="12"/>
      <c r="J2768" s="12"/>
      <c r="K2768" s="12"/>
      <c r="L2768" s="12"/>
      <c r="M2768" s="12"/>
      <c r="N2768" s="12"/>
      <c r="O2768" s="12"/>
      <c r="P2768" s="12"/>
      <c r="Q2768" s="12"/>
      <c r="R2768" s="12"/>
      <c r="S2768" s="12"/>
      <c r="T2768" s="12"/>
      <c r="U2768" s="12"/>
      <c r="V2768" s="12"/>
      <c r="W2768" s="12"/>
      <c r="X2768" s="12"/>
      <c r="Y2768" s="12"/>
      <c r="Z2768" s="12"/>
      <c r="AA2768" s="12"/>
    </row>
    <row r="2769" ht="26.25" customHeight="1">
      <c r="A2769" s="28" t="s">
        <v>5548</v>
      </c>
      <c r="B2769" s="29" t="s">
        <v>5549</v>
      </c>
      <c r="C2769" s="30">
        <v>3.0</v>
      </c>
      <c r="D2769" s="31">
        <v>246.0</v>
      </c>
      <c r="E2769" s="31">
        <v>2.0</v>
      </c>
      <c r="F2769" s="32" t="str">
        <f t="array" ref="F2769">"https://www.google.com/maps/search/?api=1&amp;query=" &amp; A2769 &amp; "," &amp; B2769</f>
        <v>https://www.google.com/maps/search/?api=1&amp;query=-30.89950822527050,-55.54667622293300</v>
      </c>
      <c r="G2769" s="33" t="str">
        <f t="array" ref="G2769">"https://earth.google.com/web/search/" &amp; A2769 &amp; "," &amp; B2769</f>
        <v>https://earth.google.com/web/search/-30.89950822527050,-55.54667622293300</v>
      </c>
      <c r="H2769" s="12"/>
      <c r="I2769" s="12"/>
      <c r="J2769" s="12"/>
      <c r="K2769" s="12"/>
      <c r="L2769" s="12"/>
      <c r="M2769" s="12"/>
      <c r="N2769" s="12"/>
      <c r="O2769" s="12"/>
      <c r="P2769" s="12"/>
      <c r="Q2769" s="12"/>
      <c r="R2769" s="12"/>
      <c r="S2769" s="12"/>
      <c r="T2769" s="12"/>
      <c r="U2769" s="12"/>
      <c r="V2769" s="12"/>
      <c r="W2769" s="12"/>
      <c r="X2769" s="12"/>
      <c r="Y2769" s="12"/>
      <c r="Z2769" s="12"/>
      <c r="AA2769" s="12"/>
    </row>
    <row r="2770" ht="26.25" customHeight="1">
      <c r="A2770" s="34" t="s">
        <v>5550</v>
      </c>
      <c r="B2770" s="35" t="s">
        <v>5551</v>
      </c>
      <c r="C2770" s="36">
        <v>3.0</v>
      </c>
      <c r="D2770" s="37">
        <v>246.0</v>
      </c>
      <c r="E2770" s="37">
        <v>3.0</v>
      </c>
      <c r="F2770" s="24" t="str">
        <f t="array" ref="F2770">"https://www.google.com/maps/search/?api=1&amp;query=" &amp; A2770 &amp; "," &amp; B2770</f>
        <v>https://www.google.com/maps/search/?api=1&amp;query=-30.89968825940770,-55.54607235692580</v>
      </c>
      <c r="G2770" s="25" t="str">
        <f t="array" ref="G2770">"https://earth.google.com/web/search/" &amp; A2770 &amp; "," &amp; B2770</f>
        <v>https://earth.google.com/web/search/-30.89968825940770,-55.54607235692580</v>
      </c>
      <c r="H2770" s="12"/>
      <c r="I2770" s="12"/>
      <c r="J2770" s="12"/>
      <c r="K2770" s="12"/>
      <c r="L2770" s="12"/>
      <c r="M2770" s="12"/>
      <c r="N2770" s="12"/>
      <c r="O2770" s="12"/>
      <c r="P2770" s="12"/>
      <c r="Q2770" s="12"/>
      <c r="R2770" s="12"/>
      <c r="S2770" s="12"/>
      <c r="T2770" s="12"/>
      <c r="U2770" s="12"/>
      <c r="V2770" s="12"/>
      <c r="W2770" s="12"/>
      <c r="X2770" s="12"/>
      <c r="Y2770" s="12"/>
      <c r="Z2770" s="12"/>
      <c r="AA2770" s="12"/>
    </row>
    <row r="2771" ht="26.25" customHeight="1">
      <c r="A2771" s="28" t="s">
        <v>5552</v>
      </c>
      <c r="B2771" s="29" t="s">
        <v>5553</v>
      </c>
      <c r="C2771" s="30">
        <v>3.0</v>
      </c>
      <c r="D2771" s="31">
        <v>246.0</v>
      </c>
      <c r="E2771" s="31">
        <v>4.0</v>
      </c>
      <c r="F2771" s="32" t="str">
        <f t="array" ref="F2771">"https://www.google.com/maps/search/?api=1&amp;query=" &amp; A2771 &amp; "," &amp; B2771</f>
        <v>https://www.google.com/maps/search/?api=1&amp;query=-30.89963673135110,-55.54602441840060</v>
      </c>
      <c r="G2771" s="33" t="str">
        <f t="array" ref="G2771">"https://earth.google.com/web/search/" &amp; A2771 &amp; "," &amp; B2771</f>
        <v>https://earth.google.com/web/search/-30.89963673135110,-55.54602441840060</v>
      </c>
      <c r="H2771" s="12"/>
      <c r="I2771" s="12"/>
      <c r="J2771" s="12"/>
      <c r="K2771" s="12"/>
      <c r="L2771" s="12"/>
      <c r="M2771" s="12"/>
      <c r="N2771" s="12"/>
      <c r="O2771" s="12"/>
      <c r="P2771" s="12"/>
      <c r="Q2771" s="12"/>
      <c r="R2771" s="12"/>
      <c r="S2771" s="12"/>
      <c r="T2771" s="12"/>
      <c r="U2771" s="12"/>
      <c r="V2771" s="12"/>
      <c r="W2771" s="12"/>
      <c r="X2771" s="12"/>
      <c r="Y2771" s="12"/>
      <c r="Z2771" s="12"/>
      <c r="AA2771" s="12"/>
    </row>
    <row r="2772" ht="26.25" customHeight="1">
      <c r="A2772" s="34" t="s">
        <v>5554</v>
      </c>
      <c r="B2772" s="35" t="s">
        <v>5555</v>
      </c>
      <c r="C2772" s="36">
        <v>3.0</v>
      </c>
      <c r="D2772" s="37">
        <v>246.0</v>
      </c>
      <c r="E2772" s="37">
        <v>5.0</v>
      </c>
      <c r="F2772" s="24" t="str">
        <f t="array" ref="F2772">"https://www.google.com/maps/search/?api=1&amp;query=" &amp; A2772 &amp; "," &amp; B2772</f>
        <v>https://www.google.com/maps/search/?api=1&amp;query=-30.89951778857540,-55.54594850956640</v>
      </c>
      <c r="G2772" s="25" t="str">
        <f t="array" ref="G2772">"https://earth.google.com/web/search/" &amp; A2772 &amp; "," &amp; B2772</f>
        <v>https://earth.google.com/web/search/-30.89951778857540,-55.54594850956640</v>
      </c>
      <c r="H2772" s="12"/>
      <c r="I2772" s="12"/>
      <c r="J2772" s="12"/>
      <c r="K2772" s="12"/>
      <c r="L2772" s="12"/>
      <c r="M2772" s="12"/>
      <c r="N2772" s="12"/>
      <c r="O2772" s="12"/>
      <c r="P2772" s="12"/>
      <c r="Q2772" s="12"/>
      <c r="R2772" s="12"/>
      <c r="S2772" s="12"/>
      <c r="T2772" s="12"/>
      <c r="U2772" s="12"/>
      <c r="V2772" s="12"/>
      <c r="W2772" s="12"/>
      <c r="X2772" s="12"/>
      <c r="Y2772" s="12"/>
      <c r="Z2772" s="12"/>
      <c r="AA2772" s="12"/>
    </row>
    <row r="2773" ht="26.25" customHeight="1">
      <c r="A2773" s="28" t="s">
        <v>5556</v>
      </c>
      <c r="B2773" s="29" t="s">
        <v>5557</v>
      </c>
      <c r="C2773" s="30">
        <v>3.0</v>
      </c>
      <c r="D2773" s="31">
        <v>246.0</v>
      </c>
      <c r="E2773" s="31">
        <v>6.0</v>
      </c>
      <c r="F2773" s="32" t="str">
        <f t="array" ref="F2773">"https://www.google.com/maps/search/?api=1&amp;query=" &amp; A2773 &amp; "," &amp; B2773</f>
        <v>https://www.google.com/maps/search/?api=1&amp;query=-3.08993336279621,-55.54581804213470</v>
      </c>
      <c r="G2773" s="33" t="str">
        <f t="array" ref="G2773">"https://earth.google.com/web/search/" &amp; A2773 &amp; "," &amp; B2773</f>
        <v>https://earth.google.com/web/search/-3.08993336279621,-55.54581804213470</v>
      </c>
      <c r="H2773" s="12"/>
      <c r="I2773" s="12"/>
      <c r="J2773" s="12"/>
      <c r="K2773" s="12"/>
      <c r="L2773" s="12"/>
      <c r="M2773" s="12"/>
      <c r="N2773" s="12"/>
      <c r="O2773" s="12"/>
      <c r="P2773" s="12"/>
      <c r="Q2773" s="12"/>
      <c r="R2773" s="12"/>
      <c r="S2773" s="12"/>
      <c r="T2773" s="12"/>
      <c r="U2773" s="12"/>
      <c r="V2773" s="12"/>
      <c r="W2773" s="12"/>
      <c r="X2773" s="12"/>
      <c r="Y2773" s="12"/>
      <c r="Z2773" s="12"/>
      <c r="AA2773" s="12"/>
    </row>
    <row r="2774" ht="26.25" customHeight="1">
      <c r="A2774" s="34" t="s">
        <v>5558</v>
      </c>
      <c r="B2774" s="35" t="s">
        <v>5559</v>
      </c>
      <c r="C2774" s="36">
        <v>3.0</v>
      </c>
      <c r="D2774" s="37">
        <v>246.0</v>
      </c>
      <c r="E2774" s="37">
        <v>7.0</v>
      </c>
      <c r="F2774" s="24" t="str">
        <f t="array" ref="F2774">"https://www.google.com/maps/search/?api=1&amp;query=" &amp; A2774 &amp; "," &amp; B2774</f>
        <v>https://www.google.com/maps/search/?api=1&amp;query=-30.89913228117340,-55.54564817279410</v>
      </c>
      <c r="G2774" s="25" t="str">
        <f t="array" ref="G2774">"https://earth.google.com/web/search/" &amp; A2774 &amp; "," &amp; B2774</f>
        <v>https://earth.google.com/web/search/-30.89913228117340,-55.54564817279410</v>
      </c>
      <c r="H2774" s="12"/>
      <c r="I2774" s="12"/>
      <c r="J2774" s="12"/>
      <c r="K2774" s="12"/>
      <c r="L2774" s="12"/>
      <c r="M2774" s="12"/>
      <c r="N2774" s="12"/>
      <c r="O2774" s="12"/>
      <c r="P2774" s="12"/>
      <c r="Q2774" s="12"/>
      <c r="R2774" s="12"/>
      <c r="S2774" s="12"/>
      <c r="T2774" s="12"/>
      <c r="U2774" s="12"/>
      <c r="V2774" s="12"/>
      <c r="W2774" s="12"/>
      <c r="X2774" s="12"/>
      <c r="Y2774" s="12"/>
      <c r="Z2774" s="12"/>
      <c r="AA2774" s="12"/>
    </row>
    <row r="2775" ht="26.25" customHeight="1">
      <c r="A2775" s="28" t="s">
        <v>5560</v>
      </c>
      <c r="B2775" s="29" t="s">
        <v>5561</v>
      </c>
      <c r="C2775" s="30">
        <v>3.0</v>
      </c>
      <c r="D2775" s="31">
        <v>246.0</v>
      </c>
      <c r="E2775" s="31">
        <v>8.0</v>
      </c>
      <c r="F2775" s="32" t="str">
        <f t="array" ref="F2775">"https://www.google.com/maps/search/?api=1&amp;query=" &amp; A2775 &amp; "," &amp; B2775</f>
        <v>https://www.google.com/maps/search/?api=1&amp;query=-30.89902158522090,-55.54577846375450</v>
      </c>
      <c r="G2775" s="33" t="str">
        <f t="array" ref="G2775">"https://earth.google.com/web/search/" &amp; A2775 &amp; "," &amp; B2775</f>
        <v>https://earth.google.com/web/search/-30.89902158522090,-55.54577846375450</v>
      </c>
      <c r="H2775" s="12"/>
      <c r="I2775" s="12"/>
      <c r="J2775" s="12"/>
      <c r="K2775" s="12"/>
      <c r="L2775" s="12"/>
      <c r="M2775" s="12"/>
      <c r="N2775" s="12"/>
      <c r="O2775" s="12"/>
      <c r="P2775" s="12"/>
      <c r="Q2775" s="12"/>
      <c r="R2775" s="12"/>
      <c r="S2775" s="12"/>
      <c r="T2775" s="12"/>
      <c r="U2775" s="12"/>
      <c r="V2775" s="12"/>
      <c r="W2775" s="12"/>
      <c r="X2775" s="12"/>
      <c r="Y2775" s="12"/>
      <c r="Z2775" s="12"/>
      <c r="AA2775" s="12"/>
    </row>
    <row r="2776" ht="26.25" customHeight="1">
      <c r="A2776" s="34" t="s">
        <v>5562</v>
      </c>
      <c r="B2776" s="35" t="s">
        <v>5563</v>
      </c>
      <c r="C2776" s="36">
        <v>3.0</v>
      </c>
      <c r="D2776" s="37">
        <v>246.0</v>
      </c>
      <c r="E2776" s="37">
        <v>9.0</v>
      </c>
      <c r="F2776" s="24" t="str">
        <f t="array" ref="F2776">"https://www.google.com/maps/search/?api=1&amp;query=" &amp; A2776 &amp; "," &amp; B2776</f>
        <v>https://www.google.com/maps/search/?api=1&amp;query=-30.89894455697050,-55.54592555734070</v>
      </c>
      <c r="G2776" s="25" t="str">
        <f t="array" ref="G2776">"https://earth.google.com/web/search/" &amp; A2776 &amp; "," &amp; B2776</f>
        <v>https://earth.google.com/web/search/-30.89894455697050,-55.54592555734070</v>
      </c>
      <c r="H2776" s="12"/>
      <c r="I2776" s="12"/>
      <c r="J2776" s="12"/>
      <c r="K2776" s="12"/>
      <c r="L2776" s="12"/>
      <c r="M2776" s="12"/>
      <c r="N2776" s="12"/>
      <c r="O2776" s="12"/>
      <c r="P2776" s="12"/>
      <c r="Q2776" s="12"/>
      <c r="R2776" s="12"/>
      <c r="S2776" s="12"/>
      <c r="T2776" s="12"/>
      <c r="U2776" s="12"/>
      <c r="V2776" s="12"/>
      <c r="W2776" s="12"/>
      <c r="X2776" s="12"/>
      <c r="Y2776" s="12"/>
      <c r="Z2776" s="12"/>
      <c r="AA2776" s="12"/>
    </row>
    <row r="2777" ht="26.25" customHeight="1">
      <c r="A2777" s="28" t="s">
        <v>5564</v>
      </c>
      <c r="B2777" s="29" t="s">
        <v>5565</v>
      </c>
      <c r="C2777" s="30">
        <v>3.0</v>
      </c>
      <c r="D2777" s="31">
        <v>246.0</v>
      </c>
      <c r="E2777" s="31">
        <v>10.0</v>
      </c>
      <c r="F2777" s="32" t="str">
        <f t="array" ref="F2777">"https://www.google.com/maps/search/?api=1&amp;query=" &amp; A2777 &amp; "," &amp; B2777</f>
        <v>https://www.google.com/maps/search/?api=1&amp;query=-30.89890872990350,-55.54599397272100</v>
      </c>
      <c r="G2777" s="33" t="str">
        <f t="array" ref="G2777">"https://earth.google.com/web/search/" &amp; A2777 &amp; "," &amp; B2777</f>
        <v>https://earth.google.com/web/search/-30.89890872990350,-55.54599397272100</v>
      </c>
      <c r="H2777" s="12"/>
      <c r="I2777" s="12"/>
      <c r="J2777" s="12"/>
      <c r="K2777" s="12"/>
      <c r="L2777" s="12"/>
      <c r="M2777" s="12"/>
      <c r="N2777" s="12"/>
      <c r="O2777" s="12"/>
      <c r="P2777" s="12"/>
      <c r="Q2777" s="12"/>
      <c r="R2777" s="12"/>
      <c r="S2777" s="12"/>
      <c r="T2777" s="12"/>
      <c r="U2777" s="12"/>
      <c r="V2777" s="12"/>
      <c r="W2777" s="12"/>
      <c r="X2777" s="12"/>
      <c r="Y2777" s="12"/>
      <c r="Z2777" s="12"/>
      <c r="AA2777" s="12"/>
    </row>
    <row r="2778" ht="26.25" customHeight="1">
      <c r="A2778" s="34" t="s">
        <v>5566</v>
      </c>
      <c r="B2778" s="35" t="s">
        <v>5567</v>
      </c>
      <c r="C2778" s="36">
        <v>3.0</v>
      </c>
      <c r="D2778" s="37">
        <v>246.0</v>
      </c>
      <c r="E2778" s="37">
        <v>11.0</v>
      </c>
      <c r="F2778" s="24" t="str">
        <f t="array" ref="F2778">"https://www.google.com/maps/search/?api=1&amp;query=" &amp; A2778 &amp; "," &amp; B2778</f>
        <v>https://www.google.com/maps/search/?api=1&amp;query=-30.89870702970310,-0.55546359905343</v>
      </c>
      <c r="G2778" s="25" t="str">
        <f t="array" ref="G2778">"https://earth.google.com/web/search/" &amp; A2778 &amp; "," &amp; B2778</f>
        <v>https://earth.google.com/web/search/-30.89870702970310,-0.55546359905343</v>
      </c>
      <c r="H2778" s="12"/>
      <c r="I2778" s="12"/>
      <c r="J2778" s="12"/>
      <c r="K2778" s="12"/>
      <c r="L2778" s="12"/>
      <c r="M2778" s="12"/>
      <c r="N2778" s="12"/>
      <c r="O2778" s="12"/>
      <c r="P2778" s="12"/>
      <c r="Q2778" s="12"/>
      <c r="R2778" s="12"/>
      <c r="S2778" s="12"/>
      <c r="T2778" s="12"/>
      <c r="U2778" s="12"/>
      <c r="V2778" s="12"/>
      <c r="W2778" s="12"/>
      <c r="X2778" s="12"/>
      <c r="Y2778" s="12"/>
      <c r="Z2778" s="12"/>
      <c r="AA2778" s="12"/>
    </row>
    <row r="2779" ht="26.25" customHeight="1">
      <c r="A2779" s="28" t="s">
        <v>5568</v>
      </c>
      <c r="B2779" s="29" t="s">
        <v>5569</v>
      </c>
      <c r="C2779" s="30">
        <v>3.0</v>
      </c>
      <c r="D2779" s="31">
        <v>246.0</v>
      </c>
      <c r="E2779" s="31">
        <v>12.0</v>
      </c>
      <c r="F2779" s="32" t="str">
        <f t="array" ref="F2779">"https://www.google.com/maps/search/?api=1&amp;query=" &amp; A2779 &amp; "," &amp; B2779</f>
        <v>https://www.google.com/maps/search/?api=1&amp;query=-30.89870246529140,-55.54651862999470</v>
      </c>
      <c r="G2779" s="33" t="str">
        <f t="array" ref="G2779">"https://earth.google.com/web/search/" &amp; A2779 &amp; "," &amp; B2779</f>
        <v>https://earth.google.com/web/search/-30.89870246529140,-55.54651862999470</v>
      </c>
      <c r="H2779" s="12"/>
      <c r="I2779" s="12"/>
      <c r="J2779" s="12"/>
      <c r="K2779" s="12"/>
      <c r="L2779" s="12"/>
      <c r="M2779" s="12"/>
      <c r="N2779" s="12"/>
      <c r="O2779" s="12"/>
      <c r="P2779" s="12"/>
      <c r="Q2779" s="12"/>
      <c r="R2779" s="12"/>
      <c r="S2779" s="12"/>
      <c r="T2779" s="12"/>
      <c r="U2779" s="12"/>
      <c r="V2779" s="12"/>
      <c r="W2779" s="12"/>
      <c r="X2779" s="12"/>
      <c r="Y2779" s="12"/>
      <c r="Z2779" s="12"/>
      <c r="AA2779" s="12"/>
    </row>
    <row r="2780" ht="26.25" customHeight="1">
      <c r="A2780" s="34" t="s">
        <v>5570</v>
      </c>
      <c r="B2780" s="35" t="s">
        <v>5571</v>
      </c>
      <c r="C2780" s="36">
        <v>3.0</v>
      </c>
      <c r="D2780" s="37">
        <v>246.0</v>
      </c>
      <c r="E2780" s="37">
        <v>13.0</v>
      </c>
      <c r="F2780" s="24" t="str">
        <f t="array" ref="F2780">"https://www.google.com/maps/search/?api=1&amp;query=" &amp; A2780 &amp; "," &amp; B2780</f>
        <v>https://www.google.com/maps/search/?api=1&amp;query=-30.89878562366470,-55.54656369061650</v>
      </c>
      <c r="G2780" s="25" t="str">
        <f t="array" ref="G2780">"https://earth.google.com/web/search/" &amp; A2780 &amp; "," &amp; B2780</f>
        <v>https://earth.google.com/web/search/-30.89878562366470,-55.54656369061650</v>
      </c>
      <c r="H2780" s="12"/>
      <c r="I2780" s="12"/>
      <c r="J2780" s="12"/>
      <c r="K2780" s="12"/>
      <c r="L2780" s="12"/>
      <c r="M2780" s="12"/>
      <c r="N2780" s="12"/>
      <c r="O2780" s="12"/>
      <c r="P2780" s="12"/>
      <c r="Q2780" s="12"/>
      <c r="R2780" s="12"/>
      <c r="S2780" s="12"/>
      <c r="T2780" s="12"/>
      <c r="U2780" s="12"/>
      <c r="V2780" s="12"/>
      <c r="W2780" s="12"/>
      <c r="X2780" s="12"/>
      <c r="Y2780" s="12"/>
      <c r="Z2780" s="12"/>
      <c r="AA2780" s="12"/>
    </row>
    <row r="2781" ht="26.25" customHeight="1">
      <c r="A2781" s="28" t="s">
        <v>5572</v>
      </c>
      <c r="B2781" s="29" t="s">
        <v>5573</v>
      </c>
      <c r="C2781" s="30">
        <v>3.0</v>
      </c>
      <c r="D2781" s="31">
        <v>246.0</v>
      </c>
      <c r="E2781" s="31">
        <v>14.0</v>
      </c>
      <c r="F2781" s="32" t="str">
        <f t="array" ref="F2781">"https://www.google.com/maps/search/?api=1&amp;query=" &amp; A2781 &amp; "," &amp; B2781</f>
        <v>https://www.google.com/maps/search/?api=1&amp;query=-30.89891166704570,-55.54663455799330</v>
      </c>
      <c r="G2781" s="33" t="str">
        <f t="array" ref="G2781">"https://earth.google.com/web/search/" &amp; A2781 &amp; "," &amp; B2781</f>
        <v>https://earth.google.com/web/search/-30.89891166704570,-55.54663455799330</v>
      </c>
      <c r="H2781" s="12"/>
      <c r="I2781" s="12"/>
      <c r="J2781" s="12"/>
      <c r="K2781" s="12"/>
      <c r="L2781" s="12"/>
      <c r="M2781" s="12"/>
      <c r="N2781" s="12"/>
      <c r="O2781" s="12"/>
      <c r="P2781" s="12"/>
      <c r="Q2781" s="12"/>
      <c r="R2781" s="12"/>
      <c r="S2781" s="12"/>
      <c r="T2781" s="12"/>
      <c r="U2781" s="12"/>
      <c r="V2781" s="12"/>
      <c r="W2781" s="12"/>
      <c r="X2781" s="12"/>
      <c r="Y2781" s="12"/>
      <c r="Z2781" s="12"/>
      <c r="AA2781" s="12"/>
    </row>
    <row r="2782" ht="26.25" customHeight="1">
      <c r="A2782" s="34" t="s">
        <v>5574</v>
      </c>
      <c r="B2782" s="35" t="s">
        <v>5575</v>
      </c>
      <c r="C2782" s="36">
        <v>3.0</v>
      </c>
      <c r="D2782" s="37">
        <v>246.0</v>
      </c>
      <c r="E2782" s="37">
        <v>15.0</v>
      </c>
      <c r="F2782" s="24" t="str">
        <f t="array" ref="F2782">"https://www.google.com/maps/search/?api=1&amp;query=" &amp; A2782 &amp; "," &amp; B2782</f>
        <v>https://www.google.com/maps/search/?api=1&amp;query=-30.89904693709140,-55.54673780931560</v>
      </c>
      <c r="G2782" s="25" t="str">
        <f t="array" ref="G2782">"https://earth.google.com/web/search/" &amp; A2782 &amp; "," &amp; B2782</f>
        <v>https://earth.google.com/web/search/-30.89904693709140,-55.54673780931560</v>
      </c>
      <c r="H2782" s="12"/>
      <c r="I2782" s="12"/>
      <c r="J2782" s="12"/>
      <c r="K2782" s="12"/>
      <c r="L2782" s="12"/>
      <c r="M2782" s="12"/>
      <c r="N2782" s="12"/>
      <c r="O2782" s="12"/>
      <c r="P2782" s="12"/>
      <c r="Q2782" s="12"/>
      <c r="R2782" s="12"/>
      <c r="S2782" s="12"/>
      <c r="T2782" s="12"/>
      <c r="U2782" s="12"/>
      <c r="V2782" s="12"/>
      <c r="W2782" s="12"/>
      <c r="X2782" s="12"/>
      <c r="Y2782" s="12"/>
      <c r="Z2782" s="12"/>
      <c r="AA2782" s="12"/>
    </row>
    <row r="2783" ht="26.25" customHeight="1">
      <c r="A2783" s="28" t="s">
        <v>5576</v>
      </c>
      <c r="B2783" s="29" t="s">
        <v>5577</v>
      </c>
      <c r="C2783" s="30">
        <v>3.0</v>
      </c>
      <c r="D2783" s="31">
        <v>246.0</v>
      </c>
      <c r="E2783" s="31">
        <v>16.0</v>
      </c>
      <c r="F2783" s="32" t="str">
        <f t="array" ref="F2783">"https://www.google.com/maps/search/?api=1&amp;query=" &amp; A2783 &amp; "," &amp; B2783</f>
        <v>https://www.google.com/maps/search/?api=1&amp;query=-30.89926357377560,-5.55468895425478</v>
      </c>
      <c r="G2783" s="33" t="str">
        <f t="array" ref="G2783">"https://earth.google.com/web/search/" &amp; A2783 &amp; "," &amp; B2783</f>
        <v>https://earth.google.com/web/search/-30.89926357377560,-5.55468895425478</v>
      </c>
      <c r="H2783" s="12"/>
      <c r="I2783" s="12"/>
      <c r="J2783" s="12"/>
      <c r="K2783" s="12"/>
      <c r="L2783" s="12"/>
      <c r="M2783" s="12"/>
      <c r="N2783" s="12"/>
      <c r="O2783" s="12"/>
      <c r="P2783" s="12"/>
      <c r="Q2783" s="12"/>
      <c r="R2783" s="12"/>
      <c r="S2783" s="12"/>
      <c r="T2783" s="12"/>
      <c r="U2783" s="12"/>
      <c r="V2783" s="12"/>
      <c r="W2783" s="12"/>
      <c r="X2783" s="12"/>
      <c r="Y2783" s="12"/>
      <c r="Z2783" s="12"/>
      <c r="AA2783" s="12"/>
    </row>
    <row r="2784" ht="26.25" customHeight="1">
      <c r="A2784" s="34" t="s">
        <v>5578</v>
      </c>
      <c r="B2784" s="35" t="s">
        <v>5579</v>
      </c>
      <c r="C2784" s="36">
        <v>3.0</v>
      </c>
      <c r="D2784" s="37">
        <v>246.0</v>
      </c>
      <c r="E2784" s="37">
        <v>17.0</v>
      </c>
      <c r="F2784" s="24" t="str">
        <f t="array" ref="F2784">"https://www.google.com/maps/search/?api=1&amp;query=" &amp; A2784 &amp; "," &amp; B2784</f>
        <v>https://www.google.com/maps/search/?api=1&amp;query=-3.08993280737146,-55.54694715476870</v>
      </c>
      <c r="G2784" s="25" t="str">
        <f t="array" ref="G2784">"https://earth.google.com/web/search/" &amp; A2784 &amp; "," &amp; B2784</f>
        <v>https://earth.google.com/web/search/-3.08993280737146,-55.54694715476870</v>
      </c>
      <c r="H2784" s="12"/>
      <c r="I2784" s="12"/>
      <c r="J2784" s="12"/>
      <c r="K2784" s="12"/>
      <c r="L2784" s="12"/>
      <c r="M2784" s="12"/>
      <c r="N2784" s="12"/>
      <c r="O2784" s="12"/>
      <c r="P2784" s="12"/>
      <c r="Q2784" s="12"/>
      <c r="R2784" s="12"/>
      <c r="S2784" s="12"/>
      <c r="T2784" s="12"/>
      <c r="U2784" s="12"/>
      <c r="V2784" s="12"/>
      <c r="W2784" s="12"/>
      <c r="X2784" s="12"/>
      <c r="Y2784" s="12"/>
      <c r="Z2784" s="12"/>
      <c r="AA2784" s="12"/>
    </row>
    <row r="2785" ht="26.25" customHeight="1">
      <c r="A2785" s="28" t="s">
        <v>5580</v>
      </c>
      <c r="B2785" s="29" t="s">
        <v>5581</v>
      </c>
      <c r="C2785" s="30">
        <v>3.0</v>
      </c>
      <c r="D2785" s="31">
        <v>220.0</v>
      </c>
      <c r="E2785" s="31">
        <v>1.0</v>
      </c>
      <c r="F2785" s="32" t="str">
        <f t="array" ref="F2785">"https://www.google.com/maps/search/?api=1&amp;query=" &amp; A2785 &amp; "," &amp; B2785</f>
        <v>https://www.google.com/maps/search/?api=1&amp;query=-30.89717455434220,-55.54904809048410</v>
      </c>
      <c r="G2785" s="33" t="str">
        <f t="array" ref="G2785">"https://earth.google.com/web/search/" &amp; A2785 &amp; "," &amp; B2785</f>
        <v>https://earth.google.com/web/search/-30.89717455434220,-55.54904809048410</v>
      </c>
      <c r="H2785" s="12"/>
      <c r="I2785" s="12"/>
      <c r="J2785" s="12"/>
      <c r="K2785" s="12"/>
      <c r="L2785" s="12"/>
      <c r="M2785" s="12"/>
      <c r="N2785" s="12"/>
      <c r="O2785" s="12"/>
      <c r="P2785" s="12"/>
      <c r="Q2785" s="12"/>
      <c r="R2785" s="12"/>
      <c r="S2785" s="12"/>
      <c r="T2785" s="12"/>
      <c r="U2785" s="12"/>
      <c r="V2785" s="12"/>
      <c r="W2785" s="12"/>
      <c r="X2785" s="12"/>
      <c r="Y2785" s="12"/>
      <c r="Z2785" s="12"/>
      <c r="AA2785" s="12"/>
    </row>
    <row r="2786" ht="26.25" customHeight="1">
      <c r="A2786" s="34" t="s">
        <v>5582</v>
      </c>
      <c r="B2786" s="35" t="s">
        <v>5583</v>
      </c>
      <c r="C2786" s="36">
        <v>3.0</v>
      </c>
      <c r="D2786" s="37">
        <v>220.0</v>
      </c>
      <c r="E2786" s="37">
        <v>2.0</v>
      </c>
      <c r="F2786" s="24" t="str">
        <f t="array" ref="F2786">"https://www.google.com/maps/search/?api=1&amp;query=" &amp; A2786 &amp; "," &amp; B2786</f>
        <v>https://www.google.com/maps/search/?api=1&amp;query=-30.89713827394510,-55.54802024842450</v>
      </c>
      <c r="G2786" s="25" t="str">
        <f t="array" ref="G2786">"https://earth.google.com/web/search/" &amp; A2786 &amp; "," &amp; B2786</f>
        <v>https://earth.google.com/web/search/-30.89713827394510,-55.54802024842450</v>
      </c>
      <c r="H2786" s="12"/>
      <c r="I2786" s="12"/>
      <c r="J2786" s="12"/>
      <c r="K2786" s="12"/>
      <c r="L2786" s="12"/>
      <c r="M2786" s="12"/>
      <c r="N2786" s="12"/>
      <c r="O2786" s="12"/>
      <c r="P2786" s="12"/>
      <c r="Q2786" s="12"/>
      <c r="R2786" s="12"/>
      <c r="S2786" s="12"/>
      <c r="T2786" s="12"/>
      <c r="U2786" s="12"/>
      <c r="V2786" s="12"/>
      <c r="W2786" s="12"/>
      <c r="X2786" s="12"/>
      <c r="Y2786" s="12"/>
      <c r="Z2786" s="12"/>
      <c r="AA2786" s="12"/>
    </row>
    <row r="2787" ht="26.25" customHeight="1">
      <c r="A2787" s="28" t="s">
        <v>5584</v>
      </c>
      <c r="B2787" s="29" t="s">
        <v>5585</v>
      </c>
      <c r="C2787" s="30">
        <v>3.0</v>
      </c>
      <c r="D2787" s="31">
        <v>220.0</v>
      </c>
      <c r="E2787" s="31">
        <v>3.0</v>
      </c>
      <c r="F2787" s="32" t="str">
        <f t="array" ref="F2787">"https://www.google.com/maps/search/?api=1&amp;query=" &amp; A2787 &amp; "," &amp; B2787</f>
        <v>https://www.google.com/maps/search/?api=1&amp;query=-30.89701977494090,-55.54793954432340</v>
      </c>
      <c r="G2787" s="33" t="str">
        <f t="array" ref="G2787">"https://earth.google.com/web/search/" &amp; A2787 &amp; "," &amp; B2787</f>
        <v>https://earth.google.com/web/search/-30.89701977494090,-55.54793954432340</v>
      </c>
      <c r="H2787" s="12"/>
      <c r="I2787" s="12"/>
      <c r="J2787" s="12"/>
      <c r="K2787" s="12"/>
      <c r="L2787" s="12"/>
      <c r="M2787" s="12"/>
      <c r="N2787" s="12"/>
      <c r="O2787" s="12"/>
      <c r="P2787" s="12"/>
      <c r="Q2787" s="12"/>
      <c r="R2787" s="12"/>
      <c r="S2787" s="12"/>
      <c r="T2787" s="12"/>
      <c r="U2787" s="12"/>
      <c r="V2787" s="12"/>
      <c r="W2787" s="12"/>
      <c r="X2787" s="12"/>
      <c r="Y2787" s="12"/>
      <c r="Z2787" s="12"/>
      <c r="AA2787" s="12"/>
    </row>
    <row r="2788" ht="26.25" customHeight="1">
      <c r="A2788" s="34" t="s">
        <v>5586</v>
      </c>
      <c r="B2788" s="35" t="s">
        <v>5587</v>
      </c>
      <c r="C2788" s="36">
        <v>3.0</v>
      </c>
      <c r="D2788" s="37">
        <v>220.0</v>
      </c>
      <c r="E2788" s="37">
        <v>4.0</v>
      </c>
      <c r="F2788" s="24" t="str">
        <f t="array" ref="F2788">"https://www.google.com/maps/search/?api=1&amp;query=" &amp; A2788 &amp; "," &amp; B2788</f>
        <v>https://www.google.com/maps/search/?api=1&amp;query=-30.89693180298400,-55.54789947634780</v>
      </c>
      <c r="G2788" s="25" t="str">
        <f t="array" ref="G2788">"https://earth.google.com/web/search/" &amp; A2788 &amp; "," &amp; B2788</f>
        <v>https://earth.google.com/web/search/-30.89693180298400,-55.54789947634780</v>
      </c>
      <c r="H2788" s="12"/>
      <c r="I2788" s="12"/>
      <c r="J2788" s="12"/>
      <c r="K2788" s="12"/>
      <c r="L2788" s="12"/>
      <c r="M2788" s="12"/>
      <c r="N2788" s="12"/>
      <c r="O2788" s="12"/>
      <c r="P2788" s="12"/>
      <c r="Q2788" s="12"/>
      <c r="R2788" s="12"/>
      <c r="S2788" s="12"/>
      <c r="T2788" s="12"/>
      <c r="U2788" s="12"/>
      <c r="V2788" s="12"/>
      <c r="W2788" s="12"/>
      <c r="X2788" s="12"/>
      <c r="Y2788" s="12"/>
      <c r="Z2788" s="12"/>
      <c r="AA2788" s="12"/>
    </row>
    <row r="2789" ht="26.25" customHeight="1">
      <c r="A2789" s="28" t="s">
        <v>5588</v>
      </c>
      <c r="B2789" s="29" t="s">
        <v>5589</v>
      </c>
      <c r="C2789" s="30">
        <v>3.0</v>
      </c>
      <c r="D2789" s="31">
        <v>220.0</v>
      </c>
      <c r="E2789" s="31">
        <v>5.0</v>
      </c>
      <c r="F2789" s="32" t="str">
        <f t="array" ref="F2789">"https://www.google.com/maps/search/?api=1&amp;query=" &amp; A2789 &amp; "," &amp; B2789</f>
        <v>https://www.google.com/maps/search/?api=1&amp;query=-30.89683261077680,-55.54787049534790</v>
      </c>
      <c r="G2789" s="33" t="str">
        <f t="array" ref="G2789">"https://earth.google.com/web/search/" &amp; A2789 &amp; "," &amp; B2789</f>
        <v>https://earth.google.com/web/search/-30.89683261077680,-55.54787049534790</v>
      </c>
      <c r="H2789" s="12"/>
      <c r="I2789" s="12"/>
      <c r="J2789" s="12"/>
      <c r="K2789" s="12"/>
      <c r="L2789" s="12"/>
      <c r="M2789" s="12"/>
      <c r="N2789" s="12"/>
      <c r="O2789" s="12"/>
      <c r="P2789" s="12"/>
      <c r="Q2789" s="12"/>
      <c r="R2789" s="12"/>
      <c r="S2789" s="12"/>
      <c r="T2789" s="12"/>
      <c r="U2789" s="12"/>
      <c r="V2789" s="12"/>
      <c r="W2789" s="12"/>
      <c r="X2789" s="12"/>
      <c r="Y2789" s="12"/>
      <c r="Z2789" s="12"/>
      <c r="AA2789" s="12"/>
    </row>
    <row r="2790" ht="26.25" customHeight="1">
      <c r="A2790" s="34" t="s">
        <v>5590</v>
      </c>
      <c r="B2790" s="35" t="s">
        <v>5591</v>
      </c>
      <c r="C2790" s="36">
        <v>3.0</v>
      </c>
      <c r="D2790" s="37">
        <v>220.0</v>
      </c>
      <c r="E2790" s="37">
        <v>6.0</v>
      </c>
      <c r="F2790" s="24" t="str">
        <f t="array" ref="F2790">"https://www.google.com/maps/search/?api=1&amp;query=" &amp; A2790 &amp; "," &amp; B2790</f>
        <v>https://www.google.com/maps/search/?api=1&amp;query=-30.89647854668550,-55.54852373286760</v>
      </c>
      <c r="G2790" s="25" t="str">
        <f t="array" ref="G2790">"https://earth.google.com/web/search/" &amp; A2790 &amp; "," &amp; B2790</f>
        <v>https://earth.google.com/web/search/-30.89647854668550,-55.54852373286760</v>
      </c>
      <c r="H2790" s="12"/>
      <c r="I2790" s="12"/>
      <c r="J2790" s="12"/>
      <c r="K2790" s="12"/>
      <c r="L2790" s="12"/>
      <c r="M2790" s="12"/>
      <c r="N2790" s="12"/>
      <c r="O2790" s="12"/>
      <c r="P2790" s="12"/>
      <c r="Q2790" s="12"/>
      <c r="R2790" s="12"/>
      <c r="S2790" s="12"/>
      <c r="T2790" s="12"/>
      <c r="U2790" s="12"/>
      <c r="V2790" s="12"/>
      <c r="W2790" s="12"/>
      <c r="X2790" s="12"/>
      <c r="Y2790" s="12"/>
      <c r="Z2790" s="12"/>
      <c r="AA2790" s="12"/>
    </row>
    <row r="2791" ht="26.25" customHeight="1">
      <c r="A2791" s="28" t="s">
        <v>5592</v>
      </c>
      <c r="B2791" s="29" t="s">
        <v>5593</v>
      </c>
      <c r="C2791" s="30">
        <v>3.0</v>
      </c>
      <c r="D2791" s="31">
        <v>220.0</v>
      </c>
      <c r="E2791" s="31">
        <v>7.0</v>
      </c>
      <c r="F2791" s="32" t="str">
        <f t="array" ref="F2791">"https://www.google.com/maps/search/?api=1&amp;query=" &amp; A2791 &amp; "," &amp; B2791</f>
        <v>https://www.google.com/maps/search/?api=1&amp;query=-30.89705126026590,-55.54904046185540</v>
      </c>
      <c r="G2791" s="33" t="str">
        <f t="array" ref="G2791">"https://earth.google.com/web/search/" &amp; A2791 &amp; "," &amp; B2791</f>
        <v>https://earth.google.com/web/search/-30.89705126026590,-55.54904046185540</v>
      </c>
      <c r="H2791" s="12"/>
      <c r="I2791" s="12"/>
      <c r="J2791" s="12"/>
      <c r="K2791" s="12"/>
      <c r="L2791" s="12"/>
      <c r="M2791" s="12"/>
      <c r="N2791" s="12"/>
      <c r="O2791" s="12"/>
      <c r="P2791" s="12"/>
      <c r="Q2791" s="12"/>
      <c r="R2791" s="12"/>
      <c r="S2791" s="12"/>
      <c r="T2791" s="12"/>
      <c r="U2791" s="12"/>
      <c r="V2791" s="12"/>
      <c r="W2791" s="12"/>
      <c r="X2791" s="12"/>
      <c r="Y2791" s="12"/>
      <c r="Z2791" s="12"/>
      <c r="AA2791" s="12"/>
    </row>
    <row r="2792" ht="26.25" customHeight="1">
      <c r="A2792" s="34" t="s">
        <v>5594</v>
      </c>
      <c r="B2792" s="35" t="s">
        <v>5595</v>
      </c>
      <c r="C2792" s="36">
        <v>3.0</v>
      </c>
      <c r="D2792" s="37">
        <v>247.0</v>
      </c>
      <c r="E2792" s="37">
        <v>1.0</v>
      </c>
      <c r="F2792" s="24" t="str">
        <f t="array" ref="F2792">"https://www.google.com/maps/search/?api=1&amp;query=" &amp; A2792 &amp; "," &amp; B2792</f>
        <v>https://www.google.com/maps/search/?api=1&amp;query=-30.89881314423170,-55.54784538900100</v>
      </c>
      <c r="G2792" s="25" t="str">
        <f t="array" ref="G2792">"https://earth.google.com/web/search/" &amp; A2792 &amp; "," &amp; B2792</f>
        <v>https://earth.google.com/web/search/-30.89881314423170,-55.54784538900100</v>
      </c>
      <c r="H2792" s="12"/>
      <c r="I2792" s="12"/>
      <c r="J2792" s="12"/>
      <c r="K2792" s="12"/>
      <c r="L2792" s="12"/>
      <c r="M2792" s="12"/>
      <c r="N2792" s="12"/>
      <c r="O2792" s="12"/>
      <c r="P2792" s="12"/>
      <c r="Q2792" s="12"/>
      <c r="R2792" s="12"/>
      <c r="S2792" s="12"/>
      <c r="T2792" s="12"/>
      <c r="U2792" s="12"/>
      <c r="V2792" s="12"/>
      <c r="W2792" s="12"/>
      <c r="X2792" s="12"/>
      <c r="Y2792" s="12"/>
      <c r="Z2792" s="12"/>
      <c r="AA2792" s="12"/>
    </row>
    <row r="2793" ht="26.25" customHeight="1">
      <c r="A2793" s="28" t="s">
        <v>5596</v>
      </c>
      <c r="B2793" s="29" t="s">
        <v>5597</v>
      </c>
      <c r="C2793" s="30">
        <v>3.0</v>
      </c>
      <c r="D2793" s="31">
        <v>247.0</v>
      </c>
      <c r="E2793" s="31">
        <v>2.0</v>
      </c>
      <c r="F2793" s="32" t="str">
        <f t="array" ref="F2793">"https://www.google.com/maps/search/?api=1&amp;query=" &amp; A2793 &amp; "," &amp; B2793</f>
        <v>https://www.google.com/maps/search/?api=1&amp;query=-3.08991766491513,-55.54697091102090</v>
      </c>
      <c r="G2793" s="33" t="str">
        <f t="array" ref="G2793">"https://earth.google.com/web/search/" &amp; A2793 &amp; "," &amp; B2793</f>
        <v>https://earth.google.com/web/search/-3.08991766491513,-55.54697091102090</v>
      </c>
      <c r="H2793" s="12"/>
      <c r="I2793" s="12"/>
      <c r="J2793" s="12"/>
      <c r="K2793" s="12"/>
      <c r="L2793" s="12"/>
      <c r="M2793" s="12"/>
      <c r="N2793" s="12"/>
      <c r="O2793" s="12"/>
      <c r="P2793" s="12"/>
      <c r="Q2793" s="12"/>
      <c r="R2793" s="12"/>
      <c r="S2793" s="12"/>
      <c r="T2793" s="12"/>
      <c r="U2793" s="12"/>
      <c r="V2793" s="12"/>
      <c r="W2793" s="12"/>
      <c r="X2793" s="12"/>
      <c r="Y2793" s="12"/>
      <c r="Z2793" s="12"/>
      <c r="AA2793" s="12"/>
    </row>
    <row r="2794" ht="26.25" customHeight="1">
      <c r="A2794" s="34" t="s">
        <v>5598</v>
      </c>
      <c r="B2794" s="35" t="s">
        <v>5599</v>
      </c>
      <c r="C2794" s="36">
        <v>3.0</v>
      </c>
      <c r="D2794" s="37">
        <v>247.0</v>
      </c>
      <c r="E2794" s="37">
        <v>3.0</v>
      </c>
      <c r="F2794" s="24" t="str">
        <f t="array" ref="F2794">"https://www.google.com/maps/search/?api=1&amp;query=" &amp; A2794 &amp; "," &amp; B2794</f>
        <v>https://www.google.com/maps/search/?api=1&amp;query=-30.89910889022860,-55.54691567579120</v>
      </c>
      <c r="G2794" s="25" t="str">
        <f t="array" ref="G2794">"https://earth.google.com/web/search/" &amp; A2794 &amp; "," &amp; B2794</f>
        <v>https://earth.google.com/web/search/-30.89910889022860,-55.54691567579120</v>
      </c>
      <c r="H2794" s="12"/>
      <c r="I2794" s="12"/>
      <c r="J2794" s="12"/>
      <c r="K2794" s="12"/>
      <c r="L2794" s="12"/>
      <c r="M2794" s="12"/>
      <c r="N2794" s="12"/>
      <c r="O2794" s="12"/>
      <c r="P2794" s="12"/>
      <c r="Q2794" s="12"/>
      <c r="R2794" s="12"/>
      <c r="S2794" s="12"/>
      <c r="T2794" s="12"/>
      <c r="U2794" s="12"/>
      <c r="V2794" s="12"/>
      <c r="W2794" s="12"/>
      <c r="X2794" s="12"/>
      <c r="Y2794" s="12"/>
      <c r="Z2794" s="12"/>
      <c r="AA2794" s="12"/>
    </row>
    <row r="2795" ht="26.25" customHeight="1">
      <c r="A2795" s="28" t="s">
        <v>5600</v>
      </c>
      <c r="B2795" s="29" t="s">
        <v>5601</v>
      </c>
      <c r="C2795" s="30">
        <v>3.0</v>
      </c>
      <c r="D2795" s="31">
        <v>247.0</v>
      </c>
      <c r="E2795" s="31">
        <v>4.0</v>
      </c>
      <c r="F2795" s="32" t="str">
        <f t="array" ref="F2795">"https://www.google.com/maps/search/?api=1&amp;query=" &amp; A2795 &amp; "," &amp; B2795</f>
        <v>https://www.google.com/maps/search/?api=1&amp;query=-30.89901553413420,-55.54685162461940</v>
      </c>
      <c r="G2795" s="33" t="str">
        <f t="array" ref="G2795">"https://earth.google.com/web/search/" &amp; A2795 &amp; "," &amp; B2795</f>
        <v>https://earth.google.com/web/search/-30.89901553413420,-55.54685162461940</v>
      </c>
      <c r="H2795" s="12"/>
      <c r="I2795" s="12"/>
      <c r="J2795" s="12"/>
      <c r="K2795" s="12"/>
      <c r="L2795" s="12"/>
      <c r="M2795" s="12"/>
      <c r="N2795" s="12"/>
      <c r="O2795" s="12"/>
      <c r="P2795" s="12"/>
      <c r="Q2795" s="12"/>
      <c r="R2795" s="12"/>
      <c r="S2795" s="12"/>
      <c r="T2795" s="12"/>
      <c r="U2795" s="12"/>
      <c r="V2795" s="12"/>
      <c r="W2795" s="12"/>
      <c r="X2795" s="12"/>
      <c r="Y2795" s="12"/>
      <c r="Z2795" s="12"/>
      <c r="AA2795" s="12"/>
    </row>
    <row r="2796" ht="26.25" customHeight="1">
      <c r="A2796" s="34" t="s">
        <v>5602</v>
      </c>
      <c r="B2796" s="35" t="s">
        <v>5603</v>
      </c>
      <c r="C2796" s="36">
        <v>3.0</v>
      </c>
      <c r="D2796" s="37">
        <v>247.0</v>
      </c>
      <c r="E2796" s="37">
        <v>5.0</v>
      </c>
      <c r="F2796" s="24" t="str">
        <f t="array" ref="F2796">"https://www.google.com/maps/search/?api=1&amp;query=" &amp; A2796 &amp; "," &amp; B2796</f>
        <v>https://www.google.com/maps/search/?api=1&amp;query=-30.89894280027790,-55.54679050382460</v>
      </c>
      <c r="G2796" s="25" t="str">
        <f t="array" ref="G2796">"https://earth.google.com/web/search/" &amp; A2796 &amp; "," &amp; B2796</f>
        <v>https://earth.google.com/web/search/-30.89894280027790,-55.54679050382460</v>
      </c>
      <c r="H2796" s="12"/>
      <c r="I2796" s="12"/>
      <c r="J2796" s="12"/>
      <c r="K2796" s="12"/>
      <c r="L2796" s="12"/>
      <c r="M2796" s="12"/>
      <c r="N2796" s="12"/>
      <c r="O2796" s="12"/>
      <c r="P2796" s="12"/>
      <c r="Q2796" s="12"/>
      <c r="R2796" s="12"/>
      <c r="S2796" s="12"/>
      <c r="T2796" s="12"/>
      <c r="U2796" s="12"/>
      <c r="V2796" s="12"/>
      <c r="W2796" s="12"/>
      <c r="X2796" s="12"/>
      <c r="Y2796" s="12"/>
      <c r="Z2796" s="12"/>
      <c r="AA2796" s="12"/>
    </row>
    <row r="2797" ht="26.25" customHeight="1">
      <c r="A2797" s="28" t="s">
        <v>5604</v>
      </c>
      <c r="B2797" s="29" t="s">
        <v>5605</v>
      </c>
      <c r="C2797" s="30">
        <v>3.0</v>
      </c>
      <c r="D2797" s="31">
        <v>247.0</v>
      </c>
      <c r="E2797" s="31">
        <v>6.0</v>
      </c>
      <c r="F2797" s="32" t="str">
        <f t="array" ref="F2797">"https://www.google.com/maps/search/?api=1&amp;query=" &amp; A2797 &amp; "," &amp; B2797</f>
        <v>https://www.google.com/maps/search/?api=1&amp;query=-30.89854001209350,-55.54665191307480</v>
      </c>
      <c r="G2797" s="33" t="str">
        <f t="array" ref="G2797">"https://earth.google.com/web/search/" &amp; A2797 &amp; "," &amp; B2797</f>
        <v>https://earth.google.com/web/search/-30.89854001209350,-55.54665191307480</v>
      </c>
      <c r="H2797" s="12"/>
      <c r="I2797" s="12"/>
      <c r="J2797" s="12"/>
      <c r="K2797" s="12"/>
      <c r="L2797" s="12"/>
      <c r="M2797" s="12"/>
      <c r="N2797" s="12"/>
      <c r="O2797" s="12"/>
      <c r="P2797" s="12"/>
      <c r="Q2797" s="12"/>
      <c r="R2797" s="12"/>
      <c r="S2797" s="12"/>
      <c r="T2797" s="12"/>
      <c r="U2797" s="12"/>
      <c r="V2797" s="12"/>
      <c r="W2797" s="12"/>
      <c r="X2797" s="12"/>
      <c r="Y2797" s="12"/>
      <c r="Z2797" s="12"/>
      <c r="AA2797" s="12"/>
    </row>
    <row r="2798" ht="26.25" customHeight="1">
      <c r="A2798" s="34" t="s">
        <v>5606</v>
      </c>
      <c r="B2798" s="35" t="s">
        <v>5607</v>
      </c>
      <c r="C2798" s="36">
        <v>3.0</v>
      </c>
      <c r="D2798" s="37">
        <v>247.0</v>
      </c>
      <c r="E2798" s="37">
        <v>7.0</v>
      </c>
      <c r="F2798" s="24" t="str">
        <f t="array" ref="F2798">"https://www.google.com/maps/search/?api=1&amp;query=" &amp; A2798 &amp; "," &amp; B2798</f>
        <v>https://www.google.com/maps/search/?api=1&amp;query=-30.89850468111540,-55.54673476523140</v>
      </c>
      <c r="G2798" s="25" t="str">
        <f t="array" ref="G2798">"https://earth.google.com/web/search/" &amp; A2798 &amp; "," &amp; B2798</f>
        <v>https://earth.google.com/web/search/-30.89850468111540,-55.54673476523140</v>
      </c>
      <c r="H2798" s="12"/>
      <c r="I2798" s="12"/>
      <c r="J2798" s="12"/>
      <c r="K2798" s="12"/>
      <c r="L2798" s="12"/>
      <c r="M2798" s="12"/>
      <c r="N2798" s="12"/>
      <c r="O2798" s="12"/>
      <c r="P2798" s="12"/>
      <c r="Q2798" s="12"/>
      <c r="R2798" s="12"/>
      <c r="S2798" s="12"/>
      <c r="T2798" s="12"/>
      <c r="U2798" s="12"/>
      <c r="V2798" s="12"/>
      <c r="W2798" s="12"/>
      <c r="X2798" s="12"/>
      <c r="Y2798" s="12"/>
      <c r="Z2798" s="12"/>
      <c r="AA2798" s="12"/>
    </row>
    <row r="2799" ht="26.25" customHeight="1">
      <c r="A2799" s="28" t="s">
        <v>5608</v>
      </c>
      <c r="B2799" s="29" t="s">
        <v>5609</v>
      </c>
      <c r="C2799" s="30">
        <v>3.0</v>
      </c>
      <c r="D2799" s="31">
        <v>247.0</v>
      </c>
      <c r="E2799" s="31">
        <v>8.0</v>
      </c>
      <c r="F2799" s="32" t="str">
        <f t="array" ref="F2799">"https://www.google.com/maps/search/?api=1&amp;query=" &amp; A2799 &amp; "," &amp; B2799</f>
        <v>https://www.google.com/maps/search/?api=1&amp;query=-30.89845011977440,-55.54682741428850</v>
      </c>
      <c r="G2799" s="33" t="str">
        <f t="array" ref="G2799">"https://earth.google.com/web/search/" &amp; A2799 &amp; "," &amp; B2799</f>
        <v>https://earth.google.com/web/search/-30.89845011977440,-55.54682741428850</v>
      </c>
      <c r="H2799" s="12"/>
      <c r="I2799" s="12"/>
      <c r="J2799" s="12"/>
      <c r="K2799" s="12"/>
      <c r="L2799" s="12"/>
      <c r="M2799" s="12"/>
      <c r="N2799" s="12"/>
      <c r="O2799" s="12"/>
      <c r="P2799" s="12"/>
      <c r="Q2799" s="12"/>
      <c r="R2799" s="12"/>
      <c r="S2799" s="12"/>
      <c r="T2799" s="12"/>
      <c r="U2799" s="12"/>
      <c r="V2799" s="12"/>
      <c r="W2799" s="12"/>
      <c r="X2799" s="12"/>
      <c r="Y2799" s="12"/>
      <c r="Z2799" s="12"/>
      <c r="AA2799" s="12"/>
    </row>
    <row r="2800" ht="26.25" customHeight="1">
      <c r="A2800" s="34" t="s">
        <v>5610</v>
      </c>
      <c r="B2800" s="35" t="s">
        <v>5611</v>
      </c>
      <c r="C2800" s="36">
        <v>3.0</v>
      </c>
      <c r="D2800" s="37">
        <v>247.0</v>
      </c>
      <c r="E2800" s="37">
        <v>9.0</v>
      </c>
      <c r="F2800" s="24" t="str">
        <f t="array" ref="F2800">"https://www.google.com/maps/search/?api=1&amp;query=" &amp; A2800 &amp; "," &amp; B2800</f>
        <v>https://www.google.com/maps/search/?api=1&amp;query=-30.89831511355410,-55.54707828134420</v>
      </c>
      <c r="G2800" s="25" t="str">
        <f t="array" ref="G2800">"https://earth.google.com/web/search/" &amp; A2800 &amp; "," &amp; B2800</f>
        <v>https://earth.google.com/web/search/-30.89831511355410,-55.54707828134420</v>
      </c>
      <c r="H2800" s="12"/>
      <c r="I2800" s="12"/>
      <c r="J2800" s="12"/>
      <c r="K2800" s="12"/>
      <c r="L2800" s="12"/>
      <c r="M2800" s="12"/>
      <c r="N2800" s="12"/>
      <c r="O2800" s="12"/>
      <c r="P2800" s="12"/>
      <c r="Q2800" s="12"/>
      <c r="R2800" s="12"/>
      <c r="S2800" s="12"/>
      <c r="T2800" s="12"/>
      <c r="U2800" s="12"/>
      <c r="V2800" s="12"/>
      <c r="W2800" s="12"/>
      <c r="X2800" s="12"/>
      <c r="Y2800" s="12"/>
      <c r="Z2800" s="12"/>
      <c r="AA2800" s="12"/>
    </row>
    <row r="2801" ht="26.25" customHeight="1">
      <c r="A2801" s="28" t="s">
        <v>5612</v>
      </c>
      <c r="B2801" s="29" t="s">
        <v>5613</v>
      </c>
      <c r="C2801" s="30">
        <v>3.0</v>
      </c>
      <c r="D2801" s="31">
        <v>247.0</v>
      </c>
      <c r="E2801" s="31">
        <v>10.0</v>
      </c>
      <c r="F2801" s="32" t="str">
        <f t="array" ref="F2801">"https://www.google.com/maps/search/?api=1&amp;query=" &amp; A2801 &amp; "," &amp; B2801</f>
        <v>https://www.google.com/maps/search/?api=1&amp;query=-3.08984021129434,-55.54752132060070</v>
      </c>
      <c r="G2801" s="33" t="str">
        <f t="array" ref="G2801">"https://earth.google.com/web/search/" &amp; A2801 &amp; "," &amp; B2801</f>
        <v>https://earth.google.com/web/search/-3.08984021129434,-55.54752132060070</v>
      </c>
      <c r="H2801" s="12"/>
      <c r="I2801" s="12"/>
      <c r="J2801" s="12"/>
      <c r="K2801" s="12"/>
      <c r="L2801" s="12"/>
      <c r="M2801" s="12"/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/>
      <c r="AA2801" s="12"/>
    </row>
    <row r="2802" ht="26.25" customHeight="1">
      <c r="A2802" s="34" t="s">
        <v>5614</v>
      </c>
      <c r="B2802" s="35" t="s">
        <v>5615</v>
      </c>
      <c r="C2802" s="36">
        <v>3.0</v>
      </c>
      <c r="D2802" s="37">
        <v>248.0</v>
      </c>
      <c r="E2802" s="37">
        <v>1.0</v>
      </c>
      <c r="F2802" s="24" t="str">
        <f t="array" ref="F2802">"https://www.google.com/maps/search/?api=1&amp;query=" &amp; A2802 &amp; "," &amp; B2802</f>
        <v>https://www.google.com/maps/search/?api=1&amp;query=-3.08984699107115,-55.54868690167100</v>
      </c>
      <c r="G2802" s="25" t="str">
        <f t="array" ref="G2802">"https://earth.google.com/web/search/" &amp; A2802 &amp; "," &amp; B2802</f>
        <v>https://earth.google.com/web/search/-3.08984699107115,-55.54868690167100</v>
      </c>
      <c r="H2802" s="12"/>
      <c r="I2802" s="12"/>
      <c r="J2802" s="12"/>
      <c r="K2802" s="12"/>
      <c r="L2802" s="12"/>
      <c r="M2802" s="12"/>
      <c r="N2802" s="12"/>
      <c r="O2802" s="12"/>
      <c r="P2802" s="12"/>
      <c r="Q2802" s="12"/>
      <c r="R2802" s="12"/>
      <c r="S2802" s="12"/>
      <c r="T2802" s="12"/>
      <c r="U2802" s="12"/>
      <c r="V2802" s="12"/>
      <c r="W2802" s="12"/>
      <c r="X2802" s="12"/>
      <c r="Y2802" s="12"/>
      <c r="Z2802" s="12"/>
      <c r="AA2802" s="12"/>
    </row>
    <row r="2803" ht="26.25" customHeight="1">
      <c r="A2803" s="28" t="s">
        <v>5616</v>
      </c>
      <c r="B2803" s="29" t="s">
        <v>5617</v>
      </c>
      <c r="C2803" s="30">
        <v>3.0</v>
      </c>
      <c r="D2803" s="31">
        <v>248.0</v>
      </c>
      <c r="E2803" s="31">
        <v>2.0</v>
      </c>
      <c r="F2803" s="32" t="str">
        <f t="array" ref="F2803">"https://www.google.com/maps/search/?api=1&amp;query=" &amp; A2803 &amp; "," &amp; B2803</f>
        <v>https://www.google.com/maps/search/?api=1&amp;query=-30.89878917143320,-55.54808371962420</v>
      </c>
      <c r="G2803" s="33" t="str">
        <f t="array" ref="G2803">"https://earth.google.com/web/search/" &amp; A2803 &amp; "," &amp; B2803</f>
        <v>https://earth.google.com/web/search/-30.89878917143320,-55.54808371962420</v>
      </c>
      <c r="H2803" s="12"/>
      <c r="I2803" s="12"/>
      <c r="J2803" s="12"/>
      <c r="K2803" s="12"/>
      <c r="L2803" s="12"/>
      <c r="M2803" s="12"/>
      <c r="N2803" s="12"/>
      <c r="O2803" s="12"/>
      <c r="P2803" s="12"/>
      <c r="Q2803" s="12"/>
      <c r="R2803" s="12"/>
      <c r="S2803" s="12"/>
      <c r="T2803" s="12"/>
      <c r="U2803" s="12"/>
      <c r="V2803" s="12"/>
      <c r="W2803" s="12"/>
      <c r="X2803" s="12"/>
      <c r="Y2803" s="12"/>
      <c r="Z2803" s="12"/>
      <c r="AA2803" s="12"/>
    </row>
    <row r="2804" ht="26.25" customHeight="1">
      <c r="A2804" s="34" t="s">
        <v>5618</v>
      </c>
      <c r="B2804" s="35" t="s">
        <v>5619</v>
      </c>
      <c r="C2804" s="36">
        <v>3.0</v>
      </c>
      <c r="D2804" s="37">
        <v>248.0</v>
      </c>
      <c r="E2804" s="37">
        <v>3.0</v>
      </c>
      <c r="F2804" s="24" t="str">
        <f t="array" ref="F2804">"https://www.google.com/maps/search/?api=1&amp;query=" &amp; A2804 &amp; "," &amp; B2804</f>
        <v>https://www.google.com/maps/search/?api=1&amp;query=-30.89867446026590,-55.54785196419410</v>
      </c>
      <c r="G2804" s="25" t="str">
        <f t="array" ref="G2804">"https://earth.google.com/web/search/" &amp; A2804 &amp; "," &amp; B2804</f>
        <v>https://earth.google.com/web/search/-30.89867446026590,-55.54785196419410</v>
      </c>
      <c r="H2804" s="12"/>
      <c r="I2804" s="12"/>
      <c r="J2804" s="12"/>
      <c r="K2804" s="12"/>
      <c r="L2804" s="12"/>
      <c r="M2804" s="12"/>
      <c r="N2804" s="12"/>
      <c r="O2804" s="12"/>
      <c r="P2804" s="12"/>
      <c r="Q2804" s="12"/>
      <c r="R2804" s="12"/>
      <c r="S2804" s="12"/>
      <c r="T2804" s="12"/>
      <c r="U2804" s="12"/>
      <c r="V2804" s="12"/>
      <c r="W2804" s="12"/>
      <c r="X2804" s="12"/>
      <c r="Y2804" s="12"/>
      <c r="Z2804" s="12"/>
      <c r="AA2804" s="12"/>
    </row>
    <row r="2805" ht="26.25" customHeight="1">
      <c r="A2805" s="28" t="s">
        <v>5620</v>
      </c>
      <c r="B2805" s="29" t="s">
        <v>5621</v>
      </c>
      <c r="C2805" s="30">
        <v>3.0</v>
      </c>
      <c r="D2805" s="31">
        <v>248.0</v>
      </c>
      <c r="E2805" s="31">
        <v>4.0</v>
      </c>
      <c r="F2805" s="32" t="str">
        <f t="array" ref="F2805">"https://www.google.com/maps/search/?api=1&amp;query=" &amp; A2805 &amp; "," &amp; B2805</f>
        <v>https://www.google.com/maps/search/?api=1&amp;query=-30.89849080615260,-55.54770892337040</v>
      </c>
      <c r="G2805" s="33" t="str">
        <f t="array" ref="G2805">"https://earth.google.com/web/search/" &amp; A2805 &amp; "," &amp; B2805</f>
        <v>https://earth.google.com/web/search/-30.89849080615260,-55.54770892337040</v>
      </c>
      <c r="H2805" s="12"/>
      <c r="I2805" s="12"/>
      <c r="J2805" s="12"/>
      <c r="K2805" s="12"/>
      <c r="L2805" s="12"/>
      <c r="M2805" s="12"/>
      <c r="N2805" s="12"/>
      <c r="O2805" s="12"/>
      <c r="P2805" s="12"/>
      <c r="Q2805" s="12"/>
      <c r="R2805" s="12"/>
      <c r="S2805" s="12"/>
      <c r="T2805" s="12"/>
      <c r="U2805" s="12"/>
      <c r="V2805" s="12"/>
      <c r="W2805" s="12"/>
      <c r="X2805" s="12"/>
      <c r="Y2805" s="12"/>
      <c r="Z2805" s="12"/>
      <c r="AA2805" s="12"/>
    </row>
    <row r="2806" ht="26.25" customHeight="1">
      <c r="A2806" s="34" t="s">
        <v>5622</v>
      </c>
      <c r="B2806" s="35" t="s">
        <v>5623</v>
      </c>
      <c r="C2806" s="36">
        <v>3.0</v>
      </c>
      <c r="D2806" s="37">
        <v>248.0</v>
      </c>
      <c r="E2806" s="37">
        <v>5.0</v>
      </c>
      <c r="F2806" s="24" t="str">
        <f t="array" ref="F2806">"https://www.google.com/maps/search/?api=1&amp;query=" &amp; A2806 &amp; "," &amp; B2806</f>
        <v>https://www.google.com/maps/search/?api=1&amp;query=-30.89839736971330,-55.54765367149190</v>
      </c>
      <c r="G2806" s="25" t="str">
        <f t="array" ref="G2806">"https://earth.google.com/web/search/" &amp; A2806 &amp; "," &amp; B2806</f>
        <v>https://earth.google.com/web/search/-30.89839736971330,-55.54765367149190</v>
      </c>
      <c r="H2806" s="12"/>
      <c r="I2806" s="12"/>
      <c r="J2806" s="12"/>
      <c r="K2806" s="12"/>
      <c r="L2806" s="12"/>
      <c r="M2806" s="12"/>
      <c r="N2806" s="12"/>
      <c r="O2806" s="12"/>
      <c r="P2806" s="12"/>
      <c r="Q2806" s="12"/>
      <c r="R2806" s="12"/>
      <c r="S2806" s="12"/>
      <c r="T2806" s="12"/>
      <c r="U2806" s="12"/>
      <c r="V2806" s="12"/>
      <c r="W2806" s="12"/>
      <c r="X2806" s="12"/>
      <c r="Y2806" s="12"/>
      <c r="Z2806" s="12"/>
      <c r="AA2806" s="12"/>
    </row>
    <row r="2807" ht="26.25" customHeight="1">
      <c r="A2807" s="28" t="s">
        <v>5624</v>
      </c>
      <c r="B2807" s="29" t="s">
        <v>5625</v>
      </c>
      <c r="C2807" s="30">
        <v>3.0</v>
      </c>
      <c r="D2807" s="31">
        <v>248.0</v>
      </c>
      <c r="E2807" s="31">
        <v>6.0</v>
      </c>
      <c r="F2807" s="32" t="str">
        <f t="array" ref="F2807">"https://www.google.com/maps/search/?api=1&amp;query=" &amp; A2807 &amp; "," &amp; B2807</f>
        <v>https://www.google.com/maps/search/?api=1&amp;query=-30.89824649661070,-55.54754507731910</v>
      </c>
      <c r="G2807" s="33" t="str">
        <f t="array" ref="G2807">"https://earth.google.com/web/search/" &amp; A2807 &amp; "," &amp; B2807</f>
        <v>https://earth.google.com/web/search/-30.89824649661070,-55.54754507731910</v>
      </c>
      <c r="H2807" s="12"/>
      <c r="I2807" s="12"/>
      <c r="J2807" s="12"/>
      <c r="K2807" s="12"/>
      <c r="L2807" s="12"/>
      <c r="M2807" s="12"/>
      <c r="N2807" s="12"/>
      <c r="O2807" s="12"/>
      <c r="P2807" s="12"/>
      <c r="Q2807" s="12"/>
      <c r="R2807" s="12"/>
      <c r="S2807" s="12"/>
      <c r="T2807" s="12"/>
      <c r="U2807" s="12"/>
      <c r="V2807" s="12"/>
      <c r="W2807" s="12"/>
      <c r="X2807" s="12"/>
      <c r="Y2807" s="12"/>
      <c r="Z2807" s="12"/>
      <c r="AA2807" s="12"/>
    </row>
    <row r="2808" ht="26.25" customHeight="1">
      <c r="A2808" s="34" t="s">
        <v>5626</v>
      </c>
      <c r="B2808" s="35" t="s">
        <v>5627</v>
      </c>
      <c r="C2808" s="36">
        <v>3.0</v>
      </c>
      <c r="D2808" s="37">
        <v>248.0</v>
      </c>
      <c r="E2808" s="37">
        <v>7.0</v>
      </c>
      <c r="F2808" s="24" t="str">
        <f t="array" ref="F2808">"https://www.google.com/maps/search/?api=1&amp;query=" &amp; A2808 &amp; "," &amp; B2808</f>
        <v>https://www.google.com/maps/search/?api=1&amp;query=-30.89807743551040,-55.54758663290500</v>
      </c>
      <c r="G2808" s="25" t="str">
        <f t="array" ref="G2808">"https://earth.google.com/web/search/" &amp; A2808 &amp; "," &amp; B2808</f>
        <v>https://earth.google.com/web/search/-30.89807743551040,-55.54758663290500</v>
      </c>
      <c r="H2808" s="12"/>
      <c r="I2808" s="12"/>
      <c r="J2808" s="12"/>
      <c r="K2808" s="12"/>
      <c r="L2808" s="12"/>
      <c r="M2808" s="12"/>
      <c r="N2808" s="12"/>
      <c r="O2808" s="12"/>
      <c r="P2808" s="12"/>
      <c r="Q2808" s="12"/>
      <c r="R2808" s="12"/>
      <c r="S2808" s="12"/>
      <c r="T2808" s="12"/>
      <c r="U2808" s="12"/>
      <c r="V2808" s="12"/>
      <c r="W2808" s="12"/>
      <c r="X2808" s="12"/>
      <c r="Y2808" s="12"/>
      <c r="Z2808" s="12"/>
      <c r="AA2808" s="12"/>
    </row>
    <row r="2809" ht="26.25" customHeight="1">
      <c r="A2809" s="28" t="s">
        <v>5628</v>
      </c>
      <c r="B2809" s="29" t="s">
        <v>5629</v>
      </c>
      <c r="C2809" s="30">
        <v>3.0</v>
      </c>
      <c r="D2809" s="31">
        <v>248.0</v>
      </c>
      <c r="E2809" s="31">
        <v>8.0</v>
      </c>
      <c r="F2809" s="32" t="str">
        <f t="array" ref="F2809">"https://www.google.com/maps/search/?api=1&amp;query=" &amp; A2809 &amp; "," &amp; B2809</f>
        <v>https://www.google.com/maps/search/?api=1&amp;query=-30.89788805527010,-55.54788178717310</v>
      </c>
      <c r="G2809" s="33" t="str">
        <f t="array" ref="G2809">"https://earth.google.com/web/search/" &amp; A2809 &amp; "," &amp; B2809</f>
        <v>https://earth.google.com/web/search/-30.89788805527010,-55.54788178717310</v>
      </c>
      <c r="H2809" s="12"/>
      <c r="I2809" s="12"/>
      <c r="J2809" s="12"/>
      <c r="K2809" s="12"/>
      <c r="L2809" s="12"/>
      <c r="M2809" s="12"/>
      <c r="N2809" s="12"/>
      <c r="O2809" s="12"/>
      <c r="P2809" s="12"/>
      <c r="Q2809" s="12"/>
      <c r="R2809" s="12"/>
      <c r="S2809" s="12"/>
      <c r="T2809" s="12"/>
      <c r="U2809" s="12"/>
      <c r="V2809" s="12"/>
      <c r="W2809" s="12"/>
      <c r="X2809" s="12"/>
      <c r="Y2809" s="12"/>
      <c r="Z2809" s="12"/>
      <c r="AA2809" s="12"/>
    </row>
    <row r="2810" ht="26.25" customHeight="1">
      <c r="A2810" s="34" t="s">
        <v>5630</v>
      </c>
      <c r="B2810" s="35" t="s">
        <v>5631</v>
      </c>
      <c r="C2810" s="36">
        <v>3.0</v>
      </c>
      <c r="D2810" s="37">
        <v>248.0</v>
      </c>
      <c r="E2810" s="37">
        <v>9.0</v>
      </c>
      <c r="F2810" s="24" t="str">
        <f t="array" ref="F2810">"https://www.google.com/maps/search/?api=1&amp;query=" &amp; A2810 &amp; "," &amp; B2810</f>
        <v>https://www.google.com/maps/search/?api=1&amp;query=-30.89785467364130,-55.54794061642270</v>
      </c>
      <c r="G2810" s="25" t="str">
        <f t="array" ref="G2810">"https://earth.google.com/web/search/" &amp; A2810 &amp; "," &amp; B2810</f>
        <v>https://earth.google.com/web/search/-30.89785467364130,-55.54794061642270</v>
      </c>
      <c r="H2810" s="12"/>
      <c r="I2810" s="12"/>
      <c r="J2810" s="12"/>
      <c r="K2810" s="12"/>
      <c r="L2810" s="12"/>
      <c r="M2810" s="12"/>
      <c r="N2810" s="12"/>
      <c r="O2810" s="12"/>
      <c r="P2810" s="12"/>
      <c r="Q2810" s="12"/>
      <c r="R2810" s="12"/>
      <c r="S2810" s="12"/>
      <c r="T2810" s="12"/>
      <c r="U2810" s="12"/>
      <c r="V2810" s="12"/>
      <c r="W2810" s="12"/>
      <c r="X2810" s="12"/>
      <c r="Y2810" s="12"/>
      <c r="Z2810" s="12"/>
      <c r="AA2810" s="12"/>
    </row>
    <row r="2811" ht="26.25" customHeight="1">
      <c r="A2811" s="28" t="s">
        <v>5632</v>
      </c>
      <c r="B2811" s="29" t="s">
        <v>5633</v>
      </c>
      <c r="C2811" s="30">
        <v>3.0</v>
      </c>
      <c r="D2811" s="31">
        <v>248.0</v>
      </c>
      <c r="E2811" s="31">
        <v>10.0</v>
      </c>
      <c r="F2811" s="32" t="str">
        <f t="array" ref="F2811">"https://www.google.com/maps/search/?api=1&amp;query=" &amp; A2811 &amp; "," &amp; B2811</f>
        <v>https://www.google.com/maps/search/?api=1&amp;query=-30.89780232645990,-55.54804627865990</v>
      </c>
      <c r="G2811" s="33" t="str">
        <f t="array" ref="G2811">"https://earth.google.com/web/search/" &amp; A2811 &amp; "," &amp; B2811</f>
        <v>https://earth.google.com/web/search/-30.89780232645990,-55.54804627865990</v>
      </c>
      <c r="H2811" s="12"/>
      <c r="I2811" s="12"/>
      <c r="J2811" s="12"/>
      <c r="K2811" s="12"/>
      <c r="L2811" s="12"/>
      <c r="M2811" s="12"/>
      <c r="N2811" s="12"/>
      <c r="O2811" s="12"/>
      <c r="P2811" s="12"/>
      <c r="Q2811" s="12"/>
      <c r="R2811" s="12"/>
      <c r="S2811" s="12"/>
      <c r="T2811" s="12"/>
      <c r="U2811" s="12"/>
      <c r="V2811" s="12"/>
      <c r="W2811" s="12"/>
      <c r="X2811" s="12"/>
      <c r="Y2811" s="12"/>
      <c r="Z2811" s="12"/>
      <c r="AA2811" s="12"/>
    </row>
    <row r="2812" ht="26.25" customHeight="1">
      <c r="A2812" s="34" t="s">
        <v>5634</v>
      </c>
      <c r="B2812" s="35" t="s">
        <v>5635</v>
      </c>
      <c r="C2812" s="36">
        <v>3.0</v>
      </c>
      <c r="D2812" s="37">
        <v>248.0</v>
      </c>
      <c r="E2812" s="37">
        <v>11.0</v>
      </c>
      <c r="F2812" s="24" t="str">
        <f t="array" ref="F2812">"https://www.google.com/maps/search/?api=1&amp;query=" &amp; A2812 &amp; "," &amp; B2812</f>
        <v>https://www.google.com/maps/search/?api=1&amp;query=-30.89805660352090,-55.54852437895550</v>
      </c>
      <c r="G2812" s="25" t="str">
        <f t="array" ref="G2812">"https://earth.google.com/web/search/" &amp; A2812 &amp; "," &amp; B2812</f>
        <v>https://earth.google.com/web/search/-30.89805660352090,-55.54852437895550</v>
      </c>
      <c r="H2812" s="12"/>
      <c r="I2812" s="12"/>
      <c r="J2812" s="12"/>
      <c r="K2812" s="12"/>
      <c r="L2812" s="12"/>
      <c r="M2812" s="12"/>
      <c r="N2812" s="12"/>
      <c r="O2812" s="12"/>
      <c r="P2812" s="12"/>
      <c r="Q2812" s="12"/>
      <c r="R2812" s="12"/>
      <c r="S2812" s="12"/>
      <c r="T2812" s="12"/>
      <c r="U2812" s="12"/>
      <c r="V2812" s="12"/>
      <c r="W2812" s="12"/>
      <c r="X2812" s="12"/>
      <c r="Y2812" s="12"/>
      <c r="Z2812" s="12"/>
      <c r="AA2812" s="12"/>
    </row>
    <row r="2813" ht="26.25" customHeight="1">
      <c r="A2813" s="28" t="s">
        <v>5636</v>
      </c>
      <c r="B2813" s="29" t="s">
        <v>5637</v>
      </c>
      <c r="C2813" s="30">
        <v>3.0</v>
      </c>
      <c r="D2813" s="31">
        <v>248.0</v>
      </c>
      <c r="E2813" s="31">
        <v>12.0</v>
      </c>
      <c r="F2813" s="32" t="str">
        <f t="array" ref="F2813">"https://www.google.com/maps/search/?api=1&amp;query=" &amp; A2813 &amp; "," &amp; B2813</f>
        <v>https://www.google.com/maps/search/?api=1&amp;query=-30.89824105904820,-55.54866128565830</v>
      </c>
      <c r="G2813" s="33" t="str">
        <f t="array" ref="G2813">"https://earth.google.com/web/search/" &amp; A2813 &amp; "," &amp; B2813</f>
        <v>https://earth.google.com/web/search/-30.89824105904820,-55.54866128565830</v>
      </c>
      <c r="H2813" s="12"/>
      <c r="I2813" s="12"/>
      <c r="J2813" s="12"/>
      <c r="K2813" s="12"/>
      <c r="L2813" s="12"/>
      <c r="M2813" s="12"/>
      <c r="N2813" s="12"/>
      <c r="O2813" s="12"/>
      <c r="P2813" s="12"/>
      <c r="Q2813" s="12"/>
      <c r="R2813" s="12"/>
      <c r="S2813" s="12"/>
      <c r="T2813" s="12"/>
      <c r="U2813" s="12"/>
      <c r="V2813" s="12"/>
      <c r="W2813" s="12"/>
      <c r="X2813" s="12"/>
      <c r="Y2813" s="12"/>
      <c r="Z2813" s="12"/>
      <c r="AA2813" s="12"/>
    </row>
    <row r="2814" ht="26.25" customHeight="1">
      <c r="A2814" s="34" t="s">
        <v>5638</v>
      </c>
      <c r="B2814" s="35" t="s">
        <v>5639</v>
      </c>
      <c r="C2814" s="36">
        <v>3.0</v>
      </c>
      <c r="D2814" s="37">
        <v>248.0</v>
      </c>
      <c r="E2814" s="37">
        <v>13.0</v>
      </c>
      <c r="F2814" s="24" t="str">
        <f t="array" ref="F2814">"https://www.google.com/maps/search/?api=1&amp;query=" &amp; A2814 &amp; "," &amp; B2814</f>
        <v>https://www.google.com/maps/search/?api=1&amp;query=-30.89831297998920,-55.54872170825540</v>
      </c>
      <c r="G2814" s="25" t="str">
        <f t="array" ref="G2814">"https://earth.google.com/web/search/" &amp; A2814 &amp; "," &amp; B2814</f>
        <v>https://earth.google.com/web/search/-30.89831297998920,-55.54872170825540</v>
      </c>
      <c r="H2814" s="12"/>
      <c r="I2814" s="12"/>
      <c r="J2814" s="12"/>
      <c r="K2814" s="12"/>
      <c r="L2814" s="12"/>
      <c r="M2814" s="12"/>
      <c r="N2814" s="12"/>
      <c r="O2814" s="12"/>
      <c r="P2814" s="12"/>
      <c r="Q2814" s="12"/>
      <c r="R2814" s="12"/>
      <c r="S2814" s="12"/>
      <c r="T2814" s="12"/>
      <c r="U2814" s="12"/>
      <c r="V2814" s="12"/>
      <c r="W2814" s="12"/>
      <c r="X2814" s="12"/>
      <c r="Y2814" s="12"/>
      <c r="Z2814" s="12"/>
      <c r="AA2814" s="12"/>
    </row>
    <row r="2815" ht="26.25" customHeight="1">
      <c r="A2815" s="28" t="s">
        <v>5640</v>
      </c>
      <c r="B2815" s="29" t="s">
        <v>5641</v>
      </c>
      <c r="C2815" s="30">
        <v>3.0</v>
      </c>
      <c r="D2815" s="31">
        <v>248.0</v>
      </c>
      <c r="E2815" s="31">
        <v>14.0</v>
      </c>
      <c r="F2815" s="32" t="str">
        <f t="array" ref="F2815">"https://www.google.com/maps/search/?api=1&amp;query=" &amp; A2815 &amp; "," &amp; B2815</f>
        <v>https://www.google.com/maps/search/?api=1&amp;query=-30.89836778960050,-55.54877319038530</v>
      </c>
      <c r="G2815" s="33" t="str">
        <f t="array" ref="G2815">"https://earth.google.com/web/search/" &amp; A2815 &amp; "," &amp; B2815</f>
        <v>https://earth.google.com/web/search/-30.89836778960050,-55.54877319038530</v>
      </c>
      <c r="H2815" s="12"/>
      <c r="I2815" s="12"/>
      <c r="J2815" s="12"/>
      <c r="K2815" s="12"/>
      <c r="L2815" s="12"/>
      <c r="M2815" s="12"/>
      <c r="N2815" s="12"/>
      <c r="O2815" s="12"/>
      <c r="P2815" s="12"/>
      <c r="Q2815" s="12"/>
      <c r="R2815" s="12"/>
      <c r="S2815" s="12"/>
      <c r="T2815" s="12"/>
      <c r="U2815" s="12"/>
      <c r="V2815" s="12"/>
      <c r="W2815" s="12"/>
      <c r="X2815" s="12"/>
      <c r="Y2815" s="12"/>
      <c r="Z2815" s="12"/>
      <c r="AA2815" s="12"/>
    </row>
    <row r="2816" ht="26.25" customHeight="1">
      <c r="A2816" s="34" t="s">
        <v>5642</v>
      </c>
      <c r="B2816" s="35" t="s">
        <v>5643</v>
      </c>
      <c r="C2816" s="36">
        <v>3.0</v>
      </c>
      <c r="D2816" s="37">
        <v>250.0</v>
      </c>
      <c r="E2816" s="37">
        <v>1.0</v>
      </c>
      <c r="F2816" s="24" t="str">
        <f t="array" ref="F2816">"https://www.google.com/maps/search/?api=1&amp;query=" &amp; A2816 &amp; "," &amp; B2816</f>
        <v>https://www.google.com/maps/search/?api=1&amp;query=-30.89754979375760,-55.55036502094900</v>
      </c>
      <c r="G2816" s="25" t="str">
        <f t="array" ref="G2816">"https://earth.google.com/web/search/" &amp; A2816 &amp; "," &amp; B2816</f>
        <v>https://earth.google.com/web/search/-30.89754979375760,-55.55036502094900</v>
      </c>
      <c r="H2816" s="12"/>
      <c r="I2816" s="12"/>
      <c r="J2816" s="12"/>
      <c r="K2816" s="12"/>
      <c r="L2816" s="12"/>
      <c r="M2816" s="12"/>
      <c r="N2816" s="12"/>
      <c r="O2816" s="12"/>
      <c r="P2816" s="12"/>
      <c r="Q2816" s="12"/>
      <c r="R2816" s="12"/>
      <c r="S2816" s="12"/>
      <c r="T2816" s="12"/>
      <c r="U2816" s="12"/>
      <c r="V2816" s="12"/>
      <c r="W2816" s="12"/>
      <c r="X2816" s="12"/>
      <c r="Y2816" s="12"/>
      <c r="Z2816" s="12"/>
      <c r="AA2816" s="12"/>
    </row>
    <row r="2817" ht="26.25" customHeight="1">
      <c r="A2817" s="28" t="s">
        <v>5644</v>
      </c>
      <c r="B2817" s="29" t="s">
        <v>5645</v>
      </c>
      <c r="C2817" s="30">
        <v>3.0</v>
      </c>
      <c r="D2817" s="31">
        <v>250.0</v>
      </c>
      <c r="E2817" s="31">
        <v>2.0</v>
      </c>
      <c r="F2817" s="32" t="str">
        <f t="array" ref="F2817">"https://www.google.com/maps/search/?api=1&amp;query=" &amp; A2817 &amp; "," &amp; B2817</f>
        <v>https://www.google.com/maps/search/?api=1&amp;query=-3.08975937015629,-55.55030015783290</v>
      </c>
      <c r="G2817" s="33" t="str">
        <f t="array" ref="G2817">"https://earth.google.com/web/search/" &amp; A2817 &amp; "," &amp; B2817</f>
        <v>https://earth.google.com/web/search/-3.08975937015629,-55.55030015783290</v>
      </c>
      <c r="H2817" s="12"/>
      <c r="I2817" s="12"/>
      <c r="J2817" s="12"/>
      <c r="K2817" s="12"/>
      <c r="L2817" s="12"/>
      <c r="M2817" s="12"/>
      <c r="N2817" s="12"/>
      <c r="O2817" s="12"/>
      <c r="P2817" s="12"/>
      <c r="Q2817" s="12"/>
      <c r="R2817" s="12"/>
      <c r="S2817" s="12"/>
      <c r="T2817" s="12"/>
      <c r="U2817" s="12"/>
      <c r="V2817" s="12"/>
      <c r="W2817" s="12"/>
      <c r="X2817" s="12"/>
      <c r="Y2817" s="12"/>
      <c r="Z2817" s="12"/>
      <c r="AA2817" s="12"/>
    </row>
    <row r="2818" ht="26.25" customHeight="1">
      <c r="A2818" s="34" t="s">
        <v>5646</v>
      </c>
      <c r="B2818" s="35" t="s">
        <v>5647</v>
      </c>
      <c r="C2818" s="36">
        <v>3.0</v>
      </c>
      <c r="D2818" s="37">
        <v>250.0</v>
      </c>
      <c r="E2818" s="37">
        <v>3.0</v>
      </c>
      <c r="F2818" s="24" t="str">
        <f t="array" ref="F2818">"https://www.google.com/maps/search/?api=1&amp;query=" &amp; A2818 &amp; "," &amp; B2818</f>
        <v>https://www.google.com/maps/search/?api=1&amp;query=-3.08971104893955,-55.54932784251570</v>
      </c>
      <c r="G2818" s="25" t="str">
        <f t="array" ref="G2818">"https://earth.google.com/web/search/" &amp; A2818 &amp; "," &amp; B2818</f>
        <v>https://earth.google.com/web/search/-3.08971104893955,-55.54932784251570</v>
      </c>
      <c r="H2818" s="12"/>
      <c r="I2818" s="12"/>
      <c r="J2818" s="12"/>
      <c r="K2818" s="12"/>
      <c r="L2818" s="12"/>
      <c r="M2818" s="12"/>
      <c r="N2818" s="12"/>
      <c r="O2818" s="12"/>
      <c r="P2818" s="12"/>
      <c r="Q2818" s="12"/>
      <c r="R2818" s="12"/>
      <c r="S2818" s="12"/>
      <c r="T2818" s="12"/>
      <c r="U2818" s="12"/>
      <c r="V2818" s="12"/>
      <c r="W2818" s="12"/>
      <c r="X2818" s="12"/>
      <c r="Y2818" s="12"/>
      <c r="Z2818" s="12"/>
      <c r="AA2818" s="12"/>
    </row>
    <row r="2819" ht="26.25" customHeight="1">
      <c r="A2819" s="28" t="s">
        <v>5648</v>
      </c>
      <c r="B2819" s="29" t="s">
        <v>5649</v>
      </c>
      <c r="C2819" s="30">
        <v>3.0</v>
      </c>
      <c r="D2819" s="31">
        <v>250.0</v>
      </c>
      <c r="E2819" s="31">
        <v>4.0</v>
      </c>
      <c r="F2819" s="32" t="str">
        <f t="array" ref="F2819">"https://www.google.com/maps/search/?api=1&amp;query=" &amp; A2819 &amp; "," &amp; B2819</f>
        <v>https://www.google.com/maps/search/?api=1&amp;query=-3.08970712461262,-55.54944867520170</v>
      </c>
      <c r="G2819" s="33" t="str">
        <f t="array" ref="G2819">"https://earth.google.com/web/search/" &amp; A2819 &amp; "," &amp; B2819</f>
        <v>https://earth.google.com/web/search/-3.08970712461262,-55.54944867520170</v>
      </c>
      <c r="H2819" s="12"/>
      <c r="I2819" s="12"/>
      <c r="J2819" s="12"/>
      <c r="K2819" s="12"/>
      <c r="L2819" s="12"/>
      <c r="M2819" s="12"/>
      <c r="N2819" s="12"/>
      <c r="O2819" s="12"/>
      <c r="P2819" s="12"/>
      <c r="Q2819" s="12"/>
      <c r="R2819" s="12"/>
      <c r="S2819" s="12"/>
      <c r="T2819" s="12"/>
      <c r="U2819" s="12"/>
      <c r="V2819" s="12"/>
      <c r="W2819" s="12"/>
      <c r="X2819" s="12"/>
      <c r="Y2819" s="12"/>
      <c r="Z2819" s="12"/>
      <c r="AA2819" s="12"/>
    </row>
    <row r="2820" ht="26.25" customHeight="1">
      <c r="A2820" s="34" t="s">
        <v>5650</v>
      </c>
      <c r="B2820" s="35" t="s">
        <v>5651</v>
      </c>
      <c r="C2820" s="36">
        <v>3.0</v>
      </c>
      <c r="D2820" s="37">
        <v>250.0</v>
      </c>
      <c r="E2820" s="37">
        <v>5.0</v>
      </c>
      <c r="F2820" s="24" t="str">
        <f t="array" ref="F2820">"https://www.google.com/maps/search/?api=1&amp;query=" &amp; A2820 &amp; "," &amp; B2820</f>
        <v>https://www.google.com/maps/search/?api=1&amp;query=-30.89676256527880,-55.55002014479360</v>
      </c>
      <c r="G2820" s="25" t="str">
        <f t="array" ref="G2820">"https://earth.google.com/web/search/" &amp; A2820 &amp; "," &amp; B2820</f>
        <v>https://earth.google.com/web/search/-30.89676256527880,-55.55002014479360</v>
      </c>
      <c r="H2820" s="12"/>
      <c r="I2820" s="12"/>
      <c r="J2820" s="12"/>
      <c r="K2820" s="12"/>
      <c r="L2820" s="12"/>
      <c r="M2820" s="12"/>
      <c r="N2820" s="12"/>
      <c r="O2820" s="12"/>
      <c r="P2820" s="12"/>
      <c r="Q2820" s="12"/>
      <c r="R2820" s="12"/>
      <c r="S2820" s="12"/>
      <c r="T2820" s="12"/>
      <c r="U2820" s="12"/>
      <c r="V2820" s="12"/>
      <c r="W2820" s="12"/>
      <c r="X2820" s="12"/>
      <c r="Y2820" s="12"/>
      <c r="Z2820" s="12"/>
      <c r="AA2820" s="12"/>
    </row>
    <row r="2821" ht="26.25" customHeight="1">
      <c r="A2821" s="28" t="s">
        <v>5652</v>
      </c>
      <c r="B2821" s="29" t="s">
        <v>5653</v>
      </c>
      <c r="C2821" s="30">
        <v>3.0</v>
      </c>
      <c r="D2821" s="31">
        <v>250.0</v>
      </c>
      <c r="E2821" s="31">
        <v>6.0</v>
      </c>
      <c r="F2821" s="32" t="str">
        <f t="array" ref="F2821">"https://www.google.com/maps/search/?api=1&amp;query=" &amp; A2821 &amp; "," &amp; B2821</f>
        <v>https://www.google.com/maps/search/?api=1&amp;query=-30.89675837077520,-55.55010656877810</v>
      </c>
      <c r="G2821" s="33" t="str">
        <f t="array" ref="G2821">"https://earth.google.com/web/search/" &amp; A2821 &amp; "," &amp; B2821</f>
        <v>https://earth.google.com/web/search/-30.89675837077520,-55.55010656877810</v>
      </c>
      <c r="H2821" s="12"/>
      <c r="I2821" s="12"/>
      <c r="J2821" s="12"/>
      <c r="K2821" s="12"/>
      <c r="L2821" s="12"/>
      <c r="M2821" s="12"/>
      <c r="N2821" s="12"/>
      <c r="O2821" s="12"/>
      <c r="P2821" s="12"/>
      <c r="Q2821" s="12"/>
      <c r="R2821" s="12"/>
      <c r="S2821" s="12"/>
      <c r="T2821" s="12"/>
      <c r="U2821" s="12"/>
      <c r="V2821" s="12"/>
      <c r="W2821" s="12"/>
      <c r="X2821" s="12"/>
      <c r="Y2821" s="12"/>
      <c r="Z2821" s="12"/>
      <c r="AA2821" s="12"/>
    </row>
    <row r="2822" ht="26.25" customHeight="1">
      <c r="A2822" s="34" t="s">
        <v>5654</v>
      </c>
      <c r="B2822" s="35" t="s">
        <v>5655</v>
      </c>
      <c r="C2822" s="36">
        <v>3.0</v>
      </c>
      <c r="D2822" s="37">
        <v>250.0</v>
      </c>
      <c r="E2822" s="37">
        <v>7.0</v>
      </c>
      <c r="F2822" s="24" t="str">
        <f t="array" ref="F2822">"https://www.google.com/maps/search/?api=1&amp;query=" &amp; A2822 &amp; "," &amp; B2822</f>
        <v>https://www.google.com/maps/search/?api=1&amp;query=-30.89680766995170,-5.55501690228051</v>
      </c>
      <c r="G2822" s="25" t="str">
        <f t="array" ref="G2822">"https://earth.google.com/web/search/" &amp; A2822 &amp; "," &amp; B2822</f>
        <v>https://earth.google.com/web/search/-30.89680766995170,-5.55501690228051</v>
      </c>
      <c r="H2822" s="12"/>
      <c r="I2822" s="12"/>
      <c r="J2822" s="12"/>
      <c r="K2822" s="12"/>
      <c r="L2822" s="12"/>
      <c r="M2822" s="12"/>
      <c r="N2822" s="12"/>
      <c r="O2822" s="12"/>
      <c r="P2822" s="12"/>
      <c r="Q2822" s="12"/>
      <c r="R2822" s="12"/>
      <c r="S2822" s="12"/>
      <c r="T2822" s="12"/>
      <c r="U2822" s="12"/>
      <c r="V2822" s="12"/>
      <c r="W2822" s="12"/>
      <c r="X2822" s="12"/>
      <c r="Y2822" s="12"/>
      <c r="Z2822" s="12"/>
      <c r="AA2822" s="12"/>
    </row>
    <row r="2823" ht="26.25" customHeight="1">
      <c r="A2823" s="28" t="s">
        <v>5656</v>
      </c>
      <c r="B2823" s="29" t="s">
        <v>5657</v>
      </c>
      <c r="C2823" s="30">
        <v>3.0</v>
      </c>
      <c r="D2823" s="31">
        <v>250.0</v>
      </c>
      <c r="E2823" s="31">
        <v>8.0</v>
      </c>
      <c r="F2823" s="32" t="str">
        <f t="array" ref="F2823">"https://www.google.com/maps/search/?api=1&amp;query=" &amp; A2823 &amp; "," &amp; B2823</f>
        <v>https://www.google.com/maps/search/?api=1&amp;query=-30.89694422133870,-55.55026461578110</v>
      </c>
      <c r="G2823" s="33" t="str">
        <f t="array" ref="G2823">"https://earth.google.com/web/search/" &amp; A2823 &amp; "," &amp; B2823</f>
        <v>https://earth.google.com/web/search/-30.89694422133870,-55.55026461578110</v>
      </c>
      <c r="H2823" s="12"/>
      <c r="I2823" s="12"/>
      <c r="J2823" s="12"/>
      <c r="K2823" s="12"/>
      <c r="L2823" s="12"/>
      <c r="M2823" s="12"/>
      <c r="N2823" s="12"/>
      <c r="O2823" s="12"/>
      <c r="P2823" s="12"/>
      <c r="Q2823" s="12"/>
      <c r="R2823" s="12"/>
      <c r="S2823" s="12"/>
      <c r="T2823" s="12"/>
      <c r="U2823" s="12"/>
      <c r="V2823" s="12"/>
      <c r="W2823" s="12"/>
      <c r="X2823" s="12"/>
      <c r="Y2823" s="12"/>
      <c r="Z2823" s="12"/>
      <c r="AA2823" s="12"/>
    </row>
    <row r="2824" ht="26.25" customHeight="1">
      <c r="A2824" s="34" t="s">
        <v>5658</v>
      </c>
      <c r="B2824" s="35" t="s">
        <v>5659</v>
      </c>
      <c r="C2824" s="36">
        <v>3.0</v>
      </c>
      <c r="D2824" s="37">
        <v>250.0</v>
      </c>
      <c r="E2824" s="37">
        <v>9.0</v>
      </c>
      <c r="F2824" s="24" t="str">
        <f t="array" ref="F2824">"https://www.google.com/maps/search/?api=1&amp;query=" &amp; A2824 &amp; "," &amp; B2824</f>
        <v>https://www.google.com/maps/search/?api=1&amp;query=-30.89697368143360,-55.55028338279730</v>
      </c>
      <c r="G2824" s="25" t="str">
        <f t="array" ref="G2824">"https://earth.google.com/web/search/" &amp; A2824 &amp; "," &amp; B2824</f>
        <v>https://earth.google.com/web/search/-30.89697368143360,-55.55028338279730</v>
      </c>
      <c r="H2824" s="12"/>
      <c r="I2824" s="12"/>
      <c r="J2824" s="12"/>
      <c r="K2824" s="12"/>
      <c r="L2824" s="12"/>
      <c r="M2824" s="12"/>
      <c r="N2824" s="12"/>
      <c r="O2824" s="12"/>
      <c r="P2824" s="12"/>
      <c r="Q2824" s="12"/>
      <c r="R2824" s="12"/>
      <c r="S2824" s="12"/>
      <c r="T2824" s="12"/>
      <c r="U2824" s="12"/>
      <c r="V2824" s="12"/>
      <c r="W2824" s="12"/>
      <c r="X2824" s="12"/>
      <c r="Y2824" s="12"/>
      <c r="Z2824" s="12"/>
      <c r="AA2824" s="12"/>
    </row>
    <row r="2825" ht="26.25" customHeight="1">
      <c r="A2825" s="28" t="s">
        <v>5660</v>
      </c>
      <c r="B2825" s="29" t="s">
        <v>5661</v>
      </c>
      <c r="C2825" s="30">
        <v>3.0</v>
      </c>
      <c r="D2825" s="31">
        <v>250.0</v>
      </c>
      <c r="E2825" s="31">
        <v>10.0</v>
      </c>
      <c r="F2825" s="32" t="str">
        <f t="array" ref="F2825">"https://www.google.com/maps/search/?api=1&amp;query=" &amp; A2825 &amp; "," &amp; B2825</f>
        <v>https://www.google.com/maps/search/?api=1&amp;query=-30.89703728666550,-55.55031945742180</v>
      </c>
      <c r="G2825" s="33" t="str">
        <f t="array" ref="G2825">"https://earth.google.com/web/search/" &amp; A2825 &amp; "," &amp; B2825</f>
        <v>https://earth.google.com/web/search/-30.89703728666550,-55.55031945742180</v>
      </c>
      <c r="H2825" s="12"/>
      <c r="I2825" s="12"/>
      <c r="J2825" s="12"/>
      <c r="K2825" s="12"/>
      <c r="L2825" s="12"/>
      <c r="M2825" s="12"/>
      <c r="N2825" s="12"/>
      <c r="O2825" s="12"/>
      <c r="P2825" s="12"/>
      <c r="Q2825" s="12"/>
      <c r="R2825" s="12"/>
      <c r="S2825" s="12"/>
      <c r="T2825" s="12"/>
      <c r="U2825" s="12"/>
      <c r="V2825" s="12"/>
      <c r="W2825" s="12"/>
      <c r="X2825" s="12"/>
      <c r="Y2825" s="12"/>
      <c r="Z2825" s="12"/>
      <c r="AA2825" s="12"/>
    </row>
    <row r="2826" ht="26.25" customHeight="1">
      <c r="A2826" s="34" t="s">
        <v>5662</v>
      </c>
      <c r="B2826" s="35" t="s">
        <v>5663</v>
      </c>
      <c r="C2826" s="36">
        <v>3.0</v>
      </c>
      <c r="D2826" s="37">
        <v>250.0</v>
      </c>
      <c r="E2826" s="37">
        <v>11.0</v>
      </c>
      <c r="F2826" s="24" t="str">
        <f t="array" ref="F2826">"https://www.google.com/maps/search/?api=1&amp;query=" &amp; A2826 &amp; "," &amp; B2826</f>
        <v>https://www.google.com/maps/search/?api=1&amp;query=-30.89710990835310,-5.55503775394648</v>
      </c>
      <c r="G2826" s="25" t="str">
        <f t="array" ref="G2826">"https://earth.google.com/web/search/" &amp; A2826 &amp; "," &amp; B2826</f>
        <v>https://earth.google.com/web/search/-30.89710990835310,-5.55503775394648</v>
      </c>
      <c r="H2826" s="12"/>
      <c r="I2826" s="12"/>
      <c r="J2826" s="12"/>
      <c r="K2826" s="12"/>
      <c r="L2826" s="12"/>
      <c r="M2826" s="12"/>
      <c r="N2826" s="12"/>
      <c r="O2826" s="12"/>
      <c r="P2826" s="12"/>
      <c r="Q2826" s="12"/>
      <c r="R2826" s="12"/>
      <c r="S2826" s="12"/>
      <c r="T2826" s="12"/>
      <c r="U2826" s="12"/>
      <c r="V2826" s="12"/>
      <c r="W2826" s="12"/>
      <c r="X2826" s="12"/>
      <c r="Y2826" s="12"/>
      <c r="Z2826" s="12"/>
      <c r="AA2826" s="12"/>
    </row>
    <row r="2827" ht="26.25" customHeight="1">
      <c r="A2827" s="28" t="s">
        <v>5664</v>
      </c>
      <c r="B2827" s="29" t="s">
        <v>5665</v>
      </c>
      <c r="C2827" s="30">
        <v>3.0</v>
      </c>
      <c r="D2827" s="31">
        <v>250.0</v>
      </c>
      <c r="E2827" s="31">
        <v>12.0</v>
      </c>
      <c r="F2827" s="32" t="str">
        <f t="array" ref="F2827">"https://www.google.com/maps/search/?api=1&amp;query=" &amp; A2827 &amp; "," &amp; B2827</f>
        <v>https://www.google.com/maps/search/?api=1&amp;query=-30.89716952564580,-55.55040998324860</v>
      </c>
      <c r="G2827" s="33" t="str">
        <f t="array" ref="G2827">"https://earth.google.com/web/search/" &amp; A2827 &amp; "," &amp; B2827</f>
        <v>https://earth.google.com/web/search/-30.89716952564580,-55.55040998324860</v>
      </c>
      <c r="H2827" s="12"/>
      <c r="I2827" s="12"/>
      <c r="J2827" s="12"/>
      <c r="K2827" s="12"/>
      <c r="L2827" s="12"/>
      <c r="M2827" s="12"/>
      <c r="N2827" s="12"/>
      <c r="O2827" s="12"/>
      <c r="P2827" s="12"/>
      <c r="Q2827" s="12"/>
      <c r="R2827" s="12"/>
      <c r="S2827" s="12"/>
      <c r="T2827" s="12"/>
      <c r="U2827" s="12"/>
      <c r="V2827" s="12"/>
      <c r="W2827" s="12"/>
      <c r="X2827" s="12"/>
      <c r="Y2827" s="12"/>
      <c r="Z2827" s="12"/>
      <c r="AA2827" s="12"/>
    </row>
    <row r="2828" ht="26.25" customHeight="1">
      <c r="A2828" s="34" t="s">
        <v>5666</v>
      </c>
      <c r="B2828" s="35" t="s">
        <v>5667</v>
      </c>
      <c r="C2828" s="36">
        <v>3.0</v>
      </c>
      <c r="D2828" s="37">
        <v>251.0</v>
      </c>
      <c r="E2828" s="37">
        <v>1.0</v>
      </c>
      <c r="F2828" s="24" t="str">
        <f t="array" ref="F2828">"https://www.google.com/maps/search/?api=1&amp;query=" &amp; A2828 &amp; "," &amp; B2828</f>
        <v>https://www.google.com/maps/search/?api=1&amp;query=-30.89723523734980,-55.55060273431000</v>
      </c>
      <c r="G2828" s="25" t="str">
        <f t="array" ref="G2828">"https://earth.google.com/web/search/" &amp; A2828 &amp; "," &amp; B2828</f>
        <v>https://earth.google.com/web/search/-30.89723523734980,-55.55060273431000</v>
      </c>
      <c r="H2828" s="12"/>
      <c r="I2828" s="12"/>
      <c r="J2828" s="12"/>
      <c r="K2828" s="12"/>
      <c r="L2828" s="12"/>
      <c r="M2828" s="12"/>
      <c r="N2828" s="12"/>
      <c r="O2828" s="12"/>
      <c r="P2828" s="12"/>
      <c r="Q2828" s="12"/>
      <c r="R2828" s="12"/>
      <c r="S2828" s="12"/>
      <c r="T2828" s="12"/>
      <c r="U2828" s="12"/>
      <c r="V2828" s="12"/>
      <c r="W2828" s="12"/>
      <c r="X2828" s="12"/>
      <c r="Y2828" s="12"/>
      <c r="Z2828" s="12"/>
      <c r="AA2828" s="12"/>
    </row>
    <row r="2829" ht="26.25" customHeight="1">
      <c r="A2829" s="28" t="s">
        <v>5668</v>
      </c>
      <c r="B2829" s="29" t="s">
        <v>5669</v>
      </c>
      <c r="C2829" s="30">
        <v>3.0</v>
      </c>
      <c r="D2829" s="31">
        <v>251.0</v>
      </c>
      <c r="E2829" s="31">
        <v>2.0</v>
      </c>
      <c r="F2829" s="32" t="str">
        <f t="array" ref="F2829">"https://www.google.com/maps/search/?api=1&amp;query=" &amp; A2829 &amp; "," &amp; B2829</f>
        <v>https://www.google.com/maps/search/?api=1&amp;query=-3.08971400061599,-55.55051152228650</v>
      </c>
      <c r="G2829" s="33" t="str">
        <f t="array" ref="G2829">"https://earth.google.com/web/search/" &amp; A2829 &amp; "," &amp; B2829</f>
        <v>https://earth.google.com/web/search/-3.08971400061599,-55.55051152228650</v>
      </c>
      <c r="H2829" s="12"/>
      <c r="I2829" s="12"/>
      <c r="J2829" s="12"/>
      <c r="K2829" s="12"/>
      <c r="L2829" s="12"/>
      <c r="M2829" s="12"/>
      <c r="N2829" s="12"/>
      <c r="O2829" s="12"/>
      <c r="P2829" s="12"/>
      <c r="Q2829" s="12"/>
      <c r="R2829" s="12"/>
      <c r="S2829" s="12"/>
      <c r="T2829" s="12"/>
      <c r="U2829" s="12"/>
      <c r="V2829" s="12"/>
      <c r="W2829" s="12"/>
      <c r="X2829" s="12"/>
      <c r="Y2829" s="12"/>
      <c r="Z2829" s="12"/>
      <c r="AA2829" s="12"/>
    </row>
    <row r="2830" ht="26.25" customHeight="1">
      <c r="A2830" s="34" t="s">
        <v>5670</v>
      </c>
      <c r="B2830" s="35" t="s">
        <v>5671</v>
      </c>
      <c r="C2830" s="36">
        <v>3.0</v>
      </c>
      <c r="D2830" s="37">
        <v>251.0</v>
      </c>
      <c r="E2830" s="37">
        <v>3.0</v>
      </c>
      <c r="F2830" s="24" t="str">
        <f t="array" ref="F2830">"https://www.google.com/maps/search/?api=1&amp;query=" &amp; A2830 &amp; "," &amp; B2830</f>
        <v>https://www.google.com/maps/search/?api=1&amp;query=-30.89703780396700,-55.55045382092410</v>
      </c>
      <c r="G2830" s="25" t="str">
        <f t="array" ref="G2830">"https://earth.google.com/web/search/" &amp; A2830 &amp; "," &amp; B2830</f>
        <v>https://earth.google.com/web/search/-30.89703780396700,-55.55045382092410</v>
      </c>
      <c r="H2830" s="12"/>
      <c r="I2830" s="12"/>
      <c r="J2830" s="12"/>
      <c r="K2830" s="12"/>
      <c r="L2830" s="12"/>
      <c r="M2830" s="12"/>
      <c r="N2830" s="12"/>
      <c r="O2830" s="12"/>
      <c r="P2830" s="12"/>
      <c r="Q2830" s="12"/>
      <c r="R2830" s="12"/>
      <c r="S2830" s="12"/>
      <c r="T2830" s="12"/>
      <c r="U2830" s="12"/>
      <c r="V2830" s="12"/>
      <c r="W2830" s="12"/>
      <c r="X2830" s="12"/>
      <c r="Y2830" s="12"/>
      <c r="Z2830" s="12"/>
      <c r="AA2830" s="12"/>
    </row>
    <row r="2831" ht="26.25" customHeight="1">
      <c r="A2831" s="28" t="s">
        <v>5672</v>
      </c>
      <c r="B2831" s="29" t="s">
        <v>5673</v>
      </c>
      <c r="C2831" s="30">
        <v>3.0</v>
      </c>
      <c r="D2831" s="31">
        <v>251.0</v>
      </c>
      <c r="E2831" s="31">
        <v>4.0</v>
      </c>
      <c r="F2831" s="32" t="str">
        <f t="array" ref="F2831">"https://www.google.com/maps/search/?api=1&amp;query=" &amp; A2831 &amp; "," &amp; B2831</f>
        <v>https://www.google.com/maps/search/?api=1&amp;query=-30.89695646982620,-55.55037825865350</v>
      </c>
      <c r="G2831" s="33" t="str">
        <f t="array" ref="G2831">"https://earth.google.com/web/search/" &amp; A2831 &amp; "," &amp; B2831</f>
        <v>https://earth.google.com/web/search/-30.89695646982620,-55.55037825865350</v>
      </c>
      <c r="H2831" s="12"/>
      <c r="I2831" s="12"/>
      <c r="J2831" s="12"/>
      <c r="K2831" s="12"/>
      <c r="L2831" s="12"/>
      <c r="M2831" s="12"/>
      <c r="N2831" s="12"/>
      <c r="O2831" s="12"/>
      <c r="P2831" s="12"/>
      <c r="Q2831" s="12"/>
      <c r="R2831" s="12"/>
      <c r="S2831" s="12"/>
      <c r="T2831" s="12"/>
      <c r="U2831" s="12"/>
      <c r="V2831" s="12"/>
      <c r="W2831" s="12"/>
      <c r="X2831" s="12"/>
      <c r="Y2831" s="12"/>
      <c r="Z2831" s="12"/>
      <c r="AA2831" s="12"/>
    </row>
    <row r="2832" ht="26.25" customHeight="1">
      <c r="A2832" s="34" t="s">
        <v>5674</v>
      </c>
      <c r="B2832" s="35" t="s">
        <v>5675</v>
      </c>
      <c r="C2832" s="36">
        <v>3.0</v>
      </c>
      <c r="D2832" s="37">
        <v>251.0</v>
      </c>
      <c r="E2832" s="37">
        <v>5.0</v>
      </c>
      <c r="F2832" s="24" t="str">
        <f t="array" ref="F2832">"https://www.google.com/maps/search/?api=1&amp;query=" &amp; A2832 &amp; "," &amp; B2832</f>
        <v>https://www.google.com/maps/search/?api=1&amp;query=-30.89680278122220,-55.55028602188920</v>
      </c>
      <c r="G2832" s="25" t="str">
        <f t="array" ref="G2832">"https://earth.google.com/web/search/" &amp; A2832 &amp; "," &amp; B2832</f>
        <v>https://earth.google.com/web/search/-30.89680278122220,-55.55028602188920</v>
      </c>
      <c r="H2832" s="12"/>
      <c r="I2832" s="12"/>
      <c r="J2832" s="12"/>
      <c r="K2832" s="12"/>
      <c r="L2832" s="12"/>
      <c r="M2832" s="12"/>
      <c r="N2832" s="12"/>
      <c r="O2832" s="12"/>
      <c r="P2832" s="12"/>
      <c r="Q2832" s="12"/>
      <c r="R2832" s="12"/>
      <c r="S2832" s="12"/>
      <c r="T2832" s="12"/>
      <c r="U2832" s="12"/>
      <c r="V2832" s="12"/>
      <c r="W2832" s="12"/>
      <c r="X2832" s="12"/>
      <c r="Y2832" s="12"/>
      <c r="Z2832" s="12"/>
      <c r="AA2832" s="12"/>
    </row>
    <row r="2833" ht="26.25" customHeight="1">
      <c r="A2833" s="28" t="s">
        <v>5676</v>
      </c>
      <c r="B2833" s="29" t="s">
        <v>5677</v>
      </c>
      <c r="C2833" s="30">
        <v>3.0</v>
      </c>
      <c r="D2833" s="31">
        <v>272.0</v>
      </c>
      <c r="E2833" s="31">
        <v>1.0</v>
      </c>
      <c r="F2833" s="32" t="str">
        <f t="array" ref="F2833">"https://www.google.com/maps/search/?api=1&amp;query=" &amp; A2833 &amp; "," &amp; B2833</f>
        <v>https://www.google.com/maps/search/?api=1&amp;query=-30.89829756000680,-5.55510084316106</v>
      </c>
      <c r="G2833" s="33" t="str">
        <f t="array" ref="G2833">"https://earth.google.com/web/search/" &amp; A2833 &amp; "," &amp; B2833</f>
        <v>https://earth.google.com/web/search/-30.89829756000680,-5.55510084316106</v>
      </c>
      <c r="H2833" s="12"/>
      <c r="I2833" s="12"/>
      <c r="J2833" s="12"/>
      <c r="K2833" s="12"/>
      <c r="L2833" s="12"/>
      <c r="M2833" s="12"/>
      <c r="N2833" s="12"/>
      <c r="O2833" s="12"/>
      <c r="P2833" s="12"/>
      <c r="Q2833" s="12"/>
      <c r="R2833" s="12"/>
      <c r="S2833" s="12"/>
      <c r="T2833" s="12"/>
      <c r="U2833" s="12"/>
      <c r="V2833" s="12"/>
      <c r="W2833" s="12"/>
      <c r="X2833" s="12"/>
      <c r="Y2833" s="12"/>
      <c r="Z2833" s="12"/>
      <c r="AA2833" s="12"/>
    </row>
    <row r="2834" ht="26.25" customHeight="1">
      <c r="A2834" s="34" t="s">
        <v>5678</v>
      </c>
      <c r="B2834" s="35" t="s">
        <v>5679</v>
      </c>
      <c r="C2834" s="36">
        <v>3.0</v>
      </c>
      <c r="D2834" s="37">
        <v>272.0</v>
      </c>
      <c r="E2834" s="37">
        <v>2.0</v>
      </c>
      <c r="F2834" s="24" t="str">
        <f t="array" ref="F2834">"https://www.google.com/maps/search/?api=1&amp;query=" &amp; A2834 &amp; "," &amp; B2834</f>
        <v>https://www.google.com/maps/search/?api=1&amp;query=-30.89842814627350,-55.55080408117930</v>
      </c>
      <c r="G2834" s="25" t="str">
        <f t="array" ref="G2834">"https://earth.google.com/web/search/" &amp; A2834 &amp; "," &amp; B2834</f>
        <v>https://earth.google.com/web/search/-30.89842814627350,-55.55080408117930</v>
      </c>
      <c r="H2834" s="12"/>
      <c r="I2834" s="12"/>
      <c r="J2834" s="12"/>
      <c r="K2834" s="12"/>
      <c r="L2834" s="12"/>
      <c r="M2834" s="12"/>
      <c r="N2834" s="12"/>
      <c r="O2834" s="12"/>
      <c r="P2834" s="12"/>
      <c r="Q2834" s="12"/>
      <c r="R2834" s="12"/>
      <c r="S2834" s="12"/>
      <c r="T2834" s="12"/>
      <c r="U2834" s="12"/>
      <c r="V2834" s="12"/>
      <c r="W2834" s="12"/>
      <c r="X2834" s="12"/>
      <c r="Y2834" s="12"/>
      <c r="Z2834" s="12"/>
      <c r="AA2834" s="12"/>
    </row>
    <row r="2835" ht="26.25" customHeight="1">
      <c r="A2835" s="28" t="s">
        <v>5680</v>
      </c>
      <c r="B2835" s="29" t="s">
        <v>5681</v>
      </c>
      <c r="C2835" s="30">
        <v>3.0</v>
      </c>
      <c r="D2835" s="31">
        <v>272.0</v>
      </c>
      <c r="E2835" s="31">
        <v>3.0</v>
      </c>
      <c r="F2835" s="32" t="str">
        <f t="array" ref="F2835">"https://www.google.com/maps/search/?api=1&amp;query=" &amp; A2835 &amp; "," &amp; B2835</f>
        <v>https://www.google.com/maps/search/?api=1&amp;query=-30.89849187822530,-55.55062766771930</v>
      </c>
      <c r="G2835" s="33" t="str">
        <f t="array" ref="G2835">"https://earth.google.com/web/search/" &amp; A2835 &amp; "," &amp; B2835</f>
        <v>https://earth.google.com/web/search/-30.89849187822530,-55.55062766771930</v>
      </c>
      <c r="H2835" s="12"/>
      <c r="I2835" s="12"/>
      <c r="J2835" s="12"/>
      <c r="K2835" s="12"/>
      <c r="L2835" s="12"/>
      <c r="M2835" s="12"/>
      <c r="N2835" s="12"/>
      <c r="O2835" s="12"/>
      <c r="P2835" s="12"/>
      <c r="Q2835" s="12"/>
      <c r="R2835" s="12"/>
      <c r="S2835" s="12"/>
      <c r="T2835" s="12"/>
      <c r="U2835" s="12"/>
      <c r="V2835" s="12"/>
      <c r="W2835" s="12"/>
      <c r="X2835" s="12"/>
      <c r="Y2835" s="12"/>
      <c r="Z2835" s="12"/>
      <c r="AA2835" s="12"/>
    </row>
    <row r="2836" ht="26.25" customHeight="1">
      <c r="A2836" s="34" t="s">
        <v>5682</v>
      </c>
      <c r="B2836" s="35" t="s">
        <v>5683</v>
      </c>
      <c r="C2836" s="36">
        <v>3.0</v>
      </c>
      <c r="D2836" s="37">
        <v>272.0</v>
      </c>
      <c r="E2836" s="37">
        <v>4.0</v>
      </c>
      <c r="F2836" s="24" t="str">
        <f t="array" ref="F2836">"https://www.google.com/maps/search/?api=1&amp;query=" &amp; A2836 &amp; "," &amp; B2836</f>
        <v>https://www.google.com/maps/search/?api=1&amp;query=-30.89856567338900,-55.55051240586910</v>
      </c>
      <c r="G2836" s="25" t="str">
        <f t="array" ref="G2836">"https://earth.google.com/web/search/" &amp; A2836 &amp; "," &amp; B2836</f>
        <v>https://earth.google.com/web/search/-30.89856567338900,-55.55051240586910</v>
      </c>
      <c r="H2836" s="12"/>
      <c r="I2836" s="12"/>
      <c r="J2836" s="12"/>
      <c r="K2836" s="12"/>
      <c r="L2836" s="12"/>
      <c r="M2836" s="12"/>
      <c r="N2836" s="12"/>
      <c r="O2836" s="12"/>
      <c r="P2836" s="12"/>
      <c r="Q2836" s="12"/>
      <c r="R2836" s="12"/>
      <c r="S2836" s="12"/>
      <c r="T2836" s="12"/>
      <c r="U2836" s="12"/>
      <c r="V2836" s="12"/>
      <c r="W2836" s="12"/>
      <c r="X2836" s="12"/>
      <c r="Y2836" s="12"/>
      <c r="Z2836" s="12"/>
      <c r="AA2836" s="12"/>
    </row>
    <row r="2837" ht="26.25" customHeight="1">
      <c r="A2837" s="28" t="s">
        <v>5684</v>
      </c>
      <c r="B2837" s="29" t="s">
        <v>5685</v>
      </c>
      <c r="C2837" s="30">
        <v>3.0</v>
      </c>
      <c r="D2837" s="31">
        <v>272.0</v>
      </c>
      <c r="E2837" s="31">
        <v>5.0</v>
      </c>
      <c r="F2837" s="32" t="str">
        <f t="array" ref="F2837">"https://www.google.com/maps/search/?api=1&amp;query=" &amp; A2837 &amp; "," &amp; B2837</f>
        <v>https://www.google.com/maps/search/?api=1&amp;query=-30.89860499046930,-55.55046303453260</v>
      </c>
      <c r="G2837" s="33" t="str">
        <f t="array" ref="G2837">"https://earth.google.com/web/search/" &amp; A2837 &amp; "," &amp; B2837</f>
        <v>https://earth.google.com/web/search/-30.89860499046930,-55.55046303453260</v>
      </c>
      <c r="H2837" s="12"/>
      <c r="I2837" s="12"/>
      <c r="J2837" s="12"/>
      <c r="K2837" s="12"/>
      <c r="L2837" s="12"/>
      <c r="M2837" s="12"/>
      <c r="N2837" s="12"/>
      <c r="O2837" s="12"/>
      <c r="P2837" s="12"/>
      <c r="Q2837" s="12"/>
      <c r="R2837" s="12"/>
      <c r="S2837" s="12"/>
      <c r="T2837" s="12"/>
      <c r="U2837" s="12"/>
      <c r="V2837" s="12"/>
      <c r="W2837" s="12"/>
      <c r="X2837" s="12"/>
      <c r="Y2837" s="12"/>
      <c r="Z2837" s="12"/>
      <c r="AA2837" s="12"/>
    </row>
    <row r="2838" ht="26.25" customHeight="1">
      <c r="A2838" s="34" t="s">
        <v>5686</v>
      </c>
      <c r="B2838" s="35" t="s">
        <v>5687</v>
      </c>
      <c r="C2838" s="36">
        <v>3.0</v>
      </c>
      <c r="D2838" s="37">
        <v>272.0</v>
      </c>
      <c r="E2838" s="37">
        <v>6.0</v>
      </c>
      <c r="F2838" s="24" t="str">
        <f t="array" ref="F2838">"https://www.google.com/maps/search/?api=1&amp;query=" &amp; A2838 &amp; "," &amp; B2838</f>
        <v>https://www.google.com/maps/search/?api=1&amp;query=-30.89841507509190,-55.55018625536250</v>
      </c>
      <c r="G2838" s="25" t="str">
        <f t="array" ref="G2838">"https://earth.google.com/web/search/" &amp; A2838 &amp; "," &amp; B2838</f>
        <v>https://earth.google.com/web/search/-30.89841507509190,-55.55018625536250</v>
      </c>
      <c r="H2838" s="12"/>
      <c r="I2838" s="12"/>
      <c r="J2838" s="12"/>
      <c r="K2838" s="12"/>
      <c r="L2838" s="12"/>
      <c r="M2838" s="12"/>
      <c r="N2838" s="12"/>
      <c r="O2838" s="12"/>
      <c r="P2838" s="12"/>
      <c r="Q2838" s="12"/>
      <c r="R2838" s="12"/>
      <c r="S2838" s="12"/>
      <c r="T2838" s="12"/>
      <c r="U2838" s="12"/>
      <c r="V2838" s="12"/>
      <c r="W2838" s="12"/>
      <c r="X2838" s="12"/>
      <c r="Y2838" s="12"/>
      <c r="Z2838" s="12"/>
      <c r="AA2838" s="12"/>
    </row>
    <row r="2839" ht="26.25" customHeight="1">
      <c r="A2839" s="28" t="s">
        <v>5688</v>
      </c>
      <c r="B2839" s="29" t="s">
        <v>5689</v>
      </c>
      <c r="C2839" s="30">
        <v>3.0</v>
      </c>
      <c r="D2839" s="31">
        <v>272.0</v>
      </c>
      <c r="E2839" s="31">
        <v>7.0</v>
      </c>
      <c r="F2839" s="32" t="str">
        <f t="array" ref="F2839">"https://www.google.com/maps/search/?api=1&amp;query=" &amp; A2839 &amp; "," &amp; B2839</f>
        <v>https://www.google.com/maps/search/?api=1&amp;query=-30.89758986502370,-55.55049162161500</v>
      </c>
      <c r="G2839" s="33" t="str">
        <f t="array" ref="G2839">"https://earth.google.com/web/search/" &amp; A2839 &amp; "," &amp; B2839</f>
        <v>https://earth.google.com/web/search/-30.89758986502370,-55.55049162161500</v>
      </c>
      <c r="H2839" s="12"/>
      <c r="I2839" s="12"/>
      <c r="J2839" s="12"/>
      <c r="K2839" s="12"/>
      <c r="L2839" s="12"/>
      <c r="M2839" s="12"/>
      <c r="N2839" s="12"/>
      <c r="O2839" s="12"/>
      <c r="P2839" s="12"/>
      <c r="Q2839" s="12"/>
      <c r="R2839" s="12"/>
      <c r="S2839" s="12"/>
      <c r="T2839" s="12"/>
      <c r="U2839" s="12"/>
      <c r="V2839" s="12"/>
      <c r="W2839" s="12"/>
      <c r="X2839" s="12"/>
      <c r="Y2839" s="12"/>
      <c r="Z2839" s="12"/>
      <c r="AA2839" s="12"/>
    </row>
    <row r="2840" ht="26.25" customHeight="1">
      <c r="A2840" s="34" t="s">
        <v>5690</v>
      </c>
      <c r="B2840" s="35" t="s">
        <v>5691</v>
      </c>
      <c r="C2840" s="36">
        <v>3.0</v>
      </c>
      <c r="D2840" s="37">
        <v>272.0</v>
      </c>
      <c r="E2840" s="37">
        <v>8.0</v>
      </c>
      <c r="F2840" s="24" t="str">
        <f t="array" ref="F2840">"https://www.google.com/maps/search/?api=1&amp;query=" &amp; A2840 &amp; "," &amp; B2840</f>
        <v>https://www.google.com/maps/search/?api=1&amp;query=-3.08975514162065,-5.55505616938603</v>
      </c>
      <c r="G2840" s="25" t="str">
        <f t="array" ref="G2840">"https://earth.google.com/web/search/" &amp; A2840 &amp; "," &amp; B2840</f>
        <v>https://earth.google.com/web/search/-3.08975514162065,-5.55505616938603</v>
      </c>
      <c r="H2840" s="12"/>
      <c r="I2840" s="12"/>
      <c r="J2840" s="12"/>
      <c r="K2840" s="12"/>
      <c r="L2840" s="12"/>
      <c r="M2840" s="12"/>
      <c r="N2840" s="12"/>
      <c r="O2840" s="12"/>
      <c r="P2840" s="12"/>
      <c r="Q2840" s="12"/>
      <c r="R2840" s="12"/>
      <c r="S2840" s="12"/>
      <c r="T2840" s="12"/>
      <c r="U2840" s="12"/>
      <c r="V2840" s="12"/>
      <c r="W2840" s="12"/>
      <c r="X2840" s="12"/>
      <c r="Y2840" s="12"/>
      <c r="Z2840" s="12"/>
      <c r="AA2840" s="12"/>
    </row>
    <row r="2841" ht="26.25" customHeight="1">
      <c r="A2841" s="28" t="s">
        <v>5692</v>
      </c>
      <c r="B2841" s="29" t="s">
        <v>5693</v>
      </c>
      <c r="C2841" s="30">
        <v>3.0</v>
      </c>
      <c r="D2841" s="31">
        <v>272.0</v>
      </c>
      <c r="E2841" s="31">
        <v>9.0</v>
      </c>
      <c r="F2841" s="32" t="str">
        <f t="array" ref="F2841">"https://www.google.com/maps/search/?api=1&amp;query=" &amp; A2841 &amp; "," &amp; B2841</f>
        <v>https://www.google.com/maps/search/?api=1&amp;query=-0.30897523033111,-55.55061653555180</v>
      </c>
      <c r="G2841" s="33" t="str">
        <f t="array" ref="G2841">"https://earth.google.com/web/search/" &amp; A2841 &amp; "," &amp; B2841</f>
        <v>https://earth.google.com/web/search/-0.30897523033111,-55.55061653555180</v>
      </c>
      <c r="H2841" s="12"/>
      <c r="I2841" s="12"/>
      <c r="J2841" s="12"/>
      <c r="K2841" s="12"/>
      <c r="L2841" s="12"/>
      <c r="M2841" s="12"/>
      <c r="N2841" s="12"/>
      <c r="O2841" s="12"/>
      <c r="P2841" s="12"/>
      <c r="Q2841" s="12"/>
      <c r="R2841" s="12"/>
      <c r="S2841" s="12"/>
      <c r="T2841" s="12"/>
      <c r="U2841" s="12"/>
      <c r="V2841" s="12"/>
      <c r="W2841" s="12"/>
      <c r="X2841" s="12"/>
      <c r="Y2841" s="12"/>
      <c r="Z2841" s="12"/>
      <c r="AA2841" s="12"/>
    </row>
    <row r="2842" ht="26.25" customHeight="1">
      <c r="A2842" s="34" t="s">
        <v>5694</v>
      </c>
      <c r="B2842" s="35" t="s">
        <v>5695</v>
      </c>
      <c r="C2842" s="36">
        <v>3.0</v>
      </c>
      <c r="D2842" s="37">
        <v>272.0</v>
      </c>
      <c r="E2842" s="37">
        <v>10.0</v>
      </c>
      <c r="F2842" s="24" t="str">
        <f t="array" ref="F2842">"https://www.google.com/maps/search/?api=1&amp;query=" &amp; A2842 &amp; "," &amp; B2842</f>
        <v>https://www.google.com/maps/search/?api=1&amp;query=-30.89756338014730,-55.55068716035470</v>
      </c>
      <c r="G2842" s="25" t="str">
        <f t="array" ref="G2842">"https://earth.google.com/web/search/" &amp; A2842 &amp; "," &amp; B2842</f>
        <v>https://earth.google.com/web/search/-30.89756338014730,-55.55068716035470</v>
      </c>
      <c r="H2842" s="12"/>
      <c r="I2842" s="12"/>
      <c r="J2842" s="12"/>
      <c r="K2842" s="12"/>
      <c r="L2842" s="12"/>
      <c r="M2842" s="12"/>
      <c r="N2842" s="12"/>
      <c r="O2842" s="12"/>
      <c r="P2842" s="12"/>
      <c r="Q2842" s="12"/>
      <c r="R2842" s="12"/>
      <c r="S2842" s="12"/>
      <c r="T2842" s="12"/>
      <c r="U2842" s="12"/>
      <c r="V2842" s="12"/>
      <c r="W2842" s="12"/>
      <c r="X2842" s="12"/>
      <c r="Y2842" s="12"/>
      <c r="Z2842" s="12"/>
      <c r="AA2842" s="12"/>
    </row>
    <row r="2843" ht="26.25" customHeight="1">
      <c r="A2843" s="28" t="s">
        <v>5696</v>
      </c>
      <c r="B2843" s="29" t="s">
        <v>5697</v>
      </c>
      <c r="C2843" s="30">
        <v>3.0</v>
      </c>
      <c r="D2843" s="31">
        <v>272.0</v>
      </c>
      <c r="E2843" s="31">
        <v>11.0</v>
      </c>
      <c r="F2843" s="32" t="str">
        <f t="array" ref="F2843">"https://www.google.com/maps/search/?api=1&amp;query=" &amp; A2843 &amp; "," &amp; B2843</f>
        <v>https://www.google.com/maps/search/?api=1&amp;query=-30.89761034204740,-55.55073122813650</v>
      </c>
      <c r="G2843" s="33" t="str">
        <f t="array" ref="G2843">"https://earth.google.com/web/search/" &amp; A2843 &amp; "," &amp; B2843</f>
        <v>https://earth.google.com/web/search/-30.89761034204740,-55.55073122813650</v>
      </c>
      <c r="H2843" s="12"/>
      <c r="I2843" s="12"/>
      <c r="J2843" s="12"/>
      <c r="K2843" s="12"/>
      <c r="L2843" s="12"/>
      <c r="M2843" s="12"/>
      <c r="N2843" s="12"/>
      <c r="O2843" s="12"/>
      <c r="P2843" s="12"/>
      <c r="Q2843" s="12"/>
      <c r="R2843" s="12"/>
      <c r="S2843" s="12"/>
      <c r="T2843" s="12"/>
      <c r="U2843" s="12"/>
      <c r="V2843" s="12"/>
      <c r="W2843" s="12"/>
      <c r="X2843" s="12"/>
      <c r="Y2843" s="12"/>
      <c r="Z2843" s="12"/>
      <c r="AA2843" s="12"/>
    </row>
    <row r="2844" ht="26.25" customHeight="1">
      <c r="A2844" s="34" t="s">
        <v>5698</v>
      </c>
      <c r="B2844" s="35" t="s">
        <v>5699</v>
      </c>
      <c r="C2844" s="36">
        <v>3.0</v>
      </c>
      <c r="D2844" s="37">
        <v>272.0</v>
      </c>
      <c r="E2844" s="37">
        <v>12.0</v>
      </c>
      <c r="F2844" s="24" t="str">
        <f t="array" ref="F2844">"https://www.google.com/maps/search/?api=1&amp;query=" &amp; A2844 &amp; "," &amp; B2844</f>
        <v>https://www.google.com/maps/search/?api=1&amp;query=-30.89768003096720,-55.55077574120370</v>
      </c>
      <c r="G2844" s="25" t="str">
        <f t="array" ref="G2844">"https://earth.google.com/web/search/" &amp; A2844 &amp; "," &amp; B2844</f>
        <v>https://earth.google.com/web/search/-30.89768003096720,-55.55077574120370</v>
      </c>
      <c r="H2844" s="12"/>
      <c r="I2844" s="12"/>
      <c r="J2844" s="12"/>
      <c r="K2844" s="12"/>
      <c r="L2844" s="12"/>
      <c r="M2844" s="12"/>
      <c r="N2844" s="12"/>
      <c r="O2844" s="12"/>
      <c r="P2844" s="12"/>
      <c r="Q2844" s="12"/>
      <c r="R2844" s="12"/>
      <c r="S2844" s="12"/>
      <c r="T2844" s="12"/>
      <c r="U2844" s="12"/>
      <c r="V2844" s="12"/>
      <c r="W2844" s="12"/>
      <c r="X2844" s="12"/>
      <c r="Y2844" s="12"/>
      <c r="Z2844" s="12"/>
      <c r="AA2844" s="12"/>
    </row>
    <row r="2845" ht="26.25" customHeight="1">
      <c r="A2845" s="28" t="s">
        <v>5700</v>
      </c>
      <c r="B2845" s="29" t="s">
        <v>5701</v>
      </c>
      <c r="C2845" s="30">
        <v>3.0</v>
      </c>
      <c r="D2845" s="31">
        <v>273.0</v>
      </c>
      <c r="E2845" s="31">
        <v>1.0</v>
      </c>
      <c r="F2845" s="32" t="str">
        <f t="array" ref="F2845">"https://www.google.com/maps/search/?api=1&amp;query=" &amp; A2845 &amp; "," &amp; B2845</f>
        <v>https://www.google.com/maps/search/?api=1&amp;query=-30.89885215942710,-55.54995332273380</v>
      </c>
      <c r="G2845" s="33" t="str">
        <f t="array" ref="G2845">"https://earth.google.com/web/search/" &amp; A2845 &amp; "," &amp; B2845</f>
        <v>https://earth.google.com/web/search/-30.89885215942710,-55.54995332273380</v>
      </c>
      <c r="H2845" s="12"/>
      <c r="I2845" s="12"/>
      <c r="J2845" s="12"/>
      <c r="K2845" s="12"/>
      <c r="L2845" s="12"/>
      <c r="M2845" s="12"/>
      <c r="N2845" s="12"/>
      <c r="O2845" s="12"/>
      <c r="P2845" s="12"/>
      <c r="Q2845" s="12"/>
      <c r="R2845" s="12"/>
      <c r="S2845" s="12"/>
      <c r="T2845" s="12"/>
      <c r="U2845" s="12"/>
      <c r="V2845" s="12"/>
      <c r="W2845" s="12"/>
      <c r="X2845" s="12"/>
      <c r="Y2845" s="12"/>
      <c r="Z2845" s="12"/>
      <c r="AA2845" s="12"/>
    </row>
    <row r="2846" ht="26.25" customHeight="1">
      <c r="A2846" s="34" t="s">
        <v>5702</v>
      </c>
      <c r="B2846" s="35" t="s">
        <v>5703</v>
      </c>
      <c r="C2846" s="36">
        <v>3.0</v>
      </c>
      <c r="D2846" s="37">
        <v>273.0</v>
      </c>
      <c r="E2846" s="37">
        <v>2.0</v>
      </c>
      <c r="F2846" s="24" t="str">
        <f t="array" ref="F2846">"https://www.google.com/maps/search/?api=1&amp;query=" &amp; A2846 &amp; "," &amp; B2846</f>
        <v>https://www.google.com/maps/search/?api=1&amp;query=-30.89890712963290,-55.54988440263980</v>
      </c>
      <c r="G2846" s="25" t="str">
        <f t="array" ref="G2846">"https://earth.google.com/web/search/" &amp; A2846 &amp; "," &amp; B2846</f>
        <v>https://earth.google.com/web/search/-30.89890712963290,-55.54988440263980</v>
      </c>
      <c r="H2846" s="12"/>
      <c r="I2846" s="12"/>
      <c r="J2846" s="12"/>
      <c r="K2846" s="12"/>
      <c r="L2846" s="12"/>
      <c r="M2846" s="12"/>
      <c r="N2846" s="12"/>
      <c r="O2846" s="12"/>
      <c r="P2846" s="12"/>
      <c r="Q2846" s="12"/>
      <c r="R2846" s="12"/>
      <c r="S2846" s="12"/>
      <c r="T2846" s="12"/>
      <c r="U2846" s="12"/>
      <c r="V2846" s="12"/>
      <c r="W2846" s="12"/>
      <c r="X2846" s="12"/>
      <c r="Y2846" s="12"/>
      <c r="Z2846" s="12"/>
      <c r="AA2846" s="12"/>
    </row>
    <row r="2847" ht="26.25" customHeight="1">
      <c r="A2847" s="28" t="s">
        <v>5704</v>
      </c>
      <c r="B2847" s="29" t="s">
        <v>5705</v>
      </c>
      <c r="C2847" s="30">
        <v>3.0</v>
      </c>
      <c r="D2847" s="31">
        <v>273.0</v>
      </c>
      <c r="E2847" s="31">
        <v>3.0</v>
      </c>
      <c r="F2847" s="32" t="str">
        <f t="array" ref="F2847">"https://www.google.com/maps/search/?api=1&amp;query=" &amp; A2847 &amp; "," &amp; B2847</f>
        <v>https://www.google.com/maps/search/?api=1&amp;query=-30.89893341424140,-55.54980786318890</v>
      </c>
      <c r="G2847" s="33" t="str">
        <f t="array" ref="G2847">"https://earth.google.com/web/search/" &amp; A2847 &amp; "," &amp; B2847</f>
        <v>https://earth.google.com/web/search/-30.89893341424140,-55.54980786318890</v>
      </c>
      <c r="H2847" s="12"/>
      <c r="I2847" s="12"/>
      <c r="J2847" s="12"/>
      <c r="K2847" s="12"/>
      <c r="L2847" s="12"/>
      <c r="M2847" s="12"/>
      <c r="N2847" s="12"/>
      <c r="O2847" s="12"/>
      <c r="P2847" s="12"/>
      <c r="Q2847" s="12"/>
      <c r="R2847" s="12"/>
      <c r="S2847" s="12"/>
      <c r="T2847" s="12"/>
      <c r="U2847" s="12"/>
      <c r="V2847" s="12"/>
      <c r="W2847" s="12"/>
      <c r="X2847" s="12"/>
      <c r="Y2847" s="12"/>
      <c r="Z2847" s="12"/>
      <c r="AA2847" s="12"/>
    </row>
    <row r="2848" ht="26.25" customHeight="1">
      <c r="A2848" s="34" t="s">
        <v>5706</v>
      </c>
      <c r="B2848" s="35" t="s">
        <v>5707</v>
      </c>
      <c r="C2848" s="36">
        <v>3.0</v>
      </c>
      <c r="D2848" s="37">
        <v>273.0</v>
      </c>
      <c r="E2848" s="37">
        <v>4.0</v>
      </c>
      <c r="F2848" s="24" t="str">
        <f t="array" ref="F2848">"https://www.google.com/maps/search/?api=1&amp;query=" &amp; A2848 &amp; "," &amp; B2848</f>
        <v>https://www.google.com/maps/search/?api=1&amp;query=-30.89912085455480,-55.54947432892230</v>
      </c>
      <c r="G2848" s="25" t="str">
        <f t="array" ref="G2848">"https://earth.google.com/web/search/" &amp; A2848 &amp; "," &amp; B2848</f>
        <v>https://earth.google.com/web/search/-30.89912085455480,-55.54947432892230</v>
      </c>
      <c r="H2848" s="12"/>
      <c r="I2848" s="12"/>
      <c r="J2848" s="12"/>
      <c r="K2848" s="12"/>
      <c r="L2848" s="12"/>
      <c r="M2848" s="12"/>
      <c r="N2848" s="12"/>
      <c r="O2848" s="12"/>
      <c r="P2848" s="12"/>
      <c r="Q2848" s="12"/>
      <c r="R2848" s="12"/>
      <c r="S2848" s="12"/>
      <c r="T2848" s="12"/>
      <c r="U2848" s="12"/>
      <c r="V2848" s="12"/>
      <c r="W2848" s="12"/>
      <c r="X2848" s="12"/>
      <c r="Y2848" s="12"/>
      <c r="Z2848" s="12"/>
      <c r="AA2848" s="12"/>
    </row>
    <row r="2849" ht="26.25" customHeight="1">
      <c r="A2849" s="28" t="s">
        <v>5708</v>
      </c>
      <c r="B2849" s="29" t="s">
        <v>5709</v>
      </c>
      <c r="C2849" s="30">
        <v>3.0</v>
      </c>
      <c r="D2849" s="31">
        <v>273.0</v>
      </c>
      <c r="E2849" s="31">
        <v>5.0</v>
      </c>
      <c r="F2849" s="32" t="str">
        <f t="array" ref="F2849">"https://www.google.com/maps/search/?api=1&amp;query=" &amp; A2849 &amp; "," &amp; B2849</f>
        <v>https://www.google.com/maps/search/?api=1&amp;query=-30.89818947124640,-55.54937640732810</v>
      </c>
      <c r="G2849" s="33" t="str">
        <f t="array" ref="G2849">"https://earth.google.com/web/search/" &amp; A2849 &amp; "," &amp; B2849</f>
        <v>https://earth.google.com/web/search/-30.89818947124640,-55.54937640732810</v>
      </c>
      <c r="H2849" s="12"/>
      <c r="I2849" s="12"/>
      <c r="J2849" s="12"/>
      <c r="K2849" s="12"/>
      <c r="L2849" s="12"/>
      <c r="M2849" s="12"/>
      <c r="N2849" s="12"/>
      <c r="O2849" s="12"/>
      <c r="P2849" s="12"/>
      <c r="Q2849" s="12"/>
      <c r="R2849" s="12"/>
      <c r="S2849" s="12"/>
      <c r="T2849" s="12"/>
      <c r="U2849" s="12"/>
      <c r="V2849" s="12"/>
      <c r="W2849" s="12"/>
      <c r="X2849" s="12"/>
      <c r="Y2849" s="12"/>
      <c r="Z2849" s="12"/>
      <c r="AA2849" s="12"/>
    </row>
    <row r="2850" ht="26.25" customHeight="1">
      <c r="A2850" s="34" t="s">
        <v>5710</v>
      </c>
      <c r="B2850" s="35" t="s">
        <v>5711</v>
      </c>
      <c r="C2850" s="36">
        <v>3.0</v>
      </c>
      <c r="D2850" s="37">
        <v>273.0</v>
      </c>
      <c r="E2850" s="37">
        <v>6.0</v>
      </c>
      <c r="F2850" s="24" t="str">
        <f t="array" ref="F2850">"https://www.google.com/maps/search/?api=1&amp;query=" &amp; A2850 &amp; "," &amp; B2850</f>
        <v>https://www.google.com/maps/search/?api=1&amp;query=-30.89810885178790,-55.54985468870550</v>
      </c>
      <c r="G2850" s="25" t="str">
        <f t="array" ref="G2850">"https://earth.google.com/web/search/" &amp; A2850 &amp; "," &amp; B2850</f>
        <v>https://earth.google.com/web/search/-30.89810885178790,-55.54985468870550</v>
      </c>
      <c r="H2850" s="12"/>
      <c r="I2850" s="12"/>
      <c r="J2850" s="12"/>
      <c r="K2850" s="12"/>
      <c r="L2850" s="12"/>
      <c r="M2850" s="12"/>
      <c r="N2850" s="12"/>
      <c r="O2850" s="12"/>
      <c r="P2850" s="12"/>
      <c r="Q2850" s="12"/>
      <c r="R2850" s="12"/>
      <c r="S2850" s="12"/>
      <c r="T2850" s="12"/>
      <c r="U2850" s="12"/>
      <c r="V2850" s="12"/>
      <c r="W2850" s="12"/>
      <c r="X2850" s="12"/>
      <c r="Y2850" s="12"/>
      <c r="Z2850" s="12"/>
      <c r="AA2850" s="12"/>
    </row>
    <row r="2851" ht="26.25" customHeight="1">
      <c r="A2851" s="28" t="s">
        <v>5712</v>
      </c>
      <c r="B2851" s="29" t="s">
        <v>5713</v>
      </c>
      <c r="C2851" s="30">
        <v>3.0</v>
      </c>
      <c r="D2851" s="31">
        <v>274.0</v>
      </c>
      <c r="E2851" s="31">
        <v>1.0</v>
      </c>
      <c r="F2851" s="32" t="str">
        <f t="array" ref="F2851">"https://www.google.com/maps/search/?api=1&amp;query=" &amp; A2851 &amp; "," &amp; B2851</f>
        <v>https://www.google.com/maps/search/?api=1&amp;query=-3.08992554573597,-5.55491795153922</v>
      </c>
      <c r="G2851" s="33" t="str">
        <f t="array" ref="G2851">"https://earth.google.com/web/search/" &amp; A2851 &amp; "," &amp; B2851</f>
        <v>https://earth.google.com/web/search/-3.08992554573597,-5.55491795153922</v>
      </c>
      <c r="H2851" s="12"/>
      <c r="I2851" s="12"/>
      <c r="J2851" s="12"/>
      <c r="K2851" s="12"/>
      <c r="L2851" s="12"/>
      <c r="M2851" s="12"/>
      <c r="N2851" s="12"/>
      <c r="O2851" s="12"/>
      <c r="P2851" s="12"/>
      <c r="Q2851" s="12"/>
      <c r="R2851" s="12"/>
      <c r="S2851" s="12"/>
      <c r="T2851" s="12"/>
      <c r="U2851" s="12"/>
      <c r="V2851" s="12"/>
      <c r="W2851" s="12"/>
      <c r="X2851" s="12"/>
      <c r="Y2851" s="12"/>
      <c r="Z2851" s="12"/>
      <c r="AA2851" s="12"/>
    </row>
    <row r="2852" ht="26.25" customHeight="1">
      <c r="A2852" s="34" t="s">
        <v>5714</v>
      </c>
      <c r="B2852" s="35" t="s">
        <v>5715</v>
      </c>
      <c r="C2852" s="36">
        <v>3.0</v>
      </c>
      <c r="D2852" s="37">
        <v>274.0</v>
      </c>
      <c r="E2852" s="37">
        <v>2.0</v>
      </c>
      <c r="F2852" s="24" t="str">
        <f t="array" ref="F2852">"https://www.google.com/maps/search/?api=1&amp;query=" &amp; A2852 &amp; "," &amp; B2852</f>
        <v>https://www.google.com/maps/search/?api=1&amp;query=-30.89947869204500,-5.55487825175654</v>
      </c>
      <c r="G2852" s="25" t="str">
        <f t="array" ref="G2852">"https://earth.google.com/web/search/" &amp; A2852 &amp; "," &amp; B2852</f>
        <v>https://earth.google.com/web/search/-30.89947869204500,-5.55487825175654</v>
      </c>
      <c r="H2852" s="12"/>
      <c r="I2852" s="12"/>
      <c r="J2852" s="12"/>
      <c r="K2852" s="12"/>
      <c r="L2852" s="12"/>
      <c r="M2852" s="12"/>
      <c r="N2852" s="12"/>
      <c r="O2852" s="12"/>
      <c r="P2852" s="12"/>
      <c r="Q2852" s="12"/>
      <c r="R2852" s="12"/>
      <c r="S2852" s="12"/>
      <c r="T2852" s="12"/>
      <c r="U2852" s="12"/>
      <c r="V2852" s="12"/>
      <c r="W2852" s="12"/>
      <c r="X2852" s="12"/>
      <c r="Y2852" s="12"/>
      <c r="Z2852" s="12"/>
      <c r="AA2852" s="12"/>
    </row>
    <row r="2853" ht="26.25" customHeight="1">
      <c r="A2853" s="28" t="s">
        <v>5716</v>
      </c>
      <c r="B2853" s="29" t="s">
        <v>5717</v>
      </c>
      <c r="C2853" s="30">
        <v>3.0</v>
      </c>
      <c r="D2853" s="31">
        <v>274.0</v>
      </c>
      <c r="E2853" s="31">
        <v>3.0</v>
      </c>
      <c r="F2853" s="32" t="str">
        <f t="array" ref="F2853">"https://www.google.com/maps/search/?api=1&amp;query=" &amp; A2853 &amp; "," &amp; B2853</f>
        <v>https://www.google.com/maps/search/?api=1&amp;query=-30.89861606012430,-55.54856834890690</v>
      </c>
      <c r="G2853" s="33" t="str">
        <f t="array" ref="G2853">"https://earth.google.com/web/search/" &amp; A2853 &amp; "," &amp; B2853</f>
        <v>https://earth.google.com/web/search/-30.89861606012430,-55.54856834890690</v>
      </c>
      <c r="H2853" s="12"/>
      <c r="I2853" s="12"/>
      <c r="J2853" s="12"/>
      <c r="K2853" s="12"/>
      <c r="L2853" s="12"/>
      <c r="M2853" s="12"/>
      <c r="N2853" s="12"/>
      <c r="O2853" s="12"/>
      <c r="P2853" s="12"/>
      <c r="Q2853" s="12"/>
      <c r="R2853" s="12"/>
      <c r="S2853" s="12"/>
      <c r="T2853" s="12"/>
      <c r="U2853" s="12"/>
      <c r="V2853" s="12"/>
      <c r="W2853" s="12"/>
      <c r="X2853" s="12"/>
      <c r="Y2853" s="12"/>
      <c r="Z2853" s="12"/>
      <c r="AA2853" s="12"/>
    </row>
    <row r="2854" ht="26.25" customHeight="1">
      <c r="A2854" s="34" t="s">
        <v>5718</v>
      </c>
      <c r="B2854" s="35" t="s">
        <v>5719</v>
      </c>
      <c r="C2854" s="36">
        <v>3.0</v>
      </c>
      <c r="D2854" s="37">
        <v>274.0</v>
      </c>
      <c r="E2854" s="37">
        <v>4.0</v>
      </c>
      <c r="F2854" s="24" t="str">
        <f t="array" ref="F2854">"https://www.google.com/maps/search/?api=1&amp;query=" &amp; A2854 &amp; "," &amp; B2854</f>
        <v>https://www.google.com/maps/search/?api=1&amp;query=-30.89851023041780,-55.54876618543120</v>
      </c>
      <c r="G2854" s="25" t="str">
        <f t="array" ref="G2854">"https://earth.google.com/web/search/" &amp; A2854 &amp; "," &amp; B2854</f>
        <v>https://earth.google.com/web/search/-30.89851023041780,-55.54876618543120</v>
      </c>
      <c r="H2854" s="12"/>
      <c r="I2854" s="12"/>
      <c r="J2854" s="12"/>
      <c r="K2854" s="12"/>
      <c r="L2854" s="12"/>
      <c r="M2854" s="12"/>
      <c r="N2854" s="12"/>
      <c r="O2854" s="12"/>
      <c r="P2854" s="12"/>
      <c r="Q2854" s="12"/>
      <c r="R2854" s="12"/>
      <c r="S2854" s="12"/>
      <c r="T2854" s="12"/>
      <c r="U2854" s="12"/>
      <c r="V2854" s="12"/>
      <c r="W2854" s="12"/>
      <c r="X2854" s="12"/>
      <c r="Y2854" s="12"/>
      <c r="Z2854" s="12"/>
      <c r="AA2854" s="12"/>
    </row>
    <row r="2855" ht="26.25" customHeight="1">
      <c r="A2855" s="28" t="s">
        <v>5720</v>
      </c>
      <c r="B2855" s="29" t="s">
        <v>5721</v>
      </c>
      <c r="C2855" s="30">
        <v>3.0</v>
      </c>
      <c r="D2855" s="31">
        <v>274.0</v>
      </c>
      <c r="E2855" s="31">
        <v>5.0</v>
      </c>
      <c r="F2855" s="32" t="str">
        <f t="array" ref="F2855">"https://www.google.com/maps/search/?api=1&amp;query=" &amp; A2855 &amp; "," &amp; B2855</f>
        <v>https://www.google.com/maps/search/?api=1&amp;query=-30.89854187860700,-5.55489091030195</v>
      </c>
      <c r="G2855" s="33" t="str">
        <f t="array" ref="G2855">"https://earth.google.com/web/search/" &amp; A2855 &amp; "," &amp; B2855</f>
        <v>https://earth.google.com/web/search/-30.89854187860700,-5.55489091030195</v>
      </c>
      <c r="H2855" s="12"/>
      <c r="I2855" s="12"/>
      <c r="J2855" s="12"/>
      <c r="K2855" s="12"/>
      <c r="L2855" s="12"/>
      <c r="M2855" s="12"/>
      <c r="N2855" s="12"/>
      <c r="O2855" s="12"/>
      <c r="P2855" s="12"/>
      <c r="Q2855" s="12"/>
      <c r="R2855" s="12"/>
      <c r="S2855" s="12"/>
      <c r="T2855" s="12"/>
      <c r="U2855" s="12"/>
      <c r="V2855" s="12"/>
      <c r="W2855" s="12"/>
      <c r="X2855" s="12"/>
      <c r="Y2855" s="12"/>
      <c r="Z2855" s="12"/>
      <c r="AA2855" s="12"/>
    </row>
    <row r="2856" ht="26.25" customHeight="1">
      <c r="A2856" s="34" t="s">
        <v>5722</v>
      </c>
      <c r="B2856" s="35" t="s">
        <v>5723</v>
      </c>
      <c r="C2856" s="36">
        <v>3.0</v>
      </c>
      <c r="D2856" s="37">
        <v>274.0</v>
      </c>
      <c r="E2856" s="37">
        <v>6.0</v>
      </c>
      <c r="F2856" s="24" t="str">
        <f t="array" ref="F2856">"https://www.google.com/maps/search/?api=1&amp;query=" &amp; A2856 &amp; "," &amp; B2856</f>
        <v>https://www.google.com/maps/search/?api=1&amp;query=-3.08985968349303,-55.54892897451080</v>
      </c>
      <c r="G2856" s="25" t="str">
        <f t="array" ref="G2856">"https://earth.google.com/web/search/" &amp; A2856 &amp; "," &amp; B2856</f>
        <v>https://earth.google.com/web/search/-3.08985968349303,-55.54892897451080</v>
      </c>
      <c r="H2856" s="12"/>
      <c r="I2856" s="12"/>
      <c r="J2856" s="12"/>
      <c r="K2856" s="12"/>
      <c r="L2856" s="12"/>
      <c r="M2856" s="12"/>
      <c r="N2856" s="12"/>
      <c r="O2856" s="12"/>
      <c r="P2856" s="12"/>
      <c r="Q2856" s="12"/>
      <c r="R2856" s="12"/>
      <c r="S2856" s="12"/>
      <c r="T2856" s="12"/>
      <c r="U2856" s="12"/>
      <c r="V2856" s="12"/>
      <c r="W2856" s="12"/>
      <c r="X2856" s="12"/>
      <c r="Y2856" s="12"/>
      <c r="Z2856" s="12"/>
      <c r="AA2856" s="12"/>
    </row>
    <row r="2857" ht="26.25" customHeight="1">
      <c r="A2857" s="28" t="s">
        <v>5724</v>
      </c>
      <c r="B2857" s="29" t="s">
        <v>5725</v>
      </c>
      <c r="C2857" s="30">
        <v>3.0</v>
      </c>
      <c r="D2857" s="31">
        <v>274.0</v>
      </c>
      <c r="E2857" s="31">
        <v>7.0</v>
      </c>
      <c r="F2857" s="32" t="str">
        <f t="array" ref="F2857">"https://www.google.com/maps/search/?api=1&amp;query=" &amp; A2857 &amp; "," &amp; B2857</f>
        <v>https://www.google.com/maps/search/?api=1&amp;query=-30.89865285193230,-55.54897814015180</v>
      </c>
      <c r="G2857" s="33" t="str">
        <f t="array" ref="G2857">"https://earth.google.com/web/search/" &amp; A2857 &amp; "," &amp; B2857</f>
        <v>https://earth.google.com/web/search/-30.89865285193230,-55.54897814015180</v>
      </c>
      <c r="H2857" s="12"/>
      <c r="I2857" s="12"/>
      <c r="J2857" s="12"/>
      <c r="K2857" s="12"/>
      <c r="L2857" s="12"/>
      <c r="M2857" s="12"/>
      <c r="N2857" s="12"/>
      <c r="O2857" s="12"/>
      <c r="P2857" s="12"/>
      <c r="Q2857" s="12"/>
      <c r="R2857" s="12"/>
      <c r="S2857" s="12"/>
      <c r="T2857" s="12"/>
      <c r="U2857" s="12"/>
      <c r="V2857" s="12"/>
      <c r="W2857" s="12"/>
      <c r="X2857" s="12"/>
      <c r="Y2857" s="12"/>
      <c r="Z2857" s="12"/>
      <c r="AA2857" s="12"/>
    </row>
    <row r="2858" ht="26.25" customHeight="1">
      <c r="A2858" s="34" t="s">
        <v>5726</v>
      </c>
      <c r="B2858" s="35" t="s">
        <v>5727</v>
      </c>
      <c r="C2858" s="36">
        <v>3.0</v>
      </c>
      <c r="D2858" s="37">
        <v>274.0</v>
      </c>
      <c r="E2858" s="37">
        <v>8.0</v>
      </c>
      <c r="F2858" s="24" t="str">
        <f t="array" ref="F2858">"https://www.google.com/maps/search/?api=1&amp;query=" &amp; A2858 &amp; "," &amp; B2858</f>
        <v>https://www.google.com/maps/search/?api=1&amp;query=-3.08987818637889,-55.54902823108760</v>
      </c>
      <c r="G2858" s="25" t="str">
        <f t="array" ref="G2858">"https://earth.google.com/web/search/" &amp; A2858 &amp; "," &amp; B2858</f>
        <v>https://earth.google.com/web/search/-3.08987818637889,-55.54902823108760</v>
      </c>
      <c r="H2858" s="12"/>
      <c r="I2858" s="12"/>
      <c r="J2858" s="12"/>
      <c r="K2858" s="12"/>
      <c r="L2858" s="12"/>
      <c r="M2858" s="12"/>
      <c r="N2858" s="12"/>
      <c r="O2858" s="12"/>
      <c r="P2858" s="12"/>
      <c r="Q2858" s="12"/>
      <c r="R2858" s="12"/>
      <c r="S2858" s="12"/>
      <c r="T2858" s="12"/>
      <c r="U2858" s="12"/>
      <c r="V2858" s="12"/>
      <c r="W2858" s="12"/>
      <c r="X2858" s="12"/>
      <c r="Y2858" s="12"/>
      <c r="Z2858" s="12"/>
      <c r="AA2858" s="12"/>
    </row>
    <row r="2859" ht="26.25" customHeight="1">
      <c r="A2859" s="28" t="s">
        <v>5728</v>
      </c>
      <c r="B2859" s="29" t="s">
        <v>5729</v>
      </c>
      <c r="C2859" s="30">
        <v>3.0</v>
      </c>
      <c r="D2859" s="31">
        <v>274.0</v>
      </c>
      <c r="E2859" s="31">
        <v>9.0</v>
      </c>
      <c r="F2859" s="32" t="str">
        <f t="array" ref="F2859">"https://www.google.com/maps/search/?api=1&amp;query=" &amp; A2859 &amp; "," &amp; B2859</f>
        <v>https://www.google.com/maps/search/?api=1&amp;query=-30.89898335688160,-55.54918988595780</v>
      </c>
      <c r="G2859" s="33" t="str">
        <f t="array" ref="G2859">"https://earth.google.com/web/search/" &amp; A2859 &amp; "," &amp; B2859</f>
        <v>https://earth.google.com/web/search/-30.89898335688160,-55.54918988595780</v>
      </c>
      <c r="H2859" s="12"/>
      <c r="I2859" s="12"/>
      <c r="J2859" s="12"/>
      <c r="K2859" s="12"/>
      <c r="L2859" s="12"/>
      <c r="M2859" s="12"/>
      <c r="N2859" s="12"/>
      <c r="O2859" s="12"/>
      <c r="P2859" s="12"/>
      <c r="Q2859" s="12"/>
      <c r="R2859" s="12"/>
      <c r="S2859" s="12"/>
      <c r="T2859" s="12"/>
      <c r="U2859" s="12"/>
      <c r="V2859" s="12"/>
      <c r="W2859" s="12"/>
      <c r="X2859" s="12"/>
      <c r="Y2859" s="12"/>
      <c r="Z2859" s="12"/>
      <c r="AA2859" s="12"/>
    </row>
    <row r="2860" ht="26.25" customHeight="1">
      <c r="A2860" s="34" t="s">
        <v>5730</v>
      </c>
      <c r="B2860" s="35" t="s">
        <v>5731</v>
      </c>
      <c r="C2860" s="36">
        <v>3.0</v>
      </c>
      <c r="D2860" s="37">
        <v>274.0</v>
      </c>
      <c r="E2860" s="37">
        <v>10.0</v>
      </c>
      <c r="F2860" s="24" t="str">
        <f t="array" ref="F2860">"https://www.google.com/maps/search/?api=1&amp;query=" &amp; A2860 &amp; "," &amp; B2860</f>
        <v>https://www.google.com/maps/search/?api=1&amp;query=-30.89905087474190,-55.54925353580980</v>
      </c>
      <c r="G2860" s="25" t="str">
        <f t="array" ref="G2860">"https://earth.google.com/web/search/" &amp; A2860 &amp; "," &amp; B2860</f>
        <v>https://earth.google.com/web/search/-30.89905087474190,-55.54925353580980</v>
      </c>
      <c r="H2860" s="12"/>
      <c r="I2860" s="12"/>
      <c r="J2860" s="12"/>
      <c r="K2860" s="12"/>
      <c r="L2860" s="12"/>
      <c r="M2860" s="12"/>
      <c r="N2860" s="12"/>
      <c r="O2860" s="12"/>
      <c r="P2860" s="12"/>
      <c r="Q2860" s="12"/>
      <c r="R2860" s="12"/>
      <c r="S2860" s="12"/>
      <c r="T2860" s="12"/>
      <c r="U2860" s="12"/>
      <c r="V2860" s="12"/>
      <c r="W2860" s="12"/>
      <c r="X2860" s="12"/>
      <c r="Y2860" s="12"/>
      <c r="Z2860" s="12"/>
      <c r="AA2860" s="12"/>
    </row>
    <row r="2861" ht="26.25" customHeight="1">
      <c r="A2861" s="28" t="s">
        <v>5732</v>
      </c>
      <c r="B2861" s="29" t="s">
        <v>5733</v>
      </c>
      <c r="C2861" s="30">
        <v>3.0</v>
      </c>
      <c r="D2861" s="31">
        <v>274.0</v>
      </c>
      <c r="E2861" s="31">
        <v>11.0</v>
      </c>
      <c r="F2861" s="32" t="str">
        <f t="array" ref="F2861">"https://www.google.com/maps/search/?api=1&amp;query=" &amp; A2861 &amp; "," &amp; B2861</f>
        <v>https://www.google.com/maps/search/?api=1&amp;query=-30.89911811253230,-5.55492916155081</v>
      </c>
      <c r="G2861" s="33" t="str">
        <f t="array" ref="G2861">"https://earth.google.com/web/search/" &amp; A2861 &amp; "," &amp; B2861</f>
        <v>https://earth.google.com/web/search/-30.89911811253230,-5.55492916155081</v>
      </c>
      <c r="H2861" s="12"/>
      <c r="I2861" s="12"/>
      <c r="J2861" s="12"/>
      <c r="K2861" s="12"/>
      <c r="L2861" s="12"/>
      <c r="M2861" s="12"/>
      <c r="N2861" s="12"/>
      <c r="O2861" s="12"/>
      <c r="P2861" s="12"/>
      <c r="Q2861" s="12"/>
      <c r="R2861" s="12"/>
      <c r="S2861" s="12"/>
      <c r="T2861" s="12"/>
      <c r="U2861" s="12"/>
      <c r="V2861" s="12"/>
      <c r="W2861" s="12"/>
      <c r="X2861" s="12"/>
      <c r="Y2861" s="12"/>
      <c r="Z2861" s="12"/>
      <c r="AA2861" s="12"/>
    </row>
    <row r="2862" ht="26.25" customHeight="1">
      <c r="A2862" s="34" t="s">
        <v>5734</v>
      </c>
      <c r="B2862" s="35" t="s">
        <v>5735</v>
      </c>
      <c r="C2862" s="36">
        <v>3.0</v>
      </c>
      <c r="D2862" s="37">
        <v>275.0</v>
      </c>
      <c r="E2862" s="37">
        <v>1.0</v>
      </c>
      <c r="F2862" s="24" t="str">
        <f t="array" ref="F2862">"https://www.google.com/maps/search/?api=1&amp;query=" &amp; A2862 &amp; "," &amp; B2862</f>
        <v>https://www.google.com/maps/search/?api=1&amp;query=-30.90022690015000,-55.54739630000000</v>
      </c>
      <c r="G2862" s="25" t="str">
        <f t="array" ref="G2862">"https://earth.google.com/web/search/" &amp; A2862 &amp; "," &amp; B2862</f>
        <v>https://earth.google.com/web/search/-30.90022690015000,-55.54739630000000</v>
      </c>
      <c r="H2862" s="12"/>
      <c r="I2862" s="12"/>
      <c r="J2862" s="12"/>
      <c r="K2862" s="12"/>
      <c r="L2862" s="12"/>
      <c r="M2862" s="12"/>
      <c r="N2862" s="12"/>
      <c r="O2862" s="12"/>
      <c r="P2862" s="12"/>
      <c r="Q2862" s="12"/>
      <c r="R2862" s="12"/>
      <c r="S2862" s="12"/>
      <c r="T2862" s="12"/>
      <c r="U2862" s="12"/>
      <c r="V2862" s="12"/>
      <c r="W2862" s="12"/>
      <c r="X2862" s="12"/>
      <c r="Y2862" s="12"/>
      <c r="Z2862" s="12"/>
      <c r="AA2862" s="12"/>
    </row>
    <row r="2863" ht="26.25" customHeight="1">
      <c r="A2863" s="28" t="s">
        <v>5736</v>
      </c>
      <c r="B2863" s="29" t="s">
        <v>5737</v>
      </c>
      <c r="C2863" s="30">
        <v>3.0</v>
      </c>
      <c r="D2863" s="31">
        <v>275.0</v>
      </c>
      <c r="E2863" s="31">
        <v>2.0</v>
      </c>
      <c r="F2863" s="32" t="str">
        <f t="array" ref="F2863">"https://www.google.com/maps/search/?api=1&amp;query=" &amp; A2863 &amp; "," &amp; B2863</f>
        <v>https://www.google.com/maps/search/?api=1&amp;query=-30.90025148321220,-55.54733397133630</v>
      </c>
      <c r="G2863" s="33" t="str">
        <f t="array" ref="G2863">"https://earth.google.com/web/search/" &amp; A2863 &amp; "," &amp; B2863</f>
        <v>https://earth.google.com/web/search/-30.90025148321220,-55.54733397133630</v>
      </c>
      <c r="H2863" s="12"/>
      <c r="I2863" s="12"/>
      <c r="J2863" s="12"/>
      <c r="K2863" s="12"/>
      <c r="L2863" s="12"/>
      <c r="M2863" s="12"/>
      <c r="N2863" s="12"/>
      <c r="O2863" s="12"/>
      <c r="P2863" s="12"/>
      <c r="Q2863" s="12"/>
      <c r="R2863" s="12"/>
      <c r="S2863" s="12"/>
      <c r="T2863" s="12"/>
      <c r="U2863" s="12"/>
      <c r="V2863" s="12"/>
      <c r="W2863" s="12"/>
      <c r="X2863" s="12"/>
      <c r="Y2863" s="12"/>
      <c r="Z2863" s="12"/>
      <c r="AA2863" s="12"/>
    </row>
    <row r="2864" ht="26.25" customHeight="1">
      <c r="A2864" s="34" t="s">
        <v>5738</v>
      </c>
      <c r="B2864" s="35" t="s">
        <v>5739</v>
      </c>
      <c r="C2864" s="36">
        <v>3.0</v>
      </c>
      <c r="D2864" s="37">
        <v>275.0</v>
      </c>
      <c r="E2864" s="37">
        <v>3.0</v>
      </c>
      <c r="F2864" s="24" t="str">
        <f t="array" ref="F2864">"https://www.google.com/maps/search/?api=1&amp;query=" &amp; A2864 &amp; "," &amp; B2864</f>
        <v>https://www.google.com/maps/search/?api=1&amp;query=-30.90031801255610,-55.54721462128960</v>
      </c>
      <c r="G2864" s="25" t="str">
        <f t="array" ref="G2864">"https://earth.google.com/web/search/" &amp; A2864 &amp; "," &amp; B2864</f>
        <v>https://earth.google.com/web/search/-30.90031801255610,-55.54721462128960</v>
      </c>
      <c r="H2864" s="12"/>
      <c r="I2864" s="12"/>
      <c r="J2864" s="12"/>
      <c r="K2864" s="12"/>
      <c r="L2864" s="12"/>
      <c r="M2864" s="12"/>
      <c r="N2864" s="12"/>
      <c r="O2864" s="12"/>
      <c r="P2864" s="12"/>
      <c r="Q2864" s="12"/>
      <c r="R2864" s="12"/>
      <c r="S2864" s="12"/>
      <c r="T2864" s="12"/>
      <c r="U2864" s="12"/>
      <c r="V2864" s="12"/>
      <c r="W2864" s="12"/>
      <c r="X2864" s="12"/>
      <c r="Y2864" s="12"/>
      <c r="Z2864" s="12"/>
      <c r="AA2864" s="12"/>
    </row>
    <row r="2865" ht="26.25" customHeight="1">
      <c r="A2865" s="28" t="s">
        <v>5740</v>
      </c>
      <c r="B2865" s="29" t="s">
        <v>5741</v>
      </c>
      <c r="C2865" s="30">
        <v>3.0</v>
      </c>
      <c r="D2865" s="31">
        <v>275.0</v>
      </c>
      <c r="E2865" s="31">
        <v>4.0</v>
      </c>
      <c r="F2865" s="32" t="str">
        <f t="array" ref="F2865">"https://www.google.com/maps/search/?api=1&amp;query=" &amp; A2865 &amp; "," &amp; B2865</f>
        <v>https://www.google.com/maps/search/?api=1&amp;query=-30.90036978994280,-55.54709651603940</v>
      </c>
      <c r="G2865" s="33" t="str">
        <f t="array" ref="G2865">"https://earth.google.com/web/search/" &amp; A2865 &amp; "," &amp; B2865</f>
        <v>https://earth.google.com/web/search/-30.90036978994280,-55.54709651603940</v>
      </c>
      <c r="H2865" s="12"/>
      <c r="I2865" s="12"/>
      <c r="J2865" s="12"/>
      <c r="K2865" s="12"/>
      <c r="L2865" s="12"/>
      <c r="M2865" s="12"/>
      <c r="N2865" s="12"/>
      <c r="O2865" s="12"/>
      <c r="P2865" s="12"/>
      <c r="Q2865" s="12"/>
      <c r="R2865" s="12"/>
      <c r="S2865" s="12"/>
      <c r="T2865" s="12"/>
      <c r="U2865" s="12"/>
      <c r="V2865" s="12"/>
      <c r="W2865" s="12"/>
      <c r="X2865" s="12"/>
      <c r="Y2865" s="12"/>
      <c r="Z2865" s="12"/>
      <c r="AA2865" s="12"/>
    </row>
    <row r="2866" ht="26.25" customHeight="1">
      <c r="A2866" s="34" t="s">
        <v>5742</v>
      </c>
      <c r="B2866" s="35" t="s">
        <v>5743</v>
      </c>
      <c r="C2866" s="36">
        <v>3.0</v>
      </c>
      <c r="D2866" s="37">
        <v>275.0</v>
      </c>
      <c r="E2866" s="37">
        <v>5.0</v>
      </c>
      <c r="F2866" s="24" t="str">
        <f t="array" ref="F2866">"https://www.google.com/maps/search/?api=1&amp;query=" &amp; A2866 &amp; "," &amp; B2866</f>
        <v>https://www.google.com/maps/search/?api=1&amp;query=-30.90050381931940,-55.54684442081160</v>
      </c>
      <c r="G2866" s="25" t="str">
        <f t="array" ref="G2866">"https://earth.google.com/web/search/" &amp; A2866 &amp; "," &amp; B2866</f>
        <v>https://earth.google.com/web/search/-30.90050381931940,-55.54684442081160</v>
      </c>
      <c r="H2866" s="12"/>
      <c r="I2866" s="12"/>
      <c r="J2866" s="12"/>
      <c r="K2866" s="12"/>
      <c r="L2866" s="12"/>
      <c r="M2866" s="12"/>
      <c r="N2866" s="12"/>
      <c r="O2866" s="12"/>
      <c r="P2866" s="12"/>
      <c r="Q2866" s="12"/>
      <c r="R2866" s="12"/>
      <c r="S2866" s="12"/>
      <c r="T2866" s="12"/>
      <c r="U2866" s="12"/>
      <c r="V2866" s="12"/>
      <c r="W2866" s="12"/>
      <c r="X2866" s="12"/>
      <c r="Y2866" s="12"/>
      <c r="Z2866" s="12"/>
      <c r="AA2866" s="12"/>
    </row>
    <row r="2867" ht="26.25" customHeight="1">
      <c r="A2867" s="28" t="s">
        <v>5744</v>
      </c>
      <c r="B2867" s="29" t="s">
        <v>5745</v>
      </c>
      <c r="C2867" s="30">
        <v>3.0</v>
      </c>
      <c r="D2867" s="31">
        <v>275.0</v>
      </c>
      <c r="E2867" s="31">
        <v>6.0</v>
      </c>
      <c r="F2867" s="32" t="str">
        <f t="array" ref="F2867">"https://www.google.com/maps/search/?api=1&amp;query=" &amp; A2867 &amp; "," &amp; B2867</f>
        <v>https://www.google.com/maps/search/?api=1&amp;query=-30.90039654624870,-55.54657652343080</v>
      </c>
      <c r="G2867" s="33" t="str">
        <f t="array" ref="G2867">"https://earth.google.com/web/search/" &amp; A2867 &amp; "," &amp; B2867</f>
        <v>https://earth.google.com/web/search/-30.90039654624870,-55.54657652343080</v>
      </c>
      <c r="H2867" s="12"/>
      <c r="I2867" s="12"/>
      <c r="J2867" s="12"/>
      <c r="K2867" s="12"/>
      <c r="L2867" s="12"/>
      <c r="M2867" s="12"/>
      <c r="N2867" s="12"/>
      <c r="O2867" s="12"/>
      <c r="P2867" s="12"/>
      <c r="Q2867" s="12"/>
      <c r="R2867" s="12"/>
      <c r="S2867" s="12"/>
      <c r="T2867" s="12"/>
      <c r="U2867" s="12"/>
      <c r="V2867" s="12"/>
      <c r="W2867" s="12"/>
      <c r="X2867" s="12"/>
      <c r="Y2867" s="12"/>
      <c r="Z2867" s="12"/>
      <c r="AA2867" s="12"/>
    </row>
    <row r="2868" ht="26.25" customHeight="1">
      <c r="A2868" s="34" t="s">
        <v>5746</v>
      </c>
      <c r="B2868" s="35" t="s">
        <v>5747</v>
      </c>
      <c r="C2868" s="36">
        <v>3.0</v>
      </c>
      <c r="D2868" s="37">
        <v>275.0</v>
      </c>
      <c r="E2868" s="37">
        <v>7.0</v>
      </c>
      <c r="F2868" s="24" t="str">
        <f t="array" ref="F2868">"https://www.google.com/maps/search/?api=1&amp;query=" &amp; A2868 &amp; "," &amp; B2868</f>
        <v>https://www.google.com/maps/search/?api=1&amp;query=-30.90029980942090,-55.54651856282010</v>
      </c>
      <c r="G2868" s="25" t="str">
        <f t="array" ref="G2868">"https://earth.google.com/web/search/" &amp; A2868 &amp; "," &amp; B2868</f>
        <v>https://earth.google.com/web/search/-30.90029980942090,-55.54651856282010</v>
      </c>
      <c r="H2868" s="12"/>
      <c r="I2868" s="12"/>
      <c r="J2868" s="12"/>
      <c r="K2868" s="12"/>
      <c r="L2868" s="12"/>
      <c r="M2868" s="12"/>
      <c r="N2868" s="12"/>
      <c r="O2868" s="12"/>
      <c r="P2868" s="12"/>
      <c r="Q2868" s="12"/>
      <c r="R2868" s="12"/>
      <c r="S2868" s="12"/>
      <c r="T2868" s="12"/>
      <c r="U2868" s="12"/>
      <c r="V2868" s="12"/>
      <c r="W2868" s="12"/>
      <c r="X2868" s="12"/>
      <c r="Y2868" s="12"/>
      <c r="Z2868" s="12"/>
      <c r="AA2868" s="12"/>
    </row>
    <row r="2869" ht="26.25" customHeight="1">
      <c r="A2869" s="28" t="s">
        <v>5748</v>
      </c>
      <c r="B2869" s="29" t="s">
        <v>5749</v>
      </c>
      <c r="C2869" s="30">
        <v>3.0</v>
      </c>
      <c r="D2869" s="31">
        <v>275.0</v>
      </c>
      <c r="E2869" s="31">
        <v>8.0</v>
      </c>
      <c r="F2869" s="32" t="str">
        <f t="array" ref="F2869">"https://www.google.com/maps/search/?api=1&amp;query=" &amp; A2869 &amp; "," &amp; B2869</f>
        <v>https://www.google.com/maps/search/?api=1&amp;query=-30.89984747610610,-55.54624379312680</v>
      </c>
      <c r="G2869" s="33" t="str">
        <f t="array" ref="G2869">"https://earth.google.com/web/search/" &amp; A2869 &amp; "," &amp; B2869</f>
        <v>https://earth.google.com/web/search/-30.89984747610610,-55.54624379312680</v>
      </c>
      <c r="H2869" s="12"/>
      <c r="I2869" s="12"/>
      <c r="J2869" s="12"/>
      <c r="K2869" s="12"/>
      <c r="L2869" s="12"/>
      <c r="M2869" s="12"/>
      <c r="N2869" s="12"/>
      <c r="O2869" s="12"/>
      <c r="P2869" s="12"/>
      <c r="Q2869" s="12"/>
      <c r="R2869" s="12"/>
      <c r="S2869" s="12"/>
      <c r="T2869" s="12"/>
      <c r="U2869" s="12"/>
      <c r="V2869" s="12"/>
      <c r="W2869" s="12"/>
      <c r="X2869" s="12"/>
      <c r="Y2869" s="12"/>
      <c r="Z2869" s="12"/>
      <c r="AA2869" s="12"/>
    </row>
    <row r="2870" ht="26.25" customHeight="1">
      <c r="A2870" s="34" t="s">
        <v>5750</v>
      </c>
      <c r="B2870" s="35" t="s">
        <v>5751</v>
      </c>
      <c r="C2870" s="36">
        <v>3.0</v>
      </c>
      <c r="D2870" s="37">
        <v>275.0</v>
      </c>
      <c r="E2870" s="37">
        <v>9.0</v>
      </c>
      <c r="F2870" s="24" t="str">
        <f t="array" ref="F2870">"https://www.google.com/maps/search/?api=1&amp;query=" &amp; A2870 &amp; "," &amp; B2870</f>
        <v>https://www.google.com/maps/search/?api=1&amp;query=-30.89980423516860,-55.54631867399160</v>
      </c>
      <c r="G2870" s="25" t="str">
        <f t="array" ref="G2870">"https://earth.google.com/web/search/" &amp; A2870 &amp; "," &amp; B2870</f>
        <v>https://earth.google.com/web/search/-30.89980423516860,-55.54631867399160</v>
      </c>
      <c r="H2870" s="12"/>
      <c r="I2870" s="12"/>
      <c r="J2870" s="12"/>
      <c r="K2870" s="12"/>
      <c r="L2870" s="12"/>
      <c r="M2870" s="12"/>
      <c r="N2870" s="12"/>
      <c r="O2870" s="12"/>
      <c r="P2870" s="12"/>
      <c r="Q2870" s="12"/>
      <c r="R2870" s="12"/>
      <c r="S2870" s="12"/>
      <c r="T2870" s="12"/>
      <c r="U2870" s="12"/>
      <c r="V2870" s="12"/>
      <c r="W2870" s="12"/>
      <c r="X2870" s="12"/>
      <c r="Y2870" s="12"/>
      <c r="Z2870" s="12"/>
      <c r="AA2870" s="12"/>
    </row>
    <row r="2871" ht="26.25" customHeight="1">
      <c r="A2871" s="28" t="s">
        <v>5752</v>
      </c>
      <c r="B2871" s="29" t="s">
        <v>5753</v>
      </c>
      <c r="C2871" s="30">
        <v>3.0</v>
      </c>
      <c r="D2871" s="31">
        <v>275.0</v>
      </c>
      <c r="E2871" s="31">
        <v>10.0</v>
      </c>
      <c r="F2871" s="32" t="str">
        <f t="array" ref="F2871">"https://www.google.com/maps/search/?api=1&amp;query=" &amp; A2871 &amp; "," &amp; B2871</f>
        <v>https://www.google.com/maps/search/?api=1&amp;query=-30.89975522092340,-55.54641996524030</v>
      </c>
      <c r="G2871" s="33" t="str">
        <f t="array" ref="G2871">"https://earth.google.com/web/search/" &amp; A2871 &amp; "," &amp; B2871</f>
        <v>https://earth.google.com/web/search/-30.89975522092340,-55.54641996524030</v>
      </c>
      <c r="H2871" s="12"/>
      <c r="I2871" s="12"/>
      <c r="J2871" s="12"/>
      <c r="K2871" s="12"/>
      <c r="L2871" s="12"/>
      <c r="M2871" s="12"/>
      <c r="N2871" s="12"/>
      <c r="O2871" s="12"/>
      <c r="P2871" s="12"/>
      <c r="Q2871" s="12"/>
      <c r="R2871" s="12"/>
      <c r="S2871" s="12"/>
      <c r="T2871" s="12"/>
      <c r="U2871" s="12"/>
      <c r="V2871" s="12"/>
      <c r="W2871" s="12"/>
      <c r="X2871" s="12"/>
      <c r="Y2871" s="12"/>
      <c r="Z2871" s="12"/>
      <c r="AA2871" s="12"/>
    </row>
    <row r="2872" ht="26.25" customHeight="1">
      <c r="A2872" s="34" t="s">
        <v>5754</v>
      </c>
      <c r="B2872" s="35" t="s">
        <v>5755</v>
      </c>
      <c r="C2872" s="36">
        <v>3.0</v>
      </c>
      <c r="D2872" s="37">
        <v>275.0</v>
      </c>
      <c r="E2872" s="37">
        <v>11.0</v>
      </c>
      <c r="F2872" s="24" t="str">
        <f t="array" ref="F2872">"https://www.google.com/maps/search/?api=1&amp;query=" &amp; A2872 &amp; "," &amp; B2872</f>
        <v>https://www.google.com/maps/search/?api=1&amp;query=-30.89970832174500,-55.54651337073570</v>
      </c>
      <c r="G2872" s="25" t="str">
        <f t="array" ref="G2872">"https://earth.google.com/web/search/" &amp; A2872 &amp; "," &amp; B2872</f>
        <v>https://earth.google.com/web/search/-30.89970832174500,-55.54651337073570</v>
      </c>
      <c r="H2872" s="12"/>
      <c r="I2872" s="12"/>
      <c r="J2872" s="12"/>
      <c r="K2872" s="12"/>
      <c r="L2872" s="12"/>
      <c r="M2872" s="12"/>
      <c r="N2872" s="12"/>
      <c r="O2872" s="12"/>
      <c r="P2872" s="12"/>
      <c r="Q2872" s="12"/>
      <c r="R2872" s="12"/>
      <c r="S2872" s="12"/>
      <c r="T2872" s="12"/>
      <c r="U2872" s="12"/>
      <c r="V2872" s="12"/>
      <c r="W2872" s="12"/>
      <c r="X2872" s="12"/>
      <c r="Y2872" s="12"/>
      <c r="Z2872" s="12"/>
      <c r="AA2872" s="12"/>
    </row>
    <row r="2873" ht="26.25" customHeight="1">
      <c r="A2873" s="28" t="s">
        <v>5756</v>
      </c>
      <c r="B2873" s="29" t="s">
        <v>5757</v>
      </c>
      <c r="C2873" s="30">
        <v>3.0</v>
      </c>
      <c r="D2873" s="31">
        <v>275.0</v>
      </c>
      <c r="E2873" s="31">
        <v>12.0</v>
      </c>
      <c r="F2873" s="32" t="str">
        <f t="array" ref="F2873">"https://www.google.com/maps/search/?api=1&amp;query=" &amp; A2873 &amp; "," &amp; B2873</f>
        <v>https://www.google.com/maps/search/?api=1&amp;query=-30.89956182896880,-55.54677772699090</v>
      </c>
      <c r="G2873" s="33" t="str">
        <f t="array" ref="G2873">"https://earth.google.com/web/search/" &amp; A2873 &amp; "," &amp; B2873</f>
        <v>https://earth.google.com/web/search/-30.89956182896880,-55.54677772699090</v>
      </c>
      <c r="H2873" s="12"/>
      <c r="I2873" s="12"/>
      <c r="J2873" s="12"/>
      <c r="K2873" s="12"/>
      <c r="L2873" s="12"/>
      <c r="M2873" s="12"/>
      <c r="N2873" s="12"/>
      <c r="O2873" s="12"/>
      <c r="P2873" s="12"/>
      <c r="Q2873" s="12"/>
      <c r="R2873" s="12"/>
      <c r="S2873" s="12"/>
      <c r="T2873" s="12"/>
      <c r="U2873" s="12"/>
      <c r="V2873" s="12"/>
      <c r="W2873" s="12"/>
      <c r="X2873" s="12"/>
      <c r="Y2873" s="12"/>
      <c r="Z2873" s="12"/>
      <c r="AA2873" s="12"/>
    </row>
    <row r="2874" ht="26.25" customHeight="1">
      <c r="A2874" s="34" t="s">
        <v>5758</v>
      </c>
      <c r="B2874" s="35" t="s">
        <v>5759</v>
      </c>
      <c r="C2874" s="36">
        <v>3.0</v>
      </c>
      <c r="D2874" s="37">
        <v>275.0</v>
      </c>
      <c r="E2874" s="37">
        <v>13.0</v>
      </c>
      <c r="F2874" s="24" t="str">
        <f t="array" ref="F2874">"https://www.google.com/maps/search/?api=1&amp;query=" &amp; A2874 &amp; "," &amp; B2874</f>
        <v>https://www.google.com/maps/search/?api=1&amp;query=-30.89951477849300,-0.55546894498541</v>
      </c>
      <c r="G2874" s="25" t="str">
        <f t="array" ref="G2874">"https://earth.google.com/web/search/" &amp; A2874 &amp; "," &amp; B2874</f>
        <v>https://earth.google.com/web/search/-30.89951477849300,-0.55546894498541</v>
      </c>
      <c r="H2874" s="12"/>
      <c r="I2874" s="12"/>
      <c r="J2874" s="12"/>
      <c r="K2874" s="12"/>
      <c r="L2874" s="12"/>
      <c r="M2874" s="12"/>
      <c r="N2874" s="12"/>
      <c r="O2874" s="12"/>
      <c r="P2874" s="12"/>
      <c r="Q2874" s="12"/>
      <c r="R2874" s="12"/>
      <c r="S2874" s="12"/>
      <c r="T2874" s="12"/>
      <c r="U2874" s="12"/>
      <c r="V2874" s="12"/>
      <c r="W2874" s="12"/>
      <c r="X2874" s="12"/>
      <c r="Y2874" s="12"/>
      <c r="Z2874" s="12"/>
      <c r="AA2874" s="12"/>
    </row>
    <row r="2875" ht="26.25" customHeight="1">
      <c r="A2875" s="28" t="s">
        <v>5760</v>
      </c>
      <c r="B2875" s="29" t="s">
        <v>5761</v>
      </c>
      <c r="C2875" s="30">
        <v>3.0</v>
      </c>
      <c r="D2875" s="31">
        <v>275.0</v>
      </c>
      <c r="E2875" s="31">
        <v>14.0</v>
      </c>
      <c r="F2875" s="32" t="str">
        <f t="array" ref="F2875">"https://www.google.com/maps/search/?api=1&amp;query=" &amp; A2875 &amp; "," &amp; B2875</f>
        <v>https://www.google.com/maps/search/?api=1&amp;query=-30.89950876740150,-55.54709445005650</v>
      </c>
      <c r="G2875" s="33" t="str">
        <f t="array" ref="G2875">"https://earth.google.com/web/search/" &amp; A2875 &amp; "," &amp; B2875</f>
        <v>https://earth.google.com/web/search/-30.89950876740150,-55.54709445005650</v>
      </c>
      <c r="H2875" s="12"/>
      <c r="I2875" s="12"/>
      <c r="J2875" s="12"/>
      <c r="K2875" s="12"/>
      <c r="L2875" s="12"/>
      <c r="M2875" s="12"/>
      <c r="N2875" s="12"/>
      <c r="O2875" s="12"/>
      <c r="P2875" s="12"/>
      <c r="Q2875" s="12"/>
      <c r="R2875" s="12"/>
      <c r="S2875" s="12"/>
      <c r="T2875" s="12"/>
      <c r="U2875" s="12"/>
      <c r="V2875" s="12"/>
      <c r="W2875" s="12"/>
      <c r="X2875" s="12"/>
      <c r="Y2875" s="12"/>
      <c r="Z2875" s="12"/>
      <c r="AA2875" s="12"/>
    </row>
    <row r="2876" ht="26.25" customHeight="1">
      <c r="A2876" s="34" t="s">
        <v>5762</v>
      </c>
      <c r="B2876" s="35" t="s">
        <v>5763</v>
      </c>
      <c r="C2876" s="36">
        <v>3.0</v>
      </c>
      <c r="D2876" s="37">
        <v>275.0</v>
      </c>
      <c r="E2876" s="37">
        <v>15.0</v>
      </c>
      <c r="F2876" s="24" t="str">
        <f t="array" ref="F2876">"https://www.google.com/maps/search/?api=1&amp;query=" &amp; A2876 &amp; "," &amp; B2876</f>
        <v>https://www.google.com/maps/search/?api=1&amp;query=-30.89962364152340,-55.54715972190110</v>
      </c>
      <c r="G2876" s="25" t="str">
        <f t="array" ref="G2876">"https://earth.google.com/web/search/" &amp; A2876 &amp; "," &amp; B2876</f>
        <v>https://earth.google.com/web/search/-30.89962364152340,-55.54715972190110</v>
      </c>
      <c r="H2876" s="12"/>
      <c r="I2876" s="12"/>
      <c r="J2876" s="12"/>
      <c r="K2876" s="12"/>
      <c r="L2876" s="12"/>
      <c r="M2876" s="12"/>
      <c r="N2876" s="12"/>
      <c r="O2876" s="12"/>
      <c r="P2876" s="12"/>
      <c r="Q2876" s="12"/>
      <c r="R2876" s="12"/>
      <c r="S2876" s="12"/>
      <c r="T2876" s="12"/>
      <c r="U2876" s="12"/>
      <c r="V2876" s="12"/>
      <c r="W2876" s="12"/>
      <c r="X2876" s="12"/>
      <c r="Y2876" s="12"/>
      <c r="Z2876" s="12"/>
      <c r="AA2876" s="12"/>
    </row>
    <row r="2877" ht="26.25" customHeight="1">
      <c r="A2877" s="28" t="s">
        <v>5764</v>
      </c>
      <c r="B2877" s="29" t="s">
        <v>5765</v>
      </c>
      <c r="C2877" s="30">
        <v>3.0</v>
      </c>
      <c r="D2877" s="31">
        <v>275.0</v>
      </c>
      <c r="E2877" s="31">
        <v>16.0</v>
      </c>
      <c r="F2877" s="32" t="str">
        <f t="array" ref="F2877">"https://www.google.com/maps/search/?api=1&amp;query=" &amp; A2877 &amp; "," &amp; B2877</f>
        <v>https://www.google.com/maps/search/?api=1&amp;query=-30.89969082844640,-55.54721220340010</v>
      </c>
      <c r="G2877" s="33" t="str">
        <f t="array" ref="G2877">"https://earth.google.com/web/search/" &amp; A2877 &amp; "," &amp; B2877</f>
        <v>https://earth.google.com/web/search/-30.89969082844640,-55.54721220340010</v>
      </c>
      <c r="H2877" s="12"/>
      <c r="I2877" s="12"/>
      <c r="J2877" s="12"/>
      <c r="K2877" s="12"/>
      <c r="L2877" s="12"/>
      <c r="M2877" s="12"/>
      <c r="N2877" s="12"/>
      <c r="O2877" s="12"/>
      <c r="P2877" s="12"/>
      <c r="Q2877" s="12"/>
      <c r="R2877" s="12"/>
      <c r="S2877" s="12"/>
      <c r="T2877" s="12"/>
      <c r="U2877" s="12"/>
      <c r="V2877" s="12"/>
      <c r="W2877" s="12"/>
      <c r="X2877" s="12"/>
      <c r="Y2877" s="12"/>
      <c r="Z2877" s="12"/>
      <c r="AA2877" s="12"/>
    </row>
    <row r="2878" ht="26.25" customHeight="1">
      <c r="A2878" s="34" t="s">
        <v>5766</v>
      </c>
      <c r="B2878" s="35" t="s">
        <v>5767</v>
      </c>
      <c r="C2878" s="36">
        <v>3.0</v>
      </c>
      <c r="D2878" s="37">
        <v>275.0</v>
      </c>
      <c r="E2878" s="37">
        <v>17.0</v>
      </c>
      <c r="F2878" s="24" t="str">
        <f t="array" ref="F2878">"https://www.google.com/maps/search/?api=1&amp;query=" &amp; A2878 &amp; "," &amp; B2878</f>
        <v>https://www.google.com/maps/search/?api=1&amp;query=-30.89985169495620,-55.54732427240710</v>
      </c>
      <c r="G2878" s="25" t="str">
        <f t="array" ref="G2878">"https://earth.google.com/web/search/" &amp; A2878 &amp; "," &amp; B2878</f>
        <v>https://earth.google.com/web/search/-30.89985169495620,-55.54732427240710</v>
      </c>
      <c r="H2878" s="12"/>
      <c r="I2878" s="12"/>
      <c r="J2878" s="12"/>
      <c r="K2878" s="12"/>
      <c r="L2878" s="12"/>
      <c r="M2878" s="12"/>
      <c r="N2878" s="12"/>
      <c r="O2878" s="12"/>
      <c r="P2878" s="12"/>
      <c r="Q2878" s="12"/>
      <c r="R2878" s="12"/>
      <c r="S2878" s="12"/>
      <c r="T2878" s="12"/>
      <c r="U2878" s="12"/>
      <c r="V2878" s="12"/>
      <c r="W2878" s="12"/>
      <c r="X2878" s="12"/>
      <c r="Y2878" s="12"/>
      <c r="Z2878" s="12"/>
      <c r="AA2878" s="12"/>
    </row>
    <row r="2879" ht="26.25" customHeight="1">
      <c r="A2879" s="28" t="s">
        <v>5768</v>
      </c>
      <c r="B2879" s="29" t="s">
        <v>5769</v>
      </c>
      <c r="C2879" s="30">
        <v>3.0</v>
      </c>
      <c r="D2879" s="31">
        <v>275.0</v>
      </c>
      <c r="E2879" s="31">
        <v>18.0</v>
      </c>
      <c r="F2879" s="32" t="str">
        <f t="array" ref="F2879">"https://www.google.com/maps/search/?api=1&amp;query=" &amp; A2879 &amp; "," &amp; B2879</f>
        <v>https://www.google.com/maps/search/?api=1&amp;query=-30.89992751493240,-55.54736411490700</v>
      </c>
      <c r="G2879" s="33" t="str">
        <f t="array" ref="G2879">"https://earth.google.com/web/search/" &amp; A2879 &amp; "," &amp; B2879</f>
        <v>https://earth.google.com/web/search/-30.89992751493240,-55.54736411490700</v>
      </c>
      <c r="H2879" s="12"/>
      <c r="I2879" s="12"/>
      <c r="J2879" s="12"/>
      <c r="K2879" s="12"/>
      <c r="L2879" s="12"/>
      <c r="M2879" s="12"/>
      <c r="N2879" s="12"/>
      <c r="O2879" s="12"/>
      <c r="P2879" s="12"/>
      <c r="Q2879" s="12"/>
      <c r="R2879" s="12"/>
      <c r="S2879" s="12"/>
      <c r="T2879" s="12"/>
      <c r="U2879" s="12"/>
      <c r="V2879" s="12"/>
      <c r="W2879" s="12"/>
      <c r="X2879" s="12"/>
      <c r="Y2879" s="12"/>
      <c r="Z2879" s="12"/>
      <c r="AA2879" s="12"/>
    </row>
    <row r="2880" ht="26.25" customHeight="1">
      <c r="A2880" s="34" t="s">
        <v>5770</v>
      </c>
      <c r="B2880" s="35" t="s">
        <v>5771</v>
      </c>
      <c r="C2880" s="36">
        <v>3.0</v>
      </c>
      <c r="D2880" s="37">
        <v>275.0</v>
      </c>
      <c r="E2880" s="37">
        <v>19.0</v>
      </c>
      <c r="F2880" s="24" t="str">
        <f t="array" ref="F2880">"https://www.google.com/maps/search/?api=1&amp;query=" &amp; A2880 &amp; "," &amp; B2880</f>
        <v>https://www.google.com/maps/search/?api=1&amp;query=-30.89998965135910,-55.54742239439190</v>
      </c>
      <c r="G2880" s="25" t="str">
        <f t="array" ref="G2880">"https://earth.google.com/web/search/" &amp; A2880 &amp; "," &amp; B2880</f>
        <v>https://earth.google.com/web/search/-30.89998965135910,-55.54742239439190</v>
      </c>
      <c r="H2880" s="12"/>
      <c r="I2880" s="12"/>
      <c r="J2880" s="12"/>
      <c r="K2880" s="12"/>
      <c r="L2880" s="12"/>
      <c r="M2880" s="12"/>
      <c r="N2880" s="12"/>
      <c r="O2880" s="12"/>
      <c r="P2880" s="12"/>
      <c r="Q2880" s="12"/>
      <c r="R2880" s="12"/>
      <c r="S2880" s="12"/>
      <c r="T2880" s="12"/>
      <c r="U2880" s="12"/>
      <c r="V2880" s="12"/>
      <c r="W2880" s="12"/>
      <c r="X2880" s="12"/>
      <c r="Y2880" s="12"/>
      <c r="Z2880" s="12"/>
      <c r="AA2880" s="12"/>
    </row>
    <row r="2881" ht="26.25" customHeight="1">
      <c r="A2881" s="28" t="s">
        <v>5772</v>
      </c>
      <c r="B2881" s="29" t="s">
        <v>5773</v>
      </c>
      <c r="C2881" s="30">
        <v>3.0</v>
      </c>
      <c r="D2881" s="31">
        <v>275.0</v>
      </c>
      <c r="E2881" s="31">
        <v>20.0</v>
      </c>
      <c r="F2881" s="32" t="str">
        <f t="array" ref="F2881">"https://www.google.com/maps/search/?api=1&amp;query=" &amp; A2881 &amp; "," &amp; B2881</f>
        <v>https://www.google.com/maps/search/?api=1&amp;query=-30.90003808286560,-55.54745684155530</v>
      </c>
      <c r="G2881" s="33" t="str">
        <f t="array" ref="G2881">"https://earth.google.com/web/search/" &amp; A2881 &amp; "," &amp; B2881</f>
        <v>https://earth.google.com/web/search/-30.90003808286560,-55.54745684155530</v>
      </c>
      <c r="H2881" s="12"/>
      <c r="I2881" s="12"/>
      <c r="J2881" s="12"/>
      <c r="K2881" s="12"/>
      <c r="L2881" s="12"/>
      <c r="M2881" s="12"/>
      <c r="N2881" s="12"/>
      <c r="O2881" s="12"/>
      <c r="P2881" s="12"/>
      <c r="Q2881" s="12"/>
      <c r="R2881" s="12"/>
      <c r="S2881" s="12"/>
      <c r="T2881" s="12"/>
      <c r="U2881" s="12"/>
      <c r="V2881" s="12"/>
      <c r="W2881" s="12"/>
      <c r="X2881" s="12"/>
      <c r="Y2881" s="12"/>
      <c r="Z2881" s="12"/>
      <c r="AA2881" s="12"/>
    </row>
    <row r="2882" ht="26.25" customHeight="1">
      <c r="A2882" s="34" t="s">
        <v>5774</v>
      </c>
      <c r="B2882" s="35" t="s">
        <v>5775</v>
      </c>
      <c r="C2882" s="36">
        <v>3.0</v>
      </c>
      <c r="D2882" s="37">
        <v>275.0</v>
      </c>
      <c r="E2882" s="37">
        <v>21.0</v>
      </c>
      <c r="F2882" s="24" t="str">
        <f t="array" ref="F2882">"https://www.google.com/maps/search/?api=1&amp;query=" &amp; A2882 &amp; "," &amp; B2882</f>
        <v>https://www.google.com/maps/search/?api=1&amp;query=-30.90009034531840,-55.54749166609230</v>
      </c>
      <c r="G2882" s="25" t="str">
        <f t="array" ref="G2882">"https://earth.google.com/web/search/" &amp; A2882 &amp; "," &amp; B2882</f>
        <v>https://earth.google.com/web/search/-30.90009034531840,-55.54749166609230</v>
      </c>
      <c r="H2882" s="12"/>
      <c r="I2882" s="12"/>
      <c r="J2882" s="12"/>
      <c r="K2882" s="12"/>
      <c r="L2882" s="12"/>
      <c r="M2882" s="12"/>
      <c r="N2882" s="12"/>
      <c r="O2882" s="12"/>
      <c r="P2882" s="12"/>
      <c r="Q2882" s="12"/>
      <c r="R2882" s="12"/>
      <c r="S2882" s="12"/>
      <c r="T2882" s="12"/>
      <c r="U2882" s="12"/>
      <c r="V2882" s="12"/>
      <c r="W2882" s="12"/>
      <c r="X2882" s="12"/>
      <c r="Y2882" s="12"/>
      <c r="Z2882" s="12"/>
      <c r="AA2882" s="12"/>
    </row>
    <row r="2883" ht="26.25" customHeight="1">
      <c r="A2883" s="28" t="s">
        <v>5776</v>
      </c>
      <c r="B2883" s="29" t="s">
        <v>5777</v>
      </c>
      <c r="C2883" s="30">
        <v>3.0</v>
      </c>
      <c r="D2883" s="31">
        <v>276.0</v>
      </c>
      <c r="E2883" s="31">
        <v>1.0</v>
      </c>
      <c r="F2883" s="32" t="str">
        <f t="array" ref="F2883">"https://www.google.com/maps/search/?api=1&amp;query=" &amp; A2883 &amp; "," &amp; B2883</f>
        <v>https://www.google.com/maps/search/?api=1&amp;query=-30.90072348762860,-55.54646226601530</v>
      </c>
      <c r="G2883" s="33" t="str">
        <f t="array" ref="G2883">"https://earth.google.com/web/search/" &amp; A2883 &amp; "," &amp; B2883</f>
        <v>https://earth.google.com/web/search/-30.90072348762860,-55.54646226601530</v>
      </c>
      <c r="H2883" s="12"/>
      <c r="I2883" s="12"/>
      <c r="J2883" s="12"/>
      <c r="K2883" s="12"/>
      <c r="L2883" s="12"/>
      <c r="M2883" s="12"/>
      <c r="N2883" s="12"/>
      <c r="O2883" s="12"/>
      <c r="P2883" s="12"/>
      <c r="Q2883" s="12"/>
      <c r="R2883" s="12"/>
      <c r="S2883" s="12"/>
      <c r="T2883" s="12"/>
      <c r="U2883" s="12"/>
      <c r="V2883" s="12"/>
      <c r="W2883" s="12"/>
      <c r="X2883" s="12"/>
      <c r="Y2883" s="12"/>
      <c r="Z2883" s="12"/>
      <c r="AA2883" s="12"/>
    </row>
    <row r="2884" ht="26.25" customHeight="1">
      <c r="A2884" s="34" t="s">
        <v>5778</v>
      </c>
      <c r="B2884" s="35" t="s">
        <v>5779</v>
      </c>
      <c r="C2884" s="36">
        <v>3.0</v>
      </c>
      <c r="D2884" s="37">
        <v>276.0</v>
      </c>
      <c r="E2884" s="37">
        <v>2.0</v>
      </c>
      <c r="F2884" s="24" t="str">
        <f t="array" ref="F2884">"https://www.google.com/maps/search/?api=1&amp;query=" &amp; A2884 &amp; "," &amp; B2884</f>
        <v>https://www.google.com/maps/search/?api=1&amp;query=-30.90079928189800,-5.55462860963946</v>
      </c>
      <c r="G2884" s="25" t="str">
        <f t="array" ref="G2884">"https://earth.google.com/web/search/" &amp; A2884 &amp; "," &amp; B2884</f>
        <v>https://earth.google.com/web/search/-30.90079928189800,-5.55462860963946</v>
      </c>
      <c r="H2884" s="12"/>
      <c r="I2884" s="12"/>
      <c r="J2884" s="12"/>
      <c r="K2884" s="12"/>
      <c r="L2884" s="12"/>
      <c r="M2884" s="12"/>
      <c r="N2884" s="12"/>
      <c r="O2884" s="12"/>
      <c r="P2884" s="12"/>
      <c r="Q2884" s="12"/>
      <c r="R2884" s="12"/>
      <c r="S2884" s="12"/>
      <c r="T2884" s="12"/>
      <c r="U2884" s="12"/>
      <c r="V2884" s="12"/>
      <c r="W2884" s="12"/>
      <c r="X2884" s="12"/>
      <c r="Y2884" s="12"/>
      <c r="Z2884" s="12"/>
      <c r="AA2884" s="12"/>
    </row>
    <row r="2885" ht="26.25" customHeight="1">
      <c r="A2885" s="28" t="s">
        <v>5780</v>
      </c>
      <c r="B2885" s="29" t="s">
        <v>5781</v>
      </c>
      <c r="C2885" s="30">
        <v>3.0</v>
      </c>
      <c r="D2885" s="31">
        <v>276.0</v>
      </c>
      <c r="E2885" s="31">
        <v>3.0</v>
      </c>
      <c r="F2885" s="32" t="str">
        <f t="array" ref="F2885">"https://www.google.com/maps/search/?api=1&amp;query=" &amp; A2885 &amp; "," &amp; B2885</f>
        <v>https://www.google.com/maps/search/?api=1&amp;query=-30.90087900925850,-55.54614289304670</v>
      </c>
      <c r="G2885" s="33" t="str">
        <f t="array" ref="G2885">"https://earth.google.com/web/search/" &amp; A2885 &amp; "," &amp; B2885</f>
        <v>https://earth.google.com/web/search/-30.90087900925850,-55.54614289304670</v>
      </c>
      <c r="H2885" s="12"/>
      <c r="I2885" s="12"/>
      <c r="J2885" s="12"/>
      <c r="K2885" s="12"/>
      <c r="L2885" s="12"/>
      <c r="M2885" s="12"/>
      <c r="N2885" s="12"/>
      <c r="O2885" s="12"/>
      <c r="P2885" s="12"/>
      <c r="Q2885" s="12"/>
      <c r="R2885" s="12"/>
      <c r="S2885" s="12"/>
      <c r="T2885" s="12"/>
      <c r="U2885" s="12"/>
      <c r="V2885" s="12"/>
      <c r="W2885" s="12"/>
      <c r="X2885" s="12"/>
      <c r="Y2885" s="12"/>
      <c r="Z2885" s="12"/>
      <c r="AA2885" s="12"/>
    </row>
    <row r="2886" ht="26.25" customHeight="1">
      <c r="A2886" s="34" t="s">
        <v>5782</v>
      </c>
      <c r="B2886" s="35" t="s">
        <v>5783</v>
      </c>
      <c r="C2886" s="36">
        <v>3.0</v>
      </c>
      <c r="D2886" s="37">
        <v>276.0</v>
      </c>
      <c r="E2886" s="37">
        <v>4.0</v>
      </c>
      <c r="F2886" s="24" t="str">
        <f t="array" ref="F2886">"https://www.google.com/maps/search/?api=1&amp;query=" &amp; A2886 &amp; "," &amp; B2886</f>
        <v>https://www.google.com/maps/search/?api=1&amp;query=-30.90094508536190,-55.54605857252340</v>
      </c>
      <c r="G2886" s="25" t="str">
        <f t="array" ref="G2886">"https://earth.google.com/web/search/" &amp; A2886 &amp; "," &amp; B2886</f>
        <v>https://earth.google.com/web/search/-30.90094508536190,-55.54605857252340</v>
      </c>
      <c r="H2886" s="12"/>
      <c r="I2886" s="12"/>
      <c r="J2886" s="12"/>
      <c r="K2886" s="12"/>
      <c r="L2886" s="12"/>
      <c r="M2886" s="12"/>
      <c r="N2886" s="12"/>
      <c r="O2886" s="12"/>
      <c r="P2886" s="12"/>
      <c r="Q2886" s="12"/>
      <c r="R2886" s="12"/>
      <c r="S2886" s="12"/>
      <c r="T2886" s="12"/>
      <c r="U2886" s="12"/>
      <c r="V2886" s="12"/>
      <c r="W2886" s="12"/>
      <c r="X2886" s="12"/>
      <c r="Y2886" s="12"/>
      <c r="Z2886" s="12"/>
      <c r="AA2886" s="12"/>
    </row>
    <row r="2887" ht="26.25" customHeight="1">
      <c r="A2887" s="28" t="s">
        <v>5784</v>
      </c>
      <c r="B2887" s="29" t="s">
        <v>5785</v>
      </c>
      <c r="C2887" s="30">
        <v>3.0</v>
      </c>
      <c r="D2887" s="31">
        <v>276.0</v>
      </c>
      <c r="E2887" s="31">
        <v>5.0</v>
      </c>
      <c r="F2887" s="32" t="str">
        <f t="array" ref="F2887">"https://www.google.com/maps/search/?api=1&amp;query=" &amp; A2887 &amp; "," &amp; B2887</f>
        <v>https://www.google.com/maps/search/?api=1&amp;query=-30.90076519089690,-55.54559175774900</v>
      </c>
      <c r="G2887" s="33" t="str">
        <f t="array" ref="G2887">"https://earth.google.com/web/search/" &amp; A2887 &amp; "," &amp; B2887</f>
        <v>https://earth.google.com/web/search/-30.90076519089690,-55.54559175774900</v>
      </c>
      <c r="H2887" s="12"/>
      <c r="I2887" s="12"/>
      <c r="J2887" s="12"/>
      <c r="K2887" s="12"/>
      <c r="L2887" s="12"/>
      <c r="M2887" s="12"/>
      <c r="N2887" s="12"/>
      <c r="O2887" s="12"/>
      <c r="P2887" s="12"/>
      <c r="Q2887" s="12"/>
      <c r="R2887" s="12"/>
      <c r="S2887" s="12"/>
      <c r="T2887" s="12"/>
      <c r="U2887" s="12"/>
      <c r="V2887" s="12"/>
      <c r="W2887" s="12"/>
      <c r="X2887" s="12"/>
      <c r="Y2887" s="12"/>
      <c r="Z2887" s="12"/>
      <c r="AA2887" s="12"/>
    </row>
    <row r="2888" ht="26.25" customHeight="1">
      <c r="A2888" s="34" t="s">
        <v>5786</v>
      </c>
      <c r="B2888" s="35" t="s">
        <v>5787</v>
      </c>
      <c r="C2888" s="36">
        <v>3.0</v>
      </c>
      <c r="D2888" s="37">
        <v>276.0</v>
      </c>
      <c r="E2888" s="37">
        <v>6.0</v>
      </c>
      <c r="F2888" s="24" t="str">
        <f t="array" ref="F2888">"https://www.google.com/maps/search/?api=1&amp;query=" &amp; A2888 &amp; "," &amp; B2888</f>
        <v>https://www.google.com/maps/search/?api=1&amp;query=-30.90044705506160,-55.54535969041370</v>
      </c>
      <c r="G2888" s="25" t="str">
        <f t="array" ref="G2888">"https://earth.google.com/web/search/" &amp; A2888 &amp; "," &amp; B2888</f>
        <v>https://earth.google.com/web/search/-30.90044705506160,-55.54535969041370</v>
      </c>
      <c r="H2888" s="12"/>
      <c r="I2888" s="12"/>
      <c r="J2888" s="12"/>
      <c r="K2888" s="12"/>
      <c r="L2888" s="12"/>
      <c r="M2888" s="12"/>
      <c r="N2888" s="12"/>
      <c r="O2888" s="12"/>
      <c r="P2888" s="12"/>
      <c r="Q2888" s="12"/>
      <c r="R2888" s="12"/>
      <c r="S2888" s="12"/>
      <c r="T2888" s="12"/>
      <c r="U2888" s="12"/>
      <c r="V2888" s="12"/>
      <c r="W2888" s="12"/>
      <c r="X2888" s="12"/>
      <c r="Y2888" s="12"/>
      <c r="Z2888" s="12"/>
      <c r="AA2888" s="12"/>
    </row>
    <row r="2889" ht="26.25" customHeight="1">
      <c r="A2889" s="28" t="s">
        <v>5788</v>
      </c>
      <c r="B2889" s="29" t="s">
        <v>5789</v>
      </c>
      <c r="C2889" s="30">
        <v>3.0</v>
      </c>
      <c r="D2889" s="31">
        <v>276.0</v>
      </c>
      <c r="E2889" s="31">
        <v>7.0</v>
      </c>
      <c r="F2889" s="32" t="str">
        <f t="array" ref="F2889">"https://www.google.com/maps/search/?api=1&amp;query=" &amp; A2889 &amp; "," &amp; B2889</f>
        <v>https://www.google.com/maps/search/?api=1&amp;query=-3.09001990807319,-55.54560900874910</v>
      </c>
      <c r="G2889" s="33" t="str">
        <f t="array" ref="G2889">"https://earth.google.com/web/search/" &amp; A2889 &amp; "," &amp; B2889</f>
        <v>https://earth.google.com/web/search/-3.09001990807319,-55.54560900874910</v>
      </c>
      <c r="H2889" s="12"/>
      <c r="I2889" s="12"/>
      <c r="J2889" s="12"/>
      <c r="K2889" s="12"/>
      <c r="L2889" s="12"/>
      <c r="M2889" s="12"/>
      <c r="N2889" s="12"/>
      <c r="O2889" s="12"/>
      <c r="P2889" s="12"/>
      <c r="Q2889" s="12"/>
      <c r="R2889" s="12"/>
      <c r="S2889" s="12"/>
      <c r="T2889" s="12"/>
      <c r="U2889" s="12"/>
      <c r="V2889" s="12"/>
      <c r="W2889" s="12"/>
      <c r="X2889" s="12"/>
      <c r="Y2889" s="12"/>
      <c r="Z2889" s="12"/>
      <c r="AA2889" s="12"/>
    </row>
    <row r="2890" ht="26.25" customHeight="1">
      <c r="A2890" s="34" t="s">
        <v>5790</v>
      </c>
      <c r="B2890" s="35" t="s">
        <v>5791</v>
      </c>
      <c r="C2890" s="36">
        <v>3.0</v>
      </c>
      <c r="D2890" s="37">
        <v>276.0</v>
      </c>
      <c r="E2890" s="37">
        <v>9.0</v>
      </c>
      <c r="F2890" s="24" t="str">
        <f t="array" ref="F2890">"https://www.google.com/maps/search/?api=1&amp;query=" &amp; A2890 &amp; "," &amp; B2890</f>
        <v>https://www.google.com/maps/search/?api=1&amp;query=-30.90008912397000,-55.54581854601400</v>
      </c>
      <c r="G2890" s="25" t="str">
        <f t="array" ref="G2890">"https://earth.google.com/web/search/" &amp; A2890 &amp; "," &amp; B2890</f>
        <v>https://earth.google.com/web/search/-30.90008912397000,-55.54581854601400</v>
      </c>
      <c r="H2890" s="12"/>
      <c r="I2890" s="12"/>
      <c r="J2890" s="12"/>
      <c r="K2890" s="12"/>
      <c r="L2890" s="12"/>
      <c r="M2890" s="12"/>
      <c r="N2890" s="12"/>
      <c r="O2890" s="12"/>
      <c r="P2890" s="12"/>
      <c r="Q2890" s="12"/>
      <c r="R2890" s="12"/>
      <c r="S2890" s="12"/>
      <c r="T2890" s="12"/>
      <c r="U2890" s="12"/>
      <c r="V2890" s="12"/>
      <c r="W2890" s="12"/>
      <c r="X2890" s="12"/>
      <c r="Y2890" s="12"/>
      <c r="Z2890" s="12"/>
      <c r="AA2890" s="12"/>
    </row>
    <row r="2891" ht="26.25" customHeight="1">
      <c r="A2891" s="28" t="s">
        <v>5792</v>
      </c>
      <c r="B2891" s="29" t="s">
        <v>5793</v>
      </c>
      <c r="C2891" s="30">
        <v>3.0</v>
      </c>
      <c r="D2891" s="31">
        <v>276.0</v>
      </c>
      <c r="E2891" s="31">
        <v>8.0</v>
      </c>
      <c r="F2891" s="32" t="str">
        <f t="array" ref="F2891">"https://www.google.com/maps/search/?api=1&amp;query=" &amp; A2891 &amp; "," &amp; B2891</f>
        <v>https://www.google.com/maps/search/?api=1&amp;query=-3.09001448341395,-55.54569010197030</v>
      </c>
      <c r="G2891" s="33" t="str">
        <f t="array" ref="G2891">"https://earth.google.com/web/search/" &amp; A2891 &amp; "," &amp; B2891</f>
        <v>https://earth.google.com/web/search/-3.09001448341395,-55.54569010197030</v>
      </c>
      <c r="H2891" s="12"/>
      <c r="I2891" s="12"/>
      <c r="J2891" s="12"/>
      <c r="K2891" s="12"/>
      <c r="L2891" s="12"/>
      <c r="M2891" s="12"/>
      <c r="N2891" s="12"/>
      <c r="O2891" s="12"/>
      <c r="P2891" s="12"/>
      <c r="Q2891" s="12"/>
      <c r="R2891" s="12"/>
      <c r="S2891" s="12"/>
      <c r="T2891" s="12"/>
      <c r="U2891" s="12"/>
      <c r="V2891" s="12"/>
      <c r="W2891" s="12"/>
      <c r="X2891" s="12"/>
      <c r="Y2891" s="12"/>
      <c r="Z2891" s="12"/>
      <c r="AA2891" s="12"/>
    </row>
    <row r="2892" ht="26.25" customHeight="1">
      <c r="A2892" s="34" t="s">
        <v>5794</v>
      </c>
      <c r="B2892" s="35" t="s">
        <v>5795</v>
      </c>
      <c r="C2892" s="36">
        <v>3.0</v>
      </c>
      <c r="D2892" s="37">
        <v>276.0</v>
      </c>
      <c r="E2892" s="37">
        <v>10.0</v>
      </c>
      <c r="F2892" s="24" t="str">
        <f t="array" ref="F2892">"https://www.google.com/maps/search/?api=1&amp;query=" &amp; A2892 &amp; "," &amp; B2892</f>
        <v>https://www.google.com/maps/search/?api=1&amp;query=-30.90003796267030,-55.54589840622990</v>
      </c>
      <c r="G2892" s="25" t="str">
        <f t="array" ref="G2892">"https://earth.google.com/web/search/" &amp; A2892 &amp; "," &amp; B2892</f>
        <v>https://earth.google.com/web/search/-30.90003796267030,-55.54589840622990</v>
      </c>
      <c r="H2892" s="12"/>
      <c r="I2892" s="12"/>
      <c r="J2892" s="12"/>
      <c r="K2892" s="12"/>
      <c r="L2892" s="12"/>
      <c r="M2892" s="12"/>
      <c r="N2892" s="12"/>
      <c r="O2892" s="12"/>
      <c r="P2892" s="12"/>
      <c r="Q2892" s="12"/>
      <c r="R2892" s="12"/>
      <c r="S2892" s="12"/>
      <c r="T2892" s="12"/>
      <c r="U2892" s="12"/>
      <c r="V2892" s="12"/>
      <c r="W2892" s="12"/>
      <c r="X2892" s="12"/>
      <c r="Y2892" s="12"/>
      <c r="Z2892" s="12"/>
      <c r="AA2892" s="12"/>
    </row>
    <row r="2893" ht="26.25" customHeight="1">
      <c r="A2893" s="28" t="s">
        <v>5796</v>
      </c>
      <c r="B2893" s="29" t="s">
        <v>5797</v>
      </c>
      <c r="C2893" s="30">
        <v>3.0</v>
      </c>
      <c r="D2893" s="31">
        <v>276.0</v>
      </c>
      <c r="E2893" s="31">
        <v>11.0</v>
      </c>
      <c r="F2893" s="32" t="str">
        <f t="array" ref="F2893">"https://www.google.com/maps/search/?api=1&amp;query=" &amp; A2893 &amp; "," &amp; B2893</f>
        <v>https://www.google.com/maps/search/?api=1&amp;query=-30.90000742130880,-55.54595685848340</v>
      </c>
      <c r="G2893" s="33" t="str">
        <f t="array" ref="G2893">"https://earth.google.com/web/search/" &amp; A2893 &amp; "," &amp; B2893</f>
        <v>https://earth.google.com/web/search/-30.90000742130880,-55.54595685848340</v>
      </c>
      <c r="H2893" s="12"/>
      <c r="I2893" s="12"/>
      <c r="J2893" s="12"/>
      <c r="K2893" s="12"/>
      <c r="L2893" s="12"/>
      <c r="M2893" s="12"/>
      <c r="N2893" s="12"/>
      <c r="O2893" s="12"/>
      <c r="P2893" s="12"/>
      <c r="Q2893" s="12"/>
      <c r="R2893" s="12"/>
      <c r="S2893" s="12"/>
      <c r="T2893" s="12"/>
      <c r="U2893" s="12"/>
      <c r="V2893" s="12"/>
      <c r="W2893" s="12"/>
      <c r="X2893" s="12"/>
      <c r="Y2893" s="12"/>
      <c r="Z2893" s="12"/>
      <c r="AA2893" s="12"/>
    </row>
    <row r="2894" ht="26.25" customHeight="1">
      <c r="A2894" s="34" t="s">
        <v>5798</v>
      </c>
      <c r="B2894" s="35" t="s">
        <v>5799</v>
      </c>
      <c r="C2894" s="36">
        <v>3.0</v>
      </c>
      <c r="D2894" s="37">
        <v>276.0</v>
      </c>
      <c r="E2894" s="37">
        <v>12.0</v>
      </c>
      <c r="F2894" s="24" t="str">
        <f t="array" ref="F2894">"https://www.google.com/maps/search/?api=1&amp;query=" &amp; A2894 &amp; "," &amp; B2894</f>
        <v>https://www.google.com/maps/search/?api=1&amp;query=-30.89995440575960,-55.54604928454840</v>
      </c>
      <c r="G2894" s="25" t="str">
        <f t="array" ref="G2894">"https://earth.google.com/web/search/" &amp; A2894 &amp; "," &amp; B2894</f>
        <v>https://earth.google.com/web/search/-30.89995440575960,-55.54604928454840</v>
      </c>
      <c r="H2894" s="12"/>
      <c r="I2894" s="12"/>
      <c r="J2894" s="12"/>
      <c r="K2894" s="12"/>
      <c r="L2894" s="12"/>
      <c r="M2894" s="12"/>
      <c r="N2894" s="12"/>
      <c r="O2894" s="12"/>
      <c r="P2894" s="12"/>
      <c r="Q2894" s="12"/>
      <c r="R2894" s="12"/>
      <c r="S2894" s="12"/>
      <c r="T2894" s="12"/>
      <c r="U2894" s="12"/>
      <c r="V2894" s="12"/>
      <c r="W2894" s="12"/>
      <c r="X2894" s="12"/>
      <c r="Y2894" s="12"/>
      <c r="Z2894" s="12"/>
      <c r="AA2894" s="12"/>
    </row>
    <row r="2895" ht="26.25" customHeight="1">
      <c r="A2895" s="28" t="s">
        <v>5800</v>
      </c>
      <c r="B2895" s="29" t="s">
        <v>5801</v>
      </c>
      <c r="C2895" s="30">
        <v>3.0</v>
      </c>
      <c r="D2895" s="31">
        <v>276.0</v>
      </c>
      <c r="E2895" s="31">
        <v>13.0</v>
      </c>
      <c r="F2895" s="32" t="str">
        <f t="array" ref="F2895">"https://www.google.com/maps/search/?api=1&amp;query=" &amp; A2895 &amp; "," &amp; B2895</f>
        <v>https://www.google.com/maps/search/?api=1&amp;query=-30.90005837509140,-55.54621566492100</v>
      </c>
      <c r="G2895" s="33" t="str">
        <f t="array" ref="G2895">"https://earth.google.com/web/search/" &amp; A2895 &amp; "," &amp; B2895</f>
        <v>https://earth.google.com/web/search/-30.90005837509140,-55.54621566492100</v>
      </c>
      <c r="H2895" s="12"/>
      <c r="I2895" s="12"/>
      <c r="J2895" s="12"/>
      <c r="K2895" s="12"/>
      <c r="L2895" s="12"/>
      <c r="M2895" s="12"/>
      <c r="N2895" s="12"/>
      <c r="O2895" s="12"/>
      <c r="P2895" s="12"/>
      <c r="Q2895" s="12"/>
      <c r="R2895" s="12"/>
      <c r="S2895" s="12"/>
      <c r="T2895" s="12"/>
      <c r="U2895" s="12"/>
      <c r="V2895" s="12"/>
      <c r="W2895" s="12"/>
      <c r="X2895" s="12"/>
      <c r="Y2895" s="12"/>
      <c r="Z2895" s="12"/>
      <c r="AA2895" s="12"/>
    </row>
    <row r="2896" ht="26.25" customHeight="1">
      <c r="A2896" s="34" t="s">
        <v>5802</v>
      </c>
      <c r="B2896" s="35" t="s">
        <v>5803</v>
      </c>
      <c r="C2896" s="36">
        <v>3.0</v>
      </c>
      <c r="D2896" s="37">
        <v>276.0</v>
      </c>
      <c r="E2896" s="37">
        <v>14.0</v>
      </c>
      <c r="F2896" s="24" t="str">
        <f t="array" ref="F2896">"https://www.google.com/maps/search/?api=1&amp;query=" &amp; A2896 &amp; "," &amp; B2896</f>
        <v>https://www.google.com/maps/search/?api=1&amp;query=-30.90011022007040,-5.55462562786247</v>
      </c>
      <c r="G2896" s="25" t="str">
        <f t="array" ref="G2896">"https://earth.google.com/web/search/" &amp; A2896 &amp; "," &amp; B2896</f>
        <v>https://earth.google.com/web/search/-30.90011022007040,-5.55462562786247</v>
      </c>
      <c r="H2896" s="12"/>
      <c r="I2896" s="12"/>
      <c r="J2896" s="12"/>
      <c r="K2896" s="12"/>
      <c r="L2896" s="12"/>
      <c r="M2896" s="12"/>
      <c r="N2896" s="12"/>
      <c r="O2896" s="12"/>
      <c r="P2896" s="12"/>
      <c r="Q2896" s="12"/>
      <c r="R2896" s="12"/>
      <c r="S2896" s="12"/>
      <c r="T2896" s="12"/>
      <c r="U2896" s="12"/>
      <c r="V2896" s="12"/>
      <c r="W2896" s="12"/>
      <c r="X2896" s="12"/>
      <c r="Y2896" s="12"/>
      <c r="Z2896" s="12"/>
      <c r="AA2896" s="12"/>
    </row>
    <row r="2897" ht="26.25" customHeight="1">
      <c r="A2897" s="28" t="s">
        <v>5804</v>
      </c>
      <c r="B2897" s="29" t="s">
        <v>5805</v>
      </c>
      <c r="C2897" s="30">
        <v>3.0</v>
      </c>
      <c r="D2897" s="31">
        <v>276.0</v>
      </c>
      <c r="E2897" s="31">
        <v>15.0</v>
      </c>
      <c r="F2897" s="32" t="str">
        <f t="array" ref="F2897">"https://www.google.com/maps/search/?api=1&amp;query=" &amp; A2897 &amp; "," &amp; B2897</f>
        <v>https://www.google.com/maps/search/?api=1&amp;query=-30.90018742647790,-55.54632229000420</v>
      </c>
      <c r="G2897" s="33" t="str">
        <f t="array" ref="G2897">"https://earth.google.com/web/search/" &amp; A2897 &amp; "," &amp; B2897</f>
        <v>https://earth.google.com/web/search/-30.90018742647790,-55.54632229000420</v>
      </c>
      <c r="H2897" s="12"/>
      <c r="I2897" s="12"/>
      <c r="J2897" s="12"/>
      <c r="K2897" s="12"/>
      <c r="L2897" s="12"/>
      <c r="M2897" s="12"/>
      <c r="N2897" s="12"/>
      <c r="O2897" s="12"/>
      <c r="P2897" s="12"/>
      <c r="Q2897" s="12"/>
      <c r="R2897" s="12"/>
      <c r="S2897" s="12"/>
      <c r="T2897" s="12"/>
      <c r="U2897" s="12"/>
      <c r="V2897" s="12"/>
      <c r="W2897" s="12"/>
      <c r="X2897" s="12"/>
      <c r="Y2897" s="12"/>
      <c r="Z2897" s="12"/>
      <c r="AA2897" s="12"/>
    </row>
    <row r="2898" ht="26.25" customHeight="1">
      <c r="A2898" s="34" t="s">
        <v>5806</v>
      </c>
      <c r="B2898" s="35" t="s">
        <v>5807</v>
      </c>
      <c r="C2898" s="36">
        <v>3.0</v>
      </c>
      <c r="D2898" s="37">
        <v>276.0</v>
      </c>
      <c r="E2898" s="37">
        <v>16.0</v>
      </c>
      <c r="F2898" s="24" t="str">
        <f t="array" ref="F2898">"https://www.google.com/maps/search/?api=1&amp;query=" &amp; A2898 &amp; "," &amp; B2898</f>
        <v>https://www.google.com/maps/search/?api=1&amp;query=-30.90029676632890,-55.54640132711790</v>
      </c>
      <c r="G2898" s="25" t="str">
        <f t="array" ref="G2898">"https://earth.google.com/web/search/" &amp; A2898 &amp; "," &amp; B2898</f>
        <v>https://earth.google.com/web/search/-30.90029676632890,-55.54640132711790</v>
      </c>
      <c r="H2898" s="12"/>
      <c r="I2898" s="12"/>
      <c r="J2898" s="12"/>
      <c r="K2898" s="12"/>
      <c r="L2898" s="12"/>
      <c r="M2898" s="12"/>
      <c r="N2898" s="12"/>
      <c r="O2898" s="12"/>
      <c r="P2898" s="12"/>
      <c r="Q2898" s="12"/>
      <c r="R2898" s="12"/>
      <c r="S2898" s="12"/>
      <c r="T2898" s="12"/>
      <c r="U2898" s="12"/>
      <c r="V2898" s="12"/>
      <c r="W2898" s="12"/>
      <c r="X2898" s="12"/>
      <c r="Y2898" s="12"/>
      <c r="Z2898" s="12"/>
      <c r="AA2898" s="12"/>
    </row>
    <row r="2899" ht="26.25" customHeight="1">
      <c r="A2899" s="28" t="s">
        <v>5808</v>
      </c>
      <c r="B2899" s="29" t="s">
        <v>5809</v>
      </c>
      <c r="C2899" s="30">
        <v>3.0</v>
      </c>
      <c r="D2899" s="31">
        <v>276.0</v>
      </c>
      <c r="E2899" s="31">
        <v>17.0</v>
      </c>
      <c r="F2899" s="32" t="str">
        <f t="array" ref="F2899">"https://www.google.com/maps/search/?api=1&amp;query=" &amp; A2899 &amp; "," &amp; B2899</f>
        <v>https://www.google.com/maps/search/?api=1&amp;query=-30.90043983356120,-55.54647586693740</v>
      </c>
      <c r="G2899" s="33" t="str">
        <f t="array" ref="G2899">"https://earth.google.com/web/search/" &amp; A2899 &amp; "," &amp; B2899</f>
        <v>https://earth.google.com/web/search/-30.90043983356120,-55.54647586693740</v>
      </c>
      <c r="H2899" s="12"/>
      <c r="I2899" s="12"/>
      <c r="J2899" s="12"/>
      <c r="K2899" s="12"/>
      <c r="L2899" s="12"/>
      <c r="M2899" s="12"/>
      <c r="N2899" s="12"/>
      <c r="O2899" s="12"/>
      <c r="P2899" s="12"/>
      <c r="Q2899" s="12"/>
      <c r="R2899" s="12"/>
      <c r="S2899" s="12"/>
      <c r="T2899" s="12"/>
      <c r="U2899" s="12"/>
      <c r="V2899" s="12"/>
      <c r="W2899" s="12"/>
      <c r="X2899" s="12"/>
      <c r="Y2899" s="12"/>
      <c r="Z2899" s="12"/>
      <c r="AA2899" s="12"/>
    </row>
    <row r="2900" ht="26.25" customHeight="1">
      <c r="A2900" s="34" t="s">
        <v>5810</v>
      </c>
      <c r="B2900" s="35" t="s">
        <v>5811</v>
      </c>
      <c r="C2900" s="36">
        <v>3.0</v>
      </c>
      <c r="D2900" s="37">
        <v>249.0</v>
      </c>
      <c r="E2900" s="37">
        <v>1.0</v>
      </c>
      <c r="F2900" s="24" t="str">
        <f t="array" ref="F2900">"https://www.google.com/maps/search/?api=1&amp;query=" &amp; A2900 &amp; "," &amp; B2900</f>
        <v>https://www.google.com/maps/search/?api=1&amp;query=-30.89794130526930,-55.54967625020190</v>
      </c>
      <c r="G2900" s="25" t="str">
        <f t="array" ref="G2900">"https://earth.google.com/web/search/" &amp; A2900 &amp; "," &amp; B2900</f>
        <v>https://earth.google.com/web/search/-30.89794130526930,-55.54967625020190</v>
      </c>
      <c r="H2900" s="12"/>
      <c r="I2900" s="12"/>
      <c r="J2900" s="12"/>
      <c r="K2900" s="12"/>
      <c r="L2900" s="12"/>
      <c r="M2900" s="12"/>
      <c r="N2900" s="12"/>
      <c r="O2900" s="12"/>
      <c r="P2900" s="12"/>
      <c r="Q2900" s="12"/>
      <c r="R2900" s="12"/>
      <c r="S2900" s="12"/>
      <c r="T2900" s="12"/>
      <c r="U2900" s="12"/>
      <c r="V2900" s="12"/>
      <c r="W2900" s="12"/>
      <c r="X2900" s="12"/>
      <c r="Y2900" s="12"/>
      <c r="Z2900" s="12"/>
      <c r="AA2900" s="12"/>
    </row>
    <row r="2901" ht="26.25" customHeight="1">
      <c r="A2901" s="28" t="s">
        <v>5812</v>
      </c>
      <c r="B2901" s="29" t="s">
        <v>5813</v>
      </c>
      <c r="C2901" s="30">
        <v>3.0</v>
      </c>
      <c r="D2901" s="31">
        <v>249.0</v>
      </c>
      <c r="E2901" s="31">
        <v>2.0</v>
      </c>
      <c r="F2901" s="32" t="str">
        <f t="array" ref="F2901">"https://www.google.com/maps/search/?api=1&amp;query=" &amp; A2901 &amp; "," &amp; B2901</f>
        <v>https://www.google.com/maps/search/?api=1&amp;query=-30.89805106611440,-55.54945921177690</v>
      </c>
      <c r="G2901" s="33" t="str">
        <f t="array" ref="G2901">"https://earth.google.com/web/search/" &amp; A2901 &amp; "," &amp; B2901</f>
        <v>https://earth.google.com/web/search/-30.89805106611440,-55.54945921177690</v>
      </c>
      <c r="H2901" s="12"/>
      <c r="I2901" s="12"/>
      <c r="J2901" s="12"/>
      <c r="K2901" s="12"/>
      <c r="L2901" s="12"/>
      <c r="M2901" s="12"/>
      <c r="N2901" s="12"/>
      <c r="O2901" s="12"/>
      <c r="P2901" s="12"/>
      <c r="Q2901" s="12"/>
      <c r="R2901" s="12"/>
      <c r="S2901" s="12"/>
      <c r="T2901" s="12"/>
      <c r="U2901" s="12"/>
      <c r="V2901" s="12"/>
      <c r="W2901" s="12"/>
      <c r="X2901" s="12"/>
      <c r="Y2901" s="12"/>
      <c r="Z2901" s="12"/>
      <c r="AA2901" s="12"/>
    </row>
    <row r="2902" ht="26.25" customHeight="1">
      <c r="A2902" s="34" t="s">
        <v>5814</v>
      </c>
      <c r="B2902" s="35" t="s">
        <v>5815</v>
      </c>
      <c r="C2902" s="36">
        <v>3.0</v>
      </c>
      <c r="D2902" s="37">
        <v>249.0</v>
      </c>
      <c r="E2902" s="37">
        <v>3.0</v>
      </c>
      <c r="F2902" s="24" t="str">
        <f t="array" ref="F2902">"https://www.google.com/maps/search/?api=1&amp;query=" &amp; A2902 &amp; "," &amp; B2902</f>
        <v>https://www.google.com/maps/search/?api=1&amp;query=-30.89803883210690,-55.54865768661870</v>
      </c>
      <c r="G2902" s="25" t="str">
        <f t="array" ref="G2902">"https://earth.google.com/web/search/" &amp; A2902 &amp; "," &amp; B2902</f>
        <v>https://earth.google.com/web/search/-30.89803883210690,-55.54865768661870</v>
      </c>
      <c r="H2902" s="12"/>
      <c r="I2902" s="12"/>
      <c r="J2902" s="12"/>
      <c r="K2902" s="12"/>
      <c r="L2902" s="12"/>
      <c r="M2902" s="12"/>
      <c r="N2902" s="12"/>
      <c r="O2902" s="12"/>
      <c r="P2902" s="12"/>
      <c r="Q2902" s="12"/>
      <c r="R2902" s="12"/>
      <c r="S2902" s="12"/>
      <c r="T2902" s="12"/>
      <c r="U2902" s="12"/>
      <c r="V2902" s="12"/>
      <c r="W2902" s="12"/>
      <c r="X2902" s="12"/>
      <c r="Y2902" s="12"/>
      <c r="Z2902" s="12"/>
      <c r="AA2902" s="12"/>
    </row>
    <row r="2903" ht="26.25" customHeight="1">
      <c r="A2903" s="28" t="s">
        <v>5816</v>
      </c>
      <c r="B2903" s="29" t="s">
        <v>5817</v>
      </c>
      <c r="C2903" s="30">
        <v>3.0</v>
      </c>
      <c r="D2903" s="31">
        <v>249.0</v>
      </c>
      <c r="E2903" s="31">
        <v>4.0</v>
      </c>
      <c r="F2903" s="32" t="str">
        <f t="array" ref="F2903">"https://www.google.com/maps/search/?api=1&amp;query=" &amp; A2903 &amp; "," &amp; B2903</f>
        <v>https://www.google.com/maps/search/?api=1&amp;query=-30.89789179455810,-55.54853775149790</v>
      </c>
      <c r="G2903" s="33" t="str">
        <f t="array" ref="G2903">"https://earth.google.com/web/search/" &amp; A2903 &amp; "," &amp; B2903</f>
        <v>https://earth.google.com/web/search/-30.89789179455810,-55.54853775149790</v>
      </c>
      <c r="H2903" s="12"/>
      <c r="I2903" s="12"/>
      <c r="J2903" s="12"/>
      <c r="K2903" s="12"/>
      <c r="L2903" s="12"/>
      <c r="M2903" s="12"/>
      <c r="N2903" s="12"/>
      <c r="O2903" s="12"/>
      <c r="P2903" s="12"/>
      <c r="Q2903" s="12"/>
      <c r="R2903" s="12"/>
      <c r="S2903" s="12"/>
      <c r="T2903" s="12"/>
      <c r="U2903" s="12"/>
      <c r="V2903" s="12"/>
      <c r="W2903" s="12"/>
      <c r="X2903" s="12"/>
      <c r="Y2903" s="12"/>
      <c r="Z2903" s="12"/>
      <c r="AA2903" s="12"/>
    </row>
    <row r="2904" ht="26.25" customHeight="1">
      <c r="A2904" s="34" t="s">
        <v>5818</v>
      </c>
      <c r="B2904" s="35" t="s">
        <v>5819</v>
      </c>
      <c r="C2904" s="36">
        <v>3.0</v>
      </c>
      <c r="D2904" s="37">
        <v>249.0</v>
      </c>
      <c r="E2904" s="37">
        <v>5.0</v>
      </c>
      <c r="F2904" s="24" t="str">
        <f t="array" ref="F2904">"https://www.google.com/maps/search/?api=1&amp;query=" &amp; A2904 &amp; "," &amp; B2904</f>
        <v>https://www.google.com/maps/search/?api=1&amp;query=-3.08977303405111,-5.55484298125264</v>
      </c>
      <c r="G2904" s="25" t="str">
        <f t="array" ref="G2904">"https://earth.google.com/web/search/" &amp; A2904 &amp; "," &amp; B2904</f>
        <v>https://earth.google.com/web/search/-3.08977303405111,-5.55484298125264</v>
      </c>
      <c r="H2904" s="12"/>
      <c r="I2904" s="12"/>
      <c r="J2904" s="12"/>
      <c r="K2904" s="12"/>
      <c r="L2904" s="12"/>
      <c r="M2904" s="12"/>
      <c r="N2904" s="12"/>
      <c r="O2904" s="12"/>
      <c r="P2904" s="12"/>
      <c r="Q2904" s="12"/>
      <c r="R2904" s="12"/>
      <c r="S2904" s="12"/>
      <c r="T2904" s="12"/>
      <c r="U2904" s="12"/>
      <c r="V2904" s="12"/>
      <c r="W2904" s="12"/>
      <c r="X2904" s="12"/>
      <c r="Y2904" s="12"/>
      <c r="Z2904" s="12"/>
      <c r="AA2904" s="12"/>
    </row>
    <row r="2905" ht="26.25" customHeight="1">
      <c r="A2905" s="28" t="s">
        <v>5820</v>
      </c>
      <c r="B2905" s="29" t="s">
        <v>5821</v>
      </c>
      <c r="C2905" s="30">
        <v>3.0</v>
      </c>
      <c r="D2905" s="31">
        <v>249.0</v>
      </c>
      <c r="E2905" s="31">
        <v>6.0</v>
      </c>
      <c r="F2905" s="32" t="str">
        <f t="array" ref="F2905">"https://www.google.com/maps/search/?api=1&amp;query=" &amp; A2905 &amp; "," &amp; B2905</f>
        <v>https://www.google.com/maps/search/?api=1&amp;query=-30.89759741308620,-55.54844989436030</v>
      </c>
      <c r="G2905" s="33" t="str">
        <f t="array" ref="G2905">"https://earth.google.com/web/search/" &amp; A2905 &amp; "," &amp; B2905</f>
        <v>https://earth.google.com/web/search/-30.89759741308620,-55.54844989436030</v>
      </c>
      <c r="H2905" s="12"/>
      <c r="I2905" s="12"/>
      <c r="J2905" s="12"/>
      <c r="K2905" s="12"/>
      <c r="L2905" s="12"/>
      <c r="M2905" s="12"/>
      <c r="N2905" s="12"/>
      <c r="O2905" s="12"/>
      <c r="P2905" s="12"/>
      <c r="Q2905" s="12"/>
      <c r="R2905" s="12"/>
      <c r="S2905" s="12"/>
      <c r="T2905" s="12"/>
      <c r="U2905" s="12"/>
      <c r="V2905" s="12"/>
      <c r="W2905" s="12"/>
      <c r="X2905" s="12"/>
      <c r="Y2905" s="12"/>
      <c r="Z2905" s="12"/>
      <c r="AA2905" s="12"/>
    </row>
    <row r="2906" ht="26.25" customHeight="1">
      <c r="A2906" s="34" t="s">
        <v>5822</v>
      </c>
      <c r="B2906" s="35" t="s">
        <v>5823</v>
      </c>
      <c r="C2906" s="36">
        <v>3.0</v>
      </c>
      <c r="D2906" s="37">
        <v>249.0</v>
      </c>
      <c r="E2906" s="37">
        <v>7.0</v>
      </c>
      <c r="F2906" s="24" t="str">
        <f t="array" ref="F2906">"https://www.google.com/maps/search/?api=1&amp;query=" &amp; A2906 &amp; "," &amp; B2906</f>
        <v>https://www.google.com/maps/search/?api=1&amp;query=-30.89749719388890,-55.54864218582550</v>
      </c>
      <c r="G2906" s="25" t="str">
        <f t="array" ref="G2906">"https://earth.google.com/web/search/" &amp; A2906 &amp; "," &amp; B2906</f>
        <v>https://earth.google.com/web/search/-30.89749719388890,-55.54864218582550</v>
      </c>
      <c r="H2906" s="12"/>
      <c r="I2906" s="12"/>
      <c r="J2906" s="12"/>
      <c r="K2906" s="12"/>
      <c r="L2906" s="12"/>
      <c r="M2906" s="12"/>
      <c r="N2906" s="12"/>
      <c r="O2906" s="12"/>
      <c r="P2906" s="12"/>
      <c r="Q2906" s="12"/>
      <c r="R2906" s="12"/>
      <c r="S2906" s="12"/>
      <c r="T2906" s="12"/>
      <c r="U2906" s="12"/>
      <c r="V2906" s="12"/>
      <c r="W2906" s="12"/>
      <c r="X2906" s="12"/>
      <c r="Y2906" s="12"/>
      <c r="Z2906" s="12"/>
      <c r="AA2906" s="12"/>
    </row>
    <row r="2907" ht="26.25" customHeight="1">
      <c r="A2907" s="28" t="s">
        <v>5824</v>
      </c>
      <c r="B2907" s="29" t="s">
        <v>5825</v>
      </c>
      <c r="C2907" s="30">
        <v>3.0</v>
      </c>
      <c r="D2907" s="31">
        <v>277.0</v>
      </c>
      <c r="E2907" s="31">
        <v>5.0</v>
      </c>
      <c r="F2907" s="32" t="str">
        <f t="array" ref="F2907">"https://www.google.com/maps/search/?api=1&amp;query=" &amp; A2907 &amp; "," &amp; B2907</f>
        <v>https://www.google.com/maps/search/?api=1&amp;query=-30.90077602140050,-55.54448610968820</v>
      </c>
      <c r="G2907" s="33" t="str">
        <f t="array" ref="G2907">"https://earth.google.com/web/search/" &amp; A2907 &amp; "," &amp; B2907</f>
        <v>https://earth.google.com/web/search/-30.90077602140050,-55.54448610968820</v>
      </c>
      <c r="H2907" s="12"/>
      <c r="I2907" s="12"/>
      <c r="J2907" s="12"/>
      <c r="K2907" s="12"/>
      <c r="L2907" s="12"/>
      <c r="M2907" s="12"/>
      <c r="N2907" s="12"/>
      <c r="O2907" s="12"/>
      <c r="P2907" s="12"/>
      <c r="Q2907" s="12"/>
      <c r="R2907" s="12"/>
      <c r="S2907" s="12"/>
      <c r="T2907" s="12"/>
      <c r="U2907" s="12"/>
      <c r="V2907" s="12"/>
      <c r="W2907" s="12"/>
      <c r="X2907" s="12"/>
      <c r="Y2907" s="12"/>
      <c r="Z2907" s="12"/>
      <c r="AA2907" s="12"/>
    </row>
    <row r="2908" ht="26.25" customHeight="1">
      <c r="A2908" s="34" t="s">
        <v>5826</v>
      </c>
      <c r="B2908" s="35" t="s">
        <v>5827</v>
      </c>
      <c r="C2908" s="36">
        <v>3.0</v>
      </c>
      <c r="D2908" s="37">
        <v>277.0</v>
      </c>
      <c r="E2908" s="37">
        <v>1.0</v>
      </c>
      <c r="F2908" s="24" t="str">
        <f t="array" ref="F2908">"https://www.google.com/maps/search/?api=1&amp;query=" &amp; A2908 &amp; "," &amp; B2908</f>
        <v>https://www.google.com/maps/search/?api=1&amp;query=-30.90091992316940,-55.54556637763210</v>
      </c>
      <c r="G2908" s="25" t="str">
        <f t="array" ref="G2908">"https://earth.google.com/web/search/" &amp; A2908 &amp; "," &amp; B2908</f>
        <v>https://earth.google.com/web/search/-30.90091992316940,-55.54556637763210</v>
      </c>
      <c r="H2908" s="12"/>
      <c r="I2908" s="12"/>
      <c r="J2908" s="12"/>
      <c r="K2908" s="12"/>
      <c r="L2908" s="12"/>
      <c r="M2908" s="12"/>
      <c r="N2908" s="12"/>
      <c r="O2908" s="12"/>
      <c r="P2908" s="12"/>
      <c r="Q2908" s="12"/>
      <c r="R2908" s="12"/>
      <c r="S2908" s="12"/>
      <c r="T2908" s="12"/>
      <c r="U2908" s="12"/>
      <c r="V2908" s="12"/>
      <c r="W2908" s="12"/>
      <c r="X2908" s="12"/>
      <c r="Y2908" s="12"/>
      <c r="Z2908" s="12"/>
      <c r="AA2908" s="12"/>
    </row>
    <row r="2909" ht="26.25" customHeight="1">
      <c r="A2909" s="28" t="s">
        <v>5828</v>
      </c>
      <c r="B2909" s="29" t="s">
        <v>5829</v>
      </c>
      <c r="C2909" s="30">
        <v>3.0</v>
      </c>
      <c r="D2909" s="31">
        <v>277.0</v>
      </c>
      <c r="E2909" s="31">
        <v>2.0</v>
      </c>
      <c r="F2909" s="32" t="str">
        <f t="array" ref="F2909">"https://www.google.com/maps/search/?api=1&amp;query=" &amp; A2909 &amp; "," &amp; B2909</f>
        <v>https://www.google.com/maps/search/?api=1&amp;query=-30.90078284666970,-5.55454847961787</v>
      </c>
      <c r="G2909" s="33" t="str">
        <f t="array" ref="G2909">"https://earth.google.com/web/search/" &amp; A2909 &amp; "," &amp; B2909</f>
        <v>https://earth.google.com/web/search/-30.90078284666970,-5.55454847961787</v>
      </c>
      <c r="H2909" s="12"/>
      <c r="I2909" s="12"/>
      <c r="J2909" s="12"/>
      <c r="K2909" s="12"/>
      <c r="L2909" s="12"/>
      <c r="M2909" s="12"/>
      <c r="N2909" s="12"/>
      <c r="O2909" s="12"/>
      <c r="P2909" s="12"/>
      <c r="Q2909" s="12"/>
      <c r="R2909" s="12"/>
      <c r="S2909" s="12"/>
      <c r="T2909" s="12"/>
      <c r="U2909" s="12"/>
      <c r="V2909" s="12"/>
      <c r="W2909" s="12"/>
      <c r="X2909" s="12"/>
      <c r="Y2909" s="12"/>
      <c r="Z2909" s="12"/>
      <c r="AA2909" s="12"/>
    </row>
    <row r="2910" ht="26.25" customHeight="1">
      <c r="A2910" s="34" t="s">
        <v>5830</v>
      </c>
      <c r="B2910" s="35" t="s">
        <v>5831</v>
      </c>
      <c r="C2910" s="36">
        <v>3.0</v>
      </c>
      <c r="D2910" s="37">
        <v>277.0</v>
      </c>
      <c r="E2910" s="37">
        <v>3.0</v>
      </c>
      <c r="F2910" s="24" t="str">
        <f t="array" ref="F2910">"https://www.google.com/maps/search/?api=1&amp;query=" &amp; A2910 &amp; "," &amp; B2910</f>
        <v>https://www.google.com/maps/search/?api=1&amp;query=-30.90066887075530,-55.54541497517930</v>
      </c>
      <c r="G2910" s="25" t="str">
        <f t="array" ref="G2910">"https://earth.google.com/web/search/" &amp; A2910 &amp; "," &amp; B2910</f>
        <v>https://earth.google.com/web/search/-30.90066887075530,-55.54541497517930</v>
      </c>
      <c r="H2910" s="12"/>
      <c r="I2910" s="12"/>
      <c r="J2910" s="12"/>
      <c r="K2910" s="12"/>
      <c r="L2910" s="12"/>
      <c r="M2910" s="12"/>
      <c r="N2910" s="12"/>
      <c r="O2910" s="12"/>
      <c r="P2910" s="12"/>
      <c r="Q2910" s="12"/>
      <c r="R2910" s="12"/>
      <c r="S2910" s="12"/>
      <c r="T2910" s="12"/>
      <c r="U2910" s="12"/>
      <c r="V2910" s="12"/>
      <c r="W2910" s="12"/>
      <c r="X2910" s="12"/>
      <c r="Y2910" s="12"/>
      <c r="Z2910" s="12"/>
      <c r="AA2910" s="12"/>
    </row>
    <row r="2911" ht="26.25" customHeight="1">
      <c r="A2911" s="28" t="s">
        <v>5832</v>
      </c>
      <c r="B2911" s="29" t="s">
        <v>5833</v>
      </c>
      <c r="C2911" s="30">
        <v>3.0</v>
      </c>
      <c r="D2911" s="31">
        <v>277.0</v>
      </c>
      <c r="E2911" s="31">
        <v>4.0</v>
      </c>
      <c r="F2911" s="32" t="str">
        <f t="array" ref="F2911">"https://www.google.com/maps/search/?api=1&amp;query=" &amp; A2911 &amp; "," &amp; B2911</f>
        <v>https://www.google.com/maps/search/?api=1&amp;query=-30.90057090604810,-55.54534097304510</v>
      </c>
      <c r="G2911" s="33" t="str">
        <f t="array" ref="G2911">"https://earth.google.com/web/search/" &amp; A2911 &amp; "," &amp; B2911</f>
        <v>https://earth.google.com/web/search/-30.90057090604810,-55.54534097304510</v>
      </c>
      <c r="H2911" s="12"/>
      <c r="I2911" s="12"/>
      <c r="J2911" s="12"/>
      <c r="K2911" s="12"/>
      <c r="L2911" s="12"/>
      <c r="M2911" s="12"/>
      <c r="N2911" s="12"/>
      <c r="O2911" s="12"/>
      <c r="P2911" s="12"/>
      <c r="Q2911" s="12"/>
      <c r="R2911" s="12"/>
      <c r="S2911" s="12"/>
      <c r="T2911" s="12"/>
      <c r="U2911" s="12"/>
      <c r="V2911" s="12"/>
      <c r="W2911" s="12"/>
      <c r="X2911" s="12"/>
      <c r="Y2911" s="12"/>
      <c r="Z2911" s="12"/>
      <c r="AA2911" s="12"/>
    </row>
    <row r="2912" ht="26.25" customHeight="1">
      <c r="A2912" s="34" t="s">
        <v>5834</v>
      </c>
      <c r="B2912" s="35" t="s">
        <v>5835</v>
      </c>
      <c r="C2912" s="36">
        <v>3.0</v>
      </c>
      <c r="D2912" s="37">
        <v>277.0</v>
      </c>
      <c r="E2912" s="37">
        <v>6.0</v>
      </c>
      <c r="F2912" s="24" t="str">
        <f t="array" ref="F2912">"https://www.google.com/maps/search/?api=1&amp;query=" &amp; A2912 &amp; "," &amp; B2912</f>
        <v>https://www.google.com/maps/search/?api=1&amp;query=-30.90125740153380,-5.55446943920291</v>
      </c>
      <c r="G2912" s="25" t="str">
        <f t="array" ref="G2912">"https://earth.google.com/web/search/" &amp; A2912 &amp; "," &amp; B2912</f>
        <v>https://earth.google.com/web/search/-30.90125740153380,-5.55446943920291</v>
      </c>
      <c r="H2912" s="12"/>
      <c r="I2912" s="12"/>
      <c r="J2912" s="12"/>
      <c r="K2912" s="12"/>
      <c r="L2912" s="12"/>
      <c r="M2912" s="12"/>
      <c r="N2912" s="12"/>
      <c r="O2912" s="12"/>
      <c r="P2912" s="12"/>
      <c r="Q2912" s="12"/>
      <c r="R2912" s="12"/>
      <c r="S2912" s="12"/>
      <c r="T2912" s="12"/>
      <c r="U2912" s="12"/>
      <c r="V2912" s="12"/>
      <c r="W2912" s="12"/>
      <c r="X2912" s="12"/>
      <c r="Y2912" s="12"/>
      <c r="Z2912" s="12"/>
      <c r="AA2912" s="12"/>
    </row>
    <row r="2913" ht="26.25" customHeight="1">
      <c r="A2913" s="28" t="s">
        <v>5836</v>
      </c>
      <c r="B2913" s="29" t="s">
        <v>5837</v>
      </c>
      <c r="C2913" s="30">
        <v>3.0</v>
      </c>
      <c r="D2913" s="31">
        <v>277.0</v>
      </c>
      <c r="E2913" s="31">
        <v>7.0</v>
      </c>
      <c r="F2913" s="32" t="str">
        <f t="array" ref="F2913">"https://www.google.com/maps/search/?api=1&amp;query=" &amp; A2913 &amp; "," &amp; B2913</f>
        <v>https://www.google.com/maps/search/?api=1&amp;query=-30.90121639259590,-55.54544794373940</v>
      </c>
      <c r="G2913" s="33" t="str">
        <f t="array" ref="G2913">"https://earth.google.com/web/search/" &amp; A2913 &amp; "," &amp; B2913</f>
        <v>https://earth.google.com/web/search/-30.90121639259590,-55.54544794373940</v>
      </c>
      <c r="H2913" s="12"/>
      <c r="I2913" s="12"/>
      <c r="J2913" s="12"/>
      <c r="K2913" s="12"/>
      <c r="L2913" s="12"/>
      <c r="M2913" s="12"/>
      <c r="N2913" s="12"/>
      <c r="O2913" s="12"/>
      <c r="P2913" s="12"/>
      <c r="Q2913" s="12"/>
      <c r="R2913" s="12"/>
      <c r="S2913" s="12"/>
      <c r="T2913" s="12"/>
      <c r="U2913" s="12"/>
      <c r="V2913" s="12"/>
      <c r="W2913" s="12"/>
      <c r="X2913" s="12"/>
      <c r="Y2913" s="12"/>
      <c r="Z2913" s="12"/>
      <c r="AA2913" s="12"/>
    </row>
    <row r="2914" ht="26.25" customHeight="1">
      <c r="A2914" s="34" t="s">
        <v>5838</v>
      </c>
      <c r="B2914" s="35" t="s">
        <v>5839</v>
      </c>
      <c r="C2914" s="36">
        <v>3.0</v>
      </c>
      <c r="D2914" s="37">
        <v>277.0</v>
      </c>
      <c r="E2914" s="37">
        <v>8.0</v>
      </c>
      <c r="F2914" s="24" t="str">
        <f t="array" ref="F2914">"https://www.google.com/maps/search/?api=1&amp;query=" &amp; A2914 &amp; "," &amp; B2914</f>
        <v>https://www.google.com/maps/search/?api=1&amp;query=-30.90115902662340,-55.54558590540540</v>
      </c>
      <c r="G2914" s="25" t="str">
        <f t="array" ref="G2914">"https://earth.google.com/web/search/" &amp; A2914 &amp; "," &amp; B2914</f>
        <v>https://earth.google.com/web/search/-30.90115902662340,-55.54558590540540</v>
      </c>
      <c r="H2914" s="12"/>
      <c r="I2914" s="12"/>
      <c r="J2914" s="12"/>
      <c r="K2914" s="12"/>
      <c r="L2914" s="12"/>
      <c r="M2914" s="12"/>
      <c r="N2914" s="12"/>
      <c r="O2914" s="12"/>
      <c r="P2914" s="12"/>
      <c r="Q2914" s="12"/>
      <c r="R2914" s="12"/>
      <c r="S2914" s="12"/>
      <c r="T2914" s="12"/>
      <c r="U2914" s="12"/>
      <c r="V2914" s="12"/>
      <c r="W2914" s="12"/>
      <c r="X2914" s="12"/>
      <c r="Y2914" s="12"/>
      <c r="Z2914" s="12"/>
      <c r="AA2914" s="12"/>
    </row>
    <row r="2915" ht="26.25" customHeight="1">
      <c r="A2915" s="28" t="s">
        <v>5840</v>
      </c>
      <c r="B2915" s="29" t="s">
        <v>5841</v>
      </c>
      <c r="C2915" s="30">
        <v>3.0</v>
      </c>
      <c r="D2915" s="31">
        <v>295.0</v>
      </c>
      <c r="E2915" s="31">
        <v>1.0</v>
      </c>
      <c r="F2915" s="32" t="str">
        <f t="array" ref="F2915">"https://www.google.com/maps/search/?api=1&amp;query=" &amp; A2915 &amp; "," &amp; B2915</f>
        <v>https://www.google.com/maps/search/?api=1&amp;query=-30.90139605358540,-55.54715634890870</v>
      </c>
      <c r="G2915" s="33" t="str">
        <f t="array" ref="G2915">"https://earth.google.com/web/search/" &amp; A2915 &amp; "," &amp; B2915</f>
        <v>https://earth.google.com/web/search/-30.90139605358540,-55.54715634890870</v>
      </c>
      <c r="H2915" s="12"/>
      <c r="I2915" s="12"/>
      <c r="J2915" s="12"/>
      <c r="K2915" s="12"/>
      <c r="L2915" s="12"/>
      <c r="M2915" s="12"/>
      <c r="N2915" s="12"/>
      <c r="O2915" s="12"/>
      <c r="P2915" s="12"/>
      <c r="Q2915" s="12"/>
      <c r="R2915" s="12"/>
      <c r="S2915" s="12"/>
      <c r="T2915" s="12"/>
      <c r="U2915" s="12"/>
      <c r="V2915" s="12"/>
      <c r="W2915" s="12"/>
      <c r="X2915" s="12"/>
      <c r="Y2915" s="12"/>
      <c r="Z2915" s="12"/>
      <c r="AA2915" s="12"/>
    </row>
    <row r="2916" ht="26.25" customHeight="1">
      <c r="A2916" s="34" t="s">
        <v>5842</v>
      </c>
      <c r="B2916" s="35" t="s">
        <v>5843</v>
      </c>
      <c r="C2916" s="36">
        <v>3.0</v>
      </c>
      <c r="D2916" s="37">
        <v>295.0</v>
      </c>
      <c r="E2916" s="37">
        <v>2.0</v>
      </c>
      <c r="F2916" s="24" t="str">
        <f t="array" ref="F2916">"https://www.google.com/maps/search/?api=1&amp;query=" &amp; A2916 &amp; "," &amp; B2916</f>
        <v>https://www.google.com/maps/search/?api=1&amp;query=-30.90158944646880,-55.54684604126470</v>
      </c>
      <c r="G2916" s="25" t="str">
        <f t="array" ref="G2916">"https://earth.google.com/web/search/" &amp; A2916 &amp; "," &amp; B2916</f>
        <v>https://earth.google.com/web/search/-30.90158944646880,-55.54684604126470</v>
      </c>
      <c r="H2916" s="12"/>
      <c r="I2916" s="12"/>
      <c r="J2916" s="12"/>
      <c r="K2916" s="12"/>
      <c r="L2916" s="12"/>
      <c r="M2916" s="12"/>
      <c r="N2916" s="12"/>
      <c r="O2916" s="12"/>
      <c r="P2916" s="12"/>
      <c r="Q2916" s="12"/>
      <c r="R2916" s="12"/>
      <c r="S2916" s="12"/>
      <c r="T2916" s="12"/>
      <c r="U2916" s="12"/>
      <c r="V2916" s="12"/>
      <c r="W2916" s="12"/>
      <c r="X2916" s="12"/>
      <c r="Y2916" s="12"/>
      <c r="Z2916" s="12"/>
      <c r="AA2916" s="12"/>
    </row>
    <row r="2917" ht="26.25" customHeight="1">
      <c r="A2917" s="28" t="s">
        <v>5844</v>
      </c>
      <c r="B2917" s="29" t="s">
        <v>5845</v>
      </c>
      <c r="C2917" s="30">
        <v>3.0</v>
      </c>
      <c r="D2917" s="31">
        <v>295.0</v>
      </c>
      <c r="E2917" s="31">
        <v>3.0</v>
      </c>
      <c r="F2917" s="32" t="str">
        <f t="array" ref="F2917">"https://www.google.com/maps/search/?api=1&amp;query=" &amp; A2917 &amp; "," &amp; B2917</f>
        <v>https://www.google.com/maps/search/?api=1&amp;query=-30.90181508834570,-55.54641885393800</v>
      </c>
      <c r="G2917" s="33" t="str">
        <f t="array" ref="G2917">"https://earth.google.com/web/search/" &amp; A2917 &amp; "," &amp; B2917</f>
        <v>https://earth.google.com/web/search/-30.90181508834570,-55.54641885393800</v>
      </c>
      <c r="H2917" s="12"/>
      <c r="I2917" s="12"/>
      <c r="J2917" s="12"/>
      <c r="K2917" s="12"/>
      <c r="L2917" s="12"/>
      <c r="M2917" s="12"/>
      <c r="N2917" s="12"/>
      <c r="O2917" s="12"/>
      <c r="P2917" s="12"/>
      <c r="Q2917" s="12"/>
      <c r="R2917" s="12"/>
      <c r="S2917" s="12"/>
      <c r="T2917" s="12"/>
      <c r="U2917" s="12"/>
      <c r="V2917" s="12"/>
      <c r="W2917" s="12"/>
      <c r="X2917" s="12"/>
      <c r="Y2917" s="12"/>
      <c r="Z2917" s="12"/>
      <c r="AA2917" s="12"/>
    </row>
    <row r="2918" ht="26.25" customHeight="1">
      <c r="A2918" s="34" t="s">
        <v>5846</v>
      </c>
      <c r="B2918" s="35" t="s">
        <v>5847</v>
      </c>
      <c r="C2918" s="36">
        <v>3.0</v>
      </c>
      <c r="D2918" s="37">
        <v>295.0</v>
      </c>
      <c r="E2918" s="37">
        <v>4.0</v>
      </c>
      <c r="F2918" s="24" t="str">
        <f t="array" ref="F2918">"https://www.google.com/maps/search/?api=1&amp;query=" &amp; A2918 &amp; "," &amp; B2918</f>
        <v>https://www.google.com/maps/search/?api=1&amp;query=-30.90178057777320,-55.54631372884790</v>
      </c>
      <c r="G2918" s="25" t="str">
        <f t="array" ref="G2918">"https://earth.google.com/web/search/" &amp; A2918 &amp; "," &amp; B2918</f>
        <v>https://earth.google.com/web/search/-30.90178057777320,-55.54631372884790</v>
      </c>
      <c r="H2918" s="12"/>
      <c r="I2918" s="12"/>
      <c r="J2918" s="12"/>
      <c r="K2918" s="12"/>
      <c r="L2918" s="12"/>
      <c r="M2918" s="12"/>
      <c r="N2918" s="12"/>
      <c r="O2918" s="12"/>
      <c r="P2918" s="12"/>
      <c r="Q2918" s="12"/>
      <c r="R2918" s="12"/>
      <c r="S2918" s="12"/>
      <c r="T2918" s="12"/>
      <c r="U2918" s="12"/>
      <c r="V2918" s="12"/>
      <c r="W2918" s="12"/>
      <c r="X2918" s="12"/>
      <c r="Y2918" s="12"/>
      <c r="Z2918" s="12"/>
      <c r="AA2918" s="12"/>
    </row>
    <row r="2919" ht="26.25" customHeight="1">
      <c r="A2919" s="28" t="s">
        <v>5848</v>
      </c>
      <c r="B2919" s="29" t="s">
        <v>5849</v>
      </c>
      <c r="C2919" s="30">
        <v>3.0</v>
      </c>
      <c r="D2919" s="31">
        <v>295.0</v>
      </c>
      <c r="E2919" s="31">
        <v>5.0</v>
      </c>
      <c r="F2919" s="32" t="str">
        <f t="array" ref="F2919">"https://www.google.com/maps/search/?api=1&amp;query=" &amp; A2919 &amp; "," &amp; B2919</f>
        <v>https://www.google.com/maps/search/?api=1&amp;query=-30.90145302068170,-55.54606712064060</v>
      </c>
      <c r="G2919" s="33" t="str">
        <f t="array" ref="G2919">"https://earth.google.com/web/search/" &amp; A2919 &amp; "," &amp; B2919</f>
        <v>https://earth.google.com/web/search/-30.90145302068170,-55.54606712064060</v>
      </c>
      <c r="H2919" s="12"/>
      <c r="I2919" s="12"/>
      <c r="J2919" s="12"/>
      <c r="K2919" s="12"/>
      <c r="L2919" s="12"/>
      <c r="M2919" s="12"/>
      <c r="N2919" s="12"/>
      <c r="O2919" s="12"/>
      <c r="P2919" s="12"/>
      <c r="Q2919" s="12"/>
      <c r="R2919" s="12"/>
      <c r="S2919" s="12"/>
      <c r="T2919" s="12"/>
      <c r="U2919" s="12"/>
      <c r="V2919" s="12"/>
      <c r="W2919" s="12"/>
      <c r="X2919" s="12"/>
      <c r="Y2919" s="12"/>
      <c r="Z2919" s="12"/>
      <c r="AA2919" s="12"/>
    </row>
    <row r="2920" ht="26.25" customHeight="1">
      <c r="A2920" s="34" t="s">
        <v>5850</v>
      </c>
      <c r="B2920" s="35" t="s">
        <v>5851</v>
      </c>
      <c r="C2920" s="36">
        <v>3.0</v>
      </c>
      <c r="D2920" s="37">
        <v>295.0</v>
      </c>
      <c r="E2920" s="37">
        <v>6.0</v>
      </c>
      <c r="F2920" s="24" t="str">
        <f t="array" ref="F2920">"https://www.google.com/maps/search/?api=1&amp;query=" &amp; A2920 &amp; "," &amp; B2920</f>
        <v>https://www.google.com/maps/search/?api=1&amp;query=-30.90097729883570,-55.54616398387550</v>
      </c>
      <c r="G2920" s="25" t="str">
        <f t="array" ref="G2920">"https://earth.google.com/web/search/" &amp; A2920 &amp; "," &amp; B2920</f>
        <v>https://earth.google.com/web/search/-30.90097729883570,-55.54616398387550</v>
      </c>
      <c r="H2920" s="12"/>
      <c r="I2920" s="12"/>
      <c r="J2920" s="12"/>
      <c r="K2920" s="12"/>
      <c r="L2920" s="12"/>
      <c r="M2920" s="12"/>
      <c r="N2920" s="12"/>
      <c r="O2920" s="12"/>
      <c r="P2920" s="12"/>
      <c r="Q2920" s="12"/>
      <c r="R2920" s="12"/>
      <c r="S2920" s="12"/>
      <c r="T2920" s="12"/>
      <c r="U2920" s="12"/>
      <c r="V2920" s="12"/>
      <c r="W2920" s="12"/>
      <c r="X2920" s="12"/>
      <c r="Y2920" s="12"/>
      <c r="Z2920" s="12"/>
      <c r="AA2920" s="12"/>
    </row>
    <row r="2921" ht="26.25" customHeight="1">
      <c r="A2921" s="28" t="s">
        <v>5852</v>
      </c>
      <c r="B2921" s="29" t="s">
        <v>5853</v>
      </c>
      <c r="C2921" s="30">
        <v>3.0</v>
      </c>
      <c r="D2921" s="31">
        <v>295.0</v>
      </c>
      <c r="E2921" s="31">
        <v>7.0</v>
      </c>
      <c r="F2921" s="32" t="str">
        <f t="array" ref="F2921">"https://www.google.com/maps/search/?api=1&amp;query=" &amp; A2921 &amp; "," &amp; B2921</f>
        <v>https://www.google.com/maps/search/?api=1&amp;query=-30.90087838518900,-55.54635329284560</v>
      </c>
      <c r="G2921" s="33" t="str">
        <f t="array" ref="G2921">"https://earth.google.com/web/search/" &amp; A2921 &amp; "," &amp; B2921</f>
        <v>https://earth.google.com/web/search/-30.90087838518900,-55.54635329284560</v>
      </c>
      <c r="H2921" s="12"/>
      <c r="I2921" s="12"/>
      <c r="J2921" s="12"/>
      <c r="K2921" s="12"/>
      <c r="L2921" s="12"/>
      <c r="M2921" s="12"/>
      <c r="N2921" s="12"/>
      <c r="O2921" s="12"/>
      <c r="P2921" s="12"/>
      <c r="Q2921" s="12"/>
      <c r="R2921" s="12"/>
      <c r="S2921" s="12"/>
      <c r="T2921" s="12"/>
      <c r="U2921" s="12"/>
      <c r="V2921" s="12"/>
      <c r="W2921" s="12"/>
      <c r="X2921" s="12"/>
      <c r="Y2921" s="12"/>
      <c r="Z2921" s="12"/>
      <c r="AA2921" s="12"/>
    </row>
    <row r="2922" ht="26.25" customHeight="1">
      <c r="A2922" s="34" t="s">
        <v>5854</v>
      </c>
      <c r="B2922" s="35" t="s">
        <v>5855</v>
      </c>
      <c r="C2922" s="36">
        <v>3.0</v>
      </c>
      <c r="D2922" s="37">
        <v>295.0</v>
      </c>
      <c r="E2922" s="37">
        <v>8.0</v>
      </c>
      <c r="F2922" s="24" t="str">
        <f t="array" ref="F2922">"https://www.google.com/maps/search/?api=1&amp;query=" &amp; A2922 &amp; "," &amp; B2922</f>
        <v>https://www.google.com/maps/search/?api=1&amp;query=-30.90079111822590,-55.54652606621710</v>
      </c>
      <c r="G2922" s="25" t="str">
        <f t="array" ref="G2922">"https://earth.google.com/web/search/" &amp; A2922 &amp; "," &amp; B2922</f>
        <v>https://earth.google.com/web/search/-30.90079111822590,-55.54652606621710</v>
      </c>
      <c r="H2922" s="12"/>
      <c r="I2922" s="12"/>
      <c r="J2922" s="12"/>
      <c r="K2922" s="12"/>
      <c r="L2922" s="12"/>
      <c r="M2922" s="12"/>
      <c r="N2922" s="12"/>
      <c r="O2922" s="12"/>
      <c r="P2922" s="12"/>
      <c r="Q2922" s="12"/>
      <c r="R2922" s="12"/>
      <c r="S2922" s="12"/>
      <c r="T2922" s="12"/>
      <c r="U2922" s="12"/>
      <c r="V2922" s="12"/>
      <c r="W2922" s="12"/>
      <c r="X2922" s="12"/>
      <c r="Y2922" s="12"/>
      <c r="Z2922" s="12"/>
      <c r="AA2922" s="12"/>
    </row>
    <row r="2923" ht="26.25" customHeight="1">
      <c r="A2923" s="28" t="s">
        <v>5856</v>
      </c>
      <c r="B2923" s="29" t="s">
        <v>5857</v>
      </c>
      <c r="C2923" s="30">
        <v>3.0</v>
      </c>
      <c r="D2923" s="31">
        <v>295.0</v>
      </c>
      <c r="E2923" s="31">
        <v>9.0</v>
      </c>
      <c r="F2923" s="32" t="str">
        <f t="array" ref="F2923">"https://www.google.com/maps/search/?api=1&amp;query=" &amp; A2923 &amp; "," &amp; B2923</f>
        <v>https://www.google.com/maps/search/?api=1&amp;query=-30.90102683179450,-55.54690465824300</v>
      </c>
      <c r="G2923" s="33" t="str">
        <f t="array" ref="G2923">"https://earth.google.com/web/search/" &amp; A2923 &amp; "," &amp; B2923</f>
        <v>https://earth.google.com/web/search/-30.90102683179450,-55.54690465824300</v>
      </c>
      <c r="H2923" s="12"/>
      <c r="I2923" s="12"/>
      <c r="J2923" s="12"/>
      <c r="K2923" s="12"/>
      <c r="L2923" s="12"/>
      <c r="M2923" s="12"/>
      <c r="N2923" s="12"/>
      <c r="O2923" s="12"/>
      <c r="P2923" s="12"/>
      <c r="Q2923" s="12"/>
      <c r="R2923" s="12"/>
      <c r="S2923" s="12"/>
      <c r="T2923" s="12"/>
      <c r="U2923" s="12"/>
      <c r="V2923" s="12"/>
      <c r="W2923" s="12"/>
      <c r="X2923" s="12"/>
      <c r="Y2923" s="12"/>
      <c r="Z2923" s="12"/>
      <c r="AA2923" s="12"/>
    </row>
    <row r="2924" ht="26.25" customHeight="1">
      <c r="A2924" s="34" t="s">
        <v>5858</v>
      </c>
      <c r="B2924" s="35" t="s">
        <v>5859</v>
      </c>
      <c r="C2924" s="36">
        <v>3.0</v>
      </c>
      <c r="D2924" s="37">
        <v>295.0</v>
      </c>
      <c r="E2924" s="37">
        <v>10.0</v>
      </c>
      <c r="F2924" s="24" t="str">
        <f t="array" ref="F2924">"https://www.google.com/maps/search/?api=1&amp;query=" &amp; A2924 &amp; "," &amp; B2924</f>
        <v>https://www.google.com/maps/search/?api=1&amp;query=-30.90111217363900,-55.54694506999160</v>
      </c>
      <c r="G2924" s="25" t="str">
        <f t="array" ref="G2924">"https://earth.google.com/web/search/" &amp; A2924 &amp; "," &amp; B2924</f>
        <v>https://earth.google.com/web/search/-30.90111217363900,-55.54694506999160</v>
      </c>
      <c r="H2924" s="12"/>
      <c r="I2924" s="12"/>
      <c r="J2924" s="12"/>
      <c r="K2924" s="12"/>
      <c r="L2924" s="12"/>
      <c r="M2924" s="12"/>
      <c r="N2924" s="12"/>
      <c r="O2924" s="12"/>
      <c r="P2924" s="12"/>
      <c r="Q2924" s="12"/>
      <c r="R2924" s="12"/>
      <c r="S2924" s="12"/>
      <c r="T2924" s="12"/>
      <c r="U2924" s="12"/>
      <c r="V2924" s="12"/>
      <c r="W2924" s="12"/>
      <c r="X2924" s="12"/>
      <c r="Y2924" s="12"/>
      <c r="Z2924" s="12"/>
      <c r="AA2924" s="12"/>
    </row>
    <row r="2925" ht="26.25" customHeight="1">
      <c r="A2925" s="28" t="s">
        <v>5860</v>
      </c>
      <c r="B2925" s="29" t="s">
        <v>5861</v>
      </c>
      <c r="C2925" s="30">
        <v>3.0</v>
      </c>
      <c r="D2925" s="31">
        <v>295.0</v>
      </c>
      <c r="E2925" s="31">
        <v>11.0</v>
      </c>
      <c r="F2925" s="32" t="str">
        <f t="array" ref="F2925">"https://www.google.com/maps/search/?api=1&amp;query=" &amp; A2925 &amp; "," &amp; B2925</f>
        <v>https://www.google.com/maps/search/?api=1&amp;query=-30.90129728568280,-55.54709356730340</v>
      </c>
      <c r="G2925" s="33" t="str">
        <f t="array" ref="G2925">"https://earth.google.com/web/search/" &amp; A2925 &amp; "," &amp; B2925</f>
        <v>https://earth.google.com/web/search/-30.90129728568280,-55.54709356730340</v>
      </c>
      <c r="H2925" s="12"/>
      <c r="I2925" s="12"/>
      <c r="J2925" s="12"/>
      <c r="K2925" s="12"/>
      <c r="L2925" s="12"/>
      <c r="M2925" s="12"/>
      <c r="N2925" s="12"/>
      <c r="O2925" s="12"/>
      <c r="P2925" s="12"/>
      <c r="Q2925" s="12"/>
      <c r="R2925" s="12"/>
      <c r="S2925" s="12"/>
      <c r="T2925" s="12"/>
      <c r="U2925" s="12"/>
      <c r="V2925" s="12"/>
      <c r="W2925" s="12"/>
      <c r="X2925" s="12"/>
      <c r="Y2925" s="12"/>
      <c r="Z2925" s="12"/>
      <c r="AA2925" s="12"/>
    </row>
    <row r="2926" ht="26.25" customHeight="1">
      <c r="A2926" s="34" t="s">
        <v>5862</v>
      </c>
      <c r="B2926" s="35" t="s">
        <v>5863</v>
      </c>
      <c r="C2926" s="36">
        <v>3.0</v>
      </c>
      <c r="D2926" s="37">
        <v>295.0</v>
      </c>
      <c r="E2926" s="37">
        <v>12.0</v>
      </c>
      <c r="F2926" s="24" t="str">
        <f t="array" ref="F2926">"https://www.google.com/maps/search/?api=1&amp;query=" &amp; A2926 &amp; "," &amp; B2926</f>
        <v>https://www.google.com/maps/search/?api=1&amp;query=-30.90134636581880,-55.54712999750500</v>
      </c>
      <c r="G2926" s="25" t="str">
        <f t="array" ref="G2926">"https://earth.google.com/web/search/" &amp; A2926 &amp; "," &amp; B2926</f>
        <v>https://earth.google.com/web/search/-30.90134636581880,-55.54712999750500</v>
      </c>
      <c r="H2926" s="12"/>
      <c r="I2926" s="12"/>
      <c r="J2926" s="12"/>
      <c r="K2926" s="12"/>
      <c r="L2926" s="12"/>
      <c r="M2926" s="12"/>
      <c r="N2926" s="12"/>
      <c r="O2926" s="12"/>
      <c r="P2926" s="12"/>
      <c r="Q2926" s="12"/>
      <c r="R2926" s="12"/>
      <c r="S2926" s="12"/>
      <c r="T2926" s="12"/>
      <c r="U2926" s="12"/>
      <c r="V2926" s="12"/>
      <c r="W2926" s="12"/>
      <c r="X2926" s="12"/>
      <c r="Y2926" s="12"/>
      <c r="Z2926" s="12"/>
      <c r="AA2926" s="12"/>
    </row>
    <row r="2927" ht="26.25" customHeight="1">
      <c r="A2927" s="28" t="s">
        <v>5864</v>
      </c>
      <c r="B2927" s="29" t="s">
        <v>5865</v>
      </c>
      <c r="C2927" s="30">
        <v>3.0</v>
      </c>
      <c r="D2927" s="31">
        <v>296.0</v>
      </c>
      <c r="E2927" s="31">
        <v>1.0</v>
      </c>
      <c r="F2927" s="32" t="str">
        <f t="array" ref="F2927">"https://www.google.com/maps/search/?api=1&amp;query=" &amp; A2927 &amp; "," &amp; B2927</f>
        <v>https://www.google.com/maps/search/?api=1&amp;query=-30.90102267120140,-55.54785120409020</v>
      </c>
      <c r="G2927" s="33" t="str">
        <f t="array" ref="G2927">"https://earth.google.com/web/search/" &amp; A2927 &amp; "," &amp; B2927</f>
        <v>https://earth.google.com/web/search/-30.90102267120140,-55.54785120409020</v>
      </c>
      <c r="H2927" s="12"/>
      <c r="I2927" s="12"/>
      <c r="J2927" s="12"/>
      <c r="K2927" s="12"/>
      <c r="L2927" s="12"/>
      <c r="M2927" s="12"/>
      <c r="N2927" s="12"/>
      <c r="O2927" s="12"/>
      <c r="P2927" s="12"/>
      <c r="Q2927" s="12"/>
      <c r="R2927" s="12"/>
      <c r="S2927" s="12"/>
      <c r="T2927" s="12"/>
      <c r="U2927" s="12"/>
      <c r="V2927" s="12"/>
      <c r="W2927" s="12"/>
      <c r="X2927" s="12"/>
      <c r="Y2927" s="12"/>
      <c r="Z2927" s="12"/>
      <c r="AA2927" s="12"/>
    </row>
    <row r="2928" ht="26.25" customHeight="1">
      <c r="A2928" s="34" t="s">
        <v>5866</v>
      </c>
      <c r="B2928" s="35" t="s">
        <v>5867</v>
      </c>
      <c r="C2928" s="36">
        <v>3.0</v>
      </c>
      <c r="D2928" s="37">
        <v>296.0</v>
      </c>
      <c r="E2928" s="37">
        <v>2.0</v>
      </c>
      <c r="F2928" s="24" t="str">
        <f t="array" ref="F2928">"https://www.google.com/maps/search/?api=1&amp;query=" &amp; A2928 &amp; "," &amp; B2928</f>
        <v>https://www.google.com/maps/search/?api=1&amp;query=-0.30901254873192,-55.54717720076020</v>
      </c>
      <c r="G2928" s="25" t="str">
        <f t="array" ref="G2928">"https://earth.google.com/web/search/" &amp; A2928 &amp; "," &amp; B2928</f>
        <v>https://earth.google.com/web/search/-0.30901254873192,-55.54717720076020</v>
      </c>
      <c r="H2928" s="12"/>
      <c r="I2928" s="12"/>
      <c r="J2928" s="12"/>
      <c r="K2928" s="12"/>
      <c r="L2928" s="12"/>
      <c r="M2928" s="12"/>
      <c r="N2928" s="12"/>
      <c r="O2928" s="12"/>
      <c r="P2928" s="12"/>
      <c r="Q2928" s="12"/>
      <c r="R2928" s="12"/>
      <c r="S2928" s="12"/>
      <c r="T2928" s="12"/>
      <c r="U2928" s="12"/>
      <c r="V2928" s="12"/>
      <c r="W2928" s="12"/>
      <c r="X2928" s="12"/>
      <c r="Y2928" s="12"/>
      <c r="Z2928" s="12"/>
      <c r="AA2928" s="12"/>
    </row>
    <row r="2929" ht="26.25" customHeight="1">
      <c r="A2929" s="28" t="s">
        <v>5868</v>
      </c>
      <c r="B2929" s="29" t="s">
        <v>5869</v>
      </c>
      <c r="C2929" s="30">
        <v>3.0</v>
      </c>
      <c r="D2929" s="31">
        <v>296.0</v>
      </c>
      <c r="E2929" s="31">
        <v>3.0</v>
      </c>
      <c r="F2929" s="32" t="str">
        <f t="array" ref="F2929">"https://www.google.com/maps/search/?api=1&amp;query=" &amp; A2929 &amp; "," &amp; B2929</f>
        <v>https://www.google.com/maps/search/?api=1&amp;query=-30.90118743536940,-55.54712812599250</v>
      </c>
      <c r="G2929" s="33" t="str">
        <f t="array" ref="G2929">"https://earth.google.com/web/search/" &amp; A2929 &amp; "," &amp; B2929</f>
        <v>https://earth.google.com/web/search/-30.90118743536940,-55.54712812599250</v>
      </c>
      <c r="H2929" s="12"/>
      <c r="I2929" s="12"/>
      <c r="J2929" s="12"/>
      <c r="K2929" s="12"/>
      <c r="L2929" s="12"/>
      <c r="M2929" s="12"/>
      <c r="N2929" s="12"/>
      <c r="O2929" s="12"/>
      <c r="P2929" s="12"/>
      <c r="Q2929" s="12"/>
      <c r="R2929" s="12"/>
      <c r="S2929" s="12"/>
      <c r="T2929" s="12"/>
      <c r="U2929" s="12"/>
      <c r="V2929" s="12"/>
      <c r="W2929" s="12"/>
      <c r="X2929" s="12"/>
      <c r="Y2929" s="12"/>
      <c r="Z2929" s="12"/>
      <c r="AA2929" s="12"/>
    </row>
    <row r="2930" ht="26.25" customHeight="1">
      <c r="A2930" s="34" t="s">
        <v>5870</v>
      </c>
      <c r="B2930" s="35" t="s">
        <v>5871</v>
      </c>
      <c r="C2930" s="36">
        <v>3.0</v>
      </c>
      <c r="D2930" s="37">
        <v>296.0</v>
      </c>
      <c r="E2930" s="37">
        <v>4.0</v>
      </c>
      <c r="F2930" s="24" t="str">
        <f t="array" ref="F2930">"https://www.google.com/maps/search/?api=1&amp;query=" &amp; A2930 &amp; "," &amp; B2930</f>
        <v>https://www.google.com/maps/search/?api=1&amp;query=-30.90111231575400,-55.54708688200220</v>
      </c>
      <c r="G2930" s="25" t="str">
        <f t="array" ref="G2930">"https://earth.google.com/web/search/" &amp; A2930 &amp; "," &amp; B2930</f>
        <v>https://earth.google.com/web/search/-30.90111231575400,-55.54708688200220</v>
      </c>
      <c r="H2930" s="12"/>
      <c r="I2930" s="12"/>
      <c r="J2930" s="12"/>
      <c r="K2930" s="12"/>
      <c r="L2930" s="12"/>
      <c r="M2930" s="12"/>
      <c r="N2930" s="12"/>
      <c r="O2930" s="12"/>
      <c r="P2930" s="12"/>
      <c r="Q2930" s="12"/>
      <c r="R2930" s="12"/>
      <c r="S2930" s="12"/>
      <c r="T2930" s="12"/>
      <c r="U2930" s="12"/>
      <c r="V2930" s="12"/>
      <c r="W2930" s="12"/>
      <c r="X2930" s="12"/>
      <c r="Y2930" s="12"/>
      <c r="Z2930" s="12"/>
      <c r="AA2930" s="12"/>
    </row>
    <row r="2931" ht="26.25" customHeight="1">
      <c r="A2931" s="28" t="s">
        <v>5872</v>
      </c>
      <c r="B2931" s="29" t="s">
        <v>5873</v>
      </c>
      <c r="C2931" s="30">
        <v>3.0</v>
      </c>
      <c r="D2931" s="31">
        <v>296.0</v>
      </c>
      <c r="E2931" s="31">
        <v>5.0</v>
      </c>
      <c r="F2931" s="32" t="str">
        <f t="array" ref="F2931">"https://www.google.com/maps/search/?api=1&amp;query=" &amp; A2931 &amp; "," &amp; B2931</f>
        <v>https://www.google.com/maps/search/?api=1&amp;query=-30.90079788314700,-55.54686768168900</v>
      </c>
      <c r="G2931" s="33" t="str">
        <f t="array" ref="G2931">"https://earth.google.com/web/search/" &amp; A2931 &amp; "," &amp; B2931</f>
        <v>https://earth.google.com/web/search/-30.90079788314700,-55.54686768168900</v>
      </c>
      <c r="H2931" s="12"/>
      <c r="I2931" s="12"/>
      <c r="J2931" s="12"/>
      <c r="K2931" s="12"/>
      <c r="L2931" s="12"/>
      <c r="M2931" s="12"/>
      <c r="N2931" s="12"/>
      <c r="O2931" s="12"/>
      <c r="P2931" s="12"/>
      <c r="Q2931" s="12"/>
      <c r="R2931" s="12"/>
      <c r="S2931" s="12"/>
      <c r="T2931" s="12"/>
      <c r="U2931" s="12"/>
      <c r="V2931" s="12"/>
      <c r="W2931" s="12"/>
      <c r="X2931" s="12"/>
      <c r="Y2931" s="12"/>
      <c r="Z2931" s="12"/>
      <c r="AA2931" s="12"/>
    </row>
    <row r="2932" ht="26.25" customHeight="1">
      <c r="A2932" s="34" t="s">
        <v>5874</v>
      </c>
      <c r="B2932" s="35" t="s">
        <v>5875</v>
      </c>
      <c r="C2932" s="36">
        <v>3.0</v>
      </c>
      <c r="D2932" s="37">
        <v>296.0</v>
      </c>
      <c r="E2932" s="37">
        <v>6.0</v>
      </c>
      <c r="F2932" s="24" t="str">
        <f t="array" ref="F2932">"https://www.google.com/maps/search/?api=1&amp;query=" &amp; A2932 &amp; "," &amp; B2932</f>
        <v>https://www.google.com/maps/search/?api=1&amp;query=-30.90057558189640,-55.54691893669880</v>
      </c>
      <c r="G2932" s="25" t="str">
        <f t="array" ref="G2932">"https://earth.google.com/web/search/" &amp; A2932 &amp; "," &amp; B2932</f>
        <v>https://earth.google.com/web/search/-30.90057558189640,-55.54691893669880</v>
      </c>
      <c r="H2932" s="12"/>
      <c r="I2932" s="12"/>
      <c r="J2932" s="12"/>
      <c r="K2932" s="12"/>
      <c r="L2932" s="12"/>
      <c r="M2932" s="12"/>
      <c r="N2932" s="12"/>
      <c r="O2932" s="12"/>
      <c r="P2932" s="12"/>
      <c r="Q2932" s="12"/>
      <c r="R2932" s="12"/>
      <c r="S2932" s="12"/>
      <c r="T2932" s="12"/>
      <c r="U2932" s="12"/>
      <c r="V2932" s="12"/>
      <c r="W2932" s="12"/>
      <c r="X2932" s="12"/>
      <c r="Y2932" s="12"/>
      <c r="Z2932" s="12"/>
      <c r="AA2932" s="12"/>
    </row>
    <row r="2933" ht="26.25" customHeight="1">
      <c r="A2933" s="28" t="s">
        <v>5876</v>
      </c>
      <c r="B2933" s="29" t="s">
        <v>5877</v>
      </c>
      <c r="C2933" s="30">
        <v>3.0</v>
      </c>
      <c r="D2933" s="31">
        <v>296.0</v>
      </c>
      <c r="E2933" s="31">
        <v>7.0</v>
      </c>
      <c r="F2933" s="32" t="str">
        <f t="array" ref="F2933">"https://www.google.com/maps/search/?api=1&amp;query=" &amp; A2933 &amp; "," &amp; B2933</f>
        <v>https://www.google.com/maps/search/?api=1&amp;query=-3.09004735489826,-55.54710223877040</v>
      </c>
      <c r="G2933" s="33" t="str">
        <f t="array" ref="G2933">"https://earth.google.com/web/search/" &amp; A2933 &amp; "," &amp; B2933</f>
        <v>https://earth.google.com/web/search/-3.09004735489826,-55.54710223877040</v>
      </c>
      <c r="H2933" s="12"/>
      <c r="I2933" s="12"/>
      <c r="J2933" s="12"/>
      <c r="K2933" s="12"/>
      <c r="L2933" s="12"/>
      <c r="M2933" s="12"/>
      <c r="N2933" s="12"/>
      <c r="O2933" s="12"/>
      <c r="P2933" s="12"/>
      <c r="Q2933" s="12"/>
      <c r="R2933" s="12"/>
      <c r="S2933" s="12"/>
      <c r="T2933" s="12"/>
      <c r="U2933" s="12"/>
      <c r="V2933" s="12"/>
      <c r="W2933" s="12"/>
      <c r="X2933" s="12"/>
      <c r="Y2933" s="12"/>
      <c r="Z2933" s="12"/>
      <c r="AA2933" s="12"/>
    </row>
    <row r="2934" ht="26.25" customHeight="1">
      <c r="A2934" s="34" t="s">
        <v>5878</v>
      </c>
      <c r="B2934" s="35" t="s">
        <v>5879</v>
      </c>
      <c r="C2934" s="36">
        <v>3.0</v>
      </c>
      <c r="D2934" s="37">
        <v>296.0</v>
      </c>
      <c r="E2934" s="37">
        <v>8.0</v>
      </c>
      <c r="F2934" s="24" t="str">
        <f t="array" ref="F2934">"https://www.google.com/maps/search/?api=1&amp;query=" &amp; A2934 &amp; "," &amp; B2934</f>
        <v>https://www.google.com/maps/search/?api=1&amp;query=-3.09003125727716,-0.05554741732842</v>
      </c>
      <c r="G2934" s="25" t="str">
        <f t="array" ref="G2934">"https://earth.google.com/web/search/" &amp; A2934 &amp; "," &amp; B2934</f>
        <v>https://earth.google.com/web/search/-3.09003125727716,-0.05554741732842</v>
      </c>
      <c r="H2934" s="12"/>
      <c r="I2934" s="12"/>
      <c r="J2934" s="12"/>
      <c r="K2934" s="12"/>
      <c r="L2934" s="12"/>
      <c r="M2934" s="12"/>
      <c r="N2934" s="12"/>
      <c r="O2934" s="12"/>
      <c r="P2934" s="12"/>
      <c r="Q2934" s="12"/>
      <c r="R2934" s="12"/>
      <c r="S2934" s="12"/>
      <c r="T2934" s="12"/>
      <c r="U2934" s="12"/>
      <c r="V2934" s="12"/>
      <c r="W2934" s="12"/>
      <c r="X2934" s="12"/>
      <c r="Y2934" s="12"/>
      <c r="Z2934" s="12"/>
      <c r="AA2934" s="12"/>
    </row>
    <row r="2935" ht="26.25" customHeight="1">
      <c r="A2935" s="28" t="s">
        <v>5880</v>
      </c>
      <c r="B2935" s="29" t="s">
        <v>5881</v>
      </c>
      <c r="C2935" s="30">
        <v>3.0</v>
      </c>
      <c r="D2935" s="31">
        <v>296.0</v>
      </c>
      <c r="E2935" s="31">
        <v>9.0</v>
      </c>
      <c r="F2935" s="32" t="str">
        <f t="array" ref="F2935">"https://www.google.com/maps/search/?api=1&amp;query=" &amp; A2935 &amp; "," &amp; B2935</f>
        <v>https://www.google.com/maps/search/?api=1&amp;query=-30.90025395311350,-55.54754465211220</v>
      </c>
      <c r="G2935" s="33" t="str">
        <f t="array" ref="G2935">"https://earth.google.com/web/search/" &amp; A2935 &amp; "," &amp; B2935</f>
        <v>https://earth.google.com/web/search/-30.90025395311350,-55.54754465211220</v>
      </c>
      <c r="H2935" s="12"/>
      <c r="I2935" s="12"/>
      <c r="J2935" s="12"/>
      <c r="K2935" s="12"/>
      <c r="L2935" s="12"/>
      <c r="M2935" s="12"/>
      <c r="N2935" s="12"/>
      <c r="O2935" s="12"/>
      <c r="P2935" s="12"/>
      <c r="Q2935" s="12"/>
      <c r="R2935" s="12"/>
      <c r="S2935" s="12"/>
      <c r="T2935" s="12"/>
      <c r="U2935" s="12"/>
      <c r="V2935" s="12"/>
      <c r="W2935" s="12"/>
      <c r="X2935" s="12"/>
      <c r="Y2935" s="12"/>
      <c r="Z2935" s="12"/>
      <c r="AA2935" s="12"/>
    </row>
    <row r="2936" ht="26.25" customHeight="1">
      <c r="A2936" s="34" t="s">
        <v>5882</v>
      </c>
      <c r="B2936" s="35" t="s">
        <v>5883</v>
      </c>
      <c r="C2936" s="36">
        <v>3.0</v>
      </c>
      <c r="D2936" s="37">
        <v>296.0</v>
      </c>
      <c r="E2936" s="37">
        <v>10.0</v>
      </c>
      <c r="F2936" s="24" t="str">
        <f t="array" ref="F2936">"https://www.google.com/maps/search/?api=1&amp;query=" &amp; A2936 &amp; "," &amp; B2936</f>
        <v>https://www.google.com/maps/search/?api=1&amp;query=-30.90032312574490,-55.54767666830830</v>
      </c>
      <c r="G2936" s="25" t="str">
        <f t="array" ref="G2936">"https://earth.google.com/web/search/" &amp; A2936 &amp; "," &amp; B2936</f>
        <v>https://earth.google.com/web/search/-30.90032312574490,-55.54767666830830</v>
      </c>
      <c r="H2936" s="12"/>
      <c r="I2936" s="12"/>
      <c r="J2936" s="12"/>
      <c r="K2936" s="12"/>
      <c r="L2936" s="12"/>
      <c r="M2936" s="12"/>
      <c r="N2936" s="12"/>
      <c r="O2936" s="12"/>
      <c r="P2936" s="12"/>
      <c r="Q2936" s="12"/>
      <c r="R2936" s="12"/>
      <c r="S2936" s="12"/>
      <c r="T2936" s="12"/>
      <c r="U2936" s="12"/>
      <c r="V2936" s="12"/>
      <c r="W2936" s="12"/>
      <c r="X2936" s="12"/>
      <c r="Y2936" s="12"/>
      <c r="Z2936" s="12"/>
      <c r="AA2936" s="12"/>
    </row>
    <row r="2937" ht="26.25" customHeight="1">
      <c r="A2937" s="28" t="s">
        <v>5884</v>
      </c>
      <c r="B2937" s="29" t="s">
        <v>5885</v>
      </c>
      <c r="C2937" s="30">
        <v>3.0</v>
      </c>
      <c r="D2937" s="31">
        <v>296.0</v>
      </c>
      <c r="E2937" s="31">
        <v>11.0</v>
      </c>
      <c r="F2937" s="32" t="str">
        <f t="array" ref="F2937">"https://www.google.com/maps/search/?api=1&amp;query=" &amp; A2937 &amp; "," &amp; B2937</f>
        <v>https://www.google.com/maps/search/?api=1&amp;query=-30.90049922845660,-55.54778651796920</v>
      </c>
      <c r="G2937" s="33" t="str">
        <f t="array" ref="G2937">"https://earth.google.com/web/search/" &amp; A2937 &amp; "," &amp; B2937</f>
        <v>https://earth.google.com/web/search/-30.90049922845660,-55.54778651796920</v>
      </c>
      <c r="H2937" s="12"/>
      <c r="I2937" s="12"/>
      <c r="J2937" s="12"/>
      <c r="K2937" s="12"/>
      <c r="L2937" s="12"/>
      <c r="M2937" s="12"/>
      <c r="N2937" s="12"/>
      <c r="O2937" s="12"/>
      <c r="P2937" s="12"/>
      <c r="Q2937" s="12"/>
      <c r="R2937" s="12"/>
      <c r="S2937" s="12"/>
      <c r="T2937" s="12"/>
      <c r="U2937" s="12"/>
      <c r="V2937" s="12"/>
      <c r="W2937" s="12"/>
      <c r="X2937" s="12"/>
      <c r="Y2937" s="12"/>
      <c r="Z2937" s="12"/>
      <c r="AA2937" s="12"/>
    </row>
    <row r="2938" ht="26.25" customHeight="1">
      <c r="A2938" s="34" t="s">
        <v>5886</v>
      </c>
      <c r="B2938" s="35" t="s">
        <v>5887</v>
      </c>
      <c r="C2938" s="36">
        <v>3.0</v>
      </c>
      <c r="D2938" s="37">
        <v>296.0</v>
      </c>
      <c r="E2938" s="37">
        <v>12.0</v>
      </c>
      <c r="F2938" s="24" t="str">
        <f t="array" ref="F2938">"https://www.google.com/maps/search/?api=1&amp;query=" &amp; A2938 &amp; "," &amp; B2938</f>
        <v>https://www.google.com/maps/search/?api=1&amp;query=-30.90102849289290,-55.54702127296950</v>
      </c>
      <c r="G2938" s="25" t="str">
        <f t="array" ref="G2938">"https://earth.google.com/web/search/" &amp; A2938 &amp; "," &amp; B2938</f>
        <v>https://earth.google.com/web/search/-30.90102849289290,-55.54702127296950</v>
      </c>
      <c r="H2938" s="12"/>
      <c r="I2938" s="12"/>
      <c r="J2938" s="12"/>
      <c r="K2938" s="12"/>
      <c r="L2938" s="12"/>
      <c r="M2938" s="12"/>
      <c r="N2938" s="12"/>
      <c r="O2938" s="12"/>
      <c r="P2938" s="12"/>
      <c r="Q2938" s="12"/>
      <c r="R2938" s="12"/>
      <c r="S2938" s="12"/>
      <c r="T2938" s="12"/>
      <c r="U2938" s="12"/>
      <c r="V2938" s="12"/>
      <c r="W2938" s="12"/>
      <c r="X2938" s="12"/>
      <c r="Y2938" s="12"/>
      <c r="Z2938" s="12"/>
      <c r="AA2938" s="12"/>
    </row>
    <row r="2939" ht="26.25" customHeight="1">
      <c r="A2939" s="28" t="s">
        <v>5888</v>
      </c>
      <c r="B2939" s="29" t="s">
        <v>5889</v>
      </c>
      <c r="C2939" s="30">
        <v>3.0</v>
      </c>
      <c r="D2939" s="31">
        <v>297.0</v>
      </c>
      <c r="E2939" s="31">
        <v>1.0</v>
      </c>
      <c r="F2939" s="32" t="str">
        <f t="array" ref="F2939">"https://www.google.com/maps/search/?api=1&amp;query=" &amp; A2939 &amp; "," &amp; B2939</f>
        <v>https://www.google.com/maps/search/?api=1&amp;query=-30.90084290352130,-55.54826921092310</v>
      </c>
      <c r="G2939" s="33" t="str">
        <f t="array" ref="G2939">"https://earth.google.com/web/search/" &amp; A2939 &amp; "," &amp; B2939</f>
        <v>https://earth.google.com/web/search/-30.90084290352130,-55.54826921092310</v>
      </c>
      <c r="H2939" s="12"/>
      <c r="I2939" s="12"/>
      <c r="J2939" s="12"/>
      <c r="K2939" s="12"/>
      <c r="L2939" s="12"/>
      <c r="M2939" s="12"/>
      <c r="N2939" s="12"/>
      <c r="O2939" s="12"/>
      <c r="P2939" s="12"/>
      <c r="Q2939" s="12"/>
      <c r="R2939" s="12"/>
      <c r="S2939" s="12"/>
      <c r="T2939" s="12"/>
      <c r="U2939" s="12"/>
      <c r="V2939" s="12"/>
      <c r="W2939" s="12"/>
      <c r="X2939" s="12"/>
      <c r="Y2939" s="12"/>
      <c r="Z2939" s="12"/>
      <c r="AA2939" s="12"/>
    </row>
    <row r="2940" ht="26.25" customHeight="1">
      <c r="A2940" s="34" t="s">
        <v>5890</v>
      </c>
      <c r="B2940" s="35" t="s">
        <v>5891</v>
      </c>
      <c r="C2940" s="36">
        <v>3.0</v>
      </c>
      <c r="D2940" s="37">
        <v>297.0</v>
      </c>
      <c r="E2940" s="37">
        <v>2.0</v>
      </c>
      <c r="F2940" s="24" t="str">
        <f t="array" ref="F2940">"https://www.google.com/maps/search/?api=1&amp;query=" &amp; A2940 &amp; "," &amp; B2940</f>
        <v>https://www.google.com/maps/search/?api=1&amp;query=-30.90085232310440,-5.55481408023943</v>
      </c>
      <c r="G2940" s="25" t="str">
        <f t="array" ref="G2940">"https://earth.google.com/web/search/" &amp; A2940 &amp; "," &amp; B2940</f>
        <v>https://earth.google.com/web/search/-30.90085232310440,-5.55481408023943</v>
      </c>
      <c r="H2940" s="12"/>
      <c r="I2940" s="12"/>
      <c r="J2940" s="12"/>
      <c r="K2940" s="12"/>
      <c r="L2940" s="12"/>
      <c r="M2940" s="12"/>
      <c r="N2940" s="12"/>
      <c r="O2940" s="12"/>
      <c r="P2940" s="12"/>
      <c r="Q2940" s="12"/>
      <c r="R2940" s="12"/>
      <c r="S2940" s="12"/>
      <c r="T2940" s="12"/>
      <c r="U2940" s="12"/>
      <c r="V2940" s="12"/>
      <c r="W2940" s="12"/>
      <c r="X2940" s="12"/>
      <c r="Y2940" s="12"/>
      <c r="Z2940" s="12"/>
      <c r="AA2940" s="12"/>
    </row>
    <row r="2941" ht="26.25" customHeight="1">
      <c r="A2941" s="28" t="s">
        <v>5892</v>
      </c>
      <c r="B2941" s="29" t="s">
        <v>5893</v>
      </c>
      <c r="C2941" s="30">
        <v>3.0</v>
      </c>
      <c r="D2941" s="31">
        <v>297.0</v>
      </c>
      <c r="E2941" s="31">
        <v>3.0</v>
      </c>
      <c r="F2941" s="32" t="str">
        <f t="array" ref="F2941">"https://www.google.com/maps/search/?api=1&amp;query=" &amp; A2941 &amp; "," &amp; B2941</f>
        <v>https://www.google.com/maps/search/?api=1&amp;query=-30.90075662980730,-55.54809449575920</v>
      </c>
      <c r="G2941" s="33" t="str">
        <f t="array" ref="G2941">"https://earth.google.com/web/search/" &amp; A2941 &amp; "," &amp; B2941</f>
        <v>https://earth.google.com/web/search/-30.90075662980730,-55.54809449575920</v>
      </c>
      <c r="H2941" s="12"/>
      <c r="I2941" s="12"/>
      <c r="J2941" s="12"/>
      <c r="K2941" s="12"/>
      <c r="L2941" s="12"/>
      <c r="M2941" s="12"/>
      <c r="N2941" s="12"/>
      <c r="O2941" s="12"/>
      <c r="P2941" s="12"/>
      <c r="Q2941" s="12"/>
      <c r="R2941" s="12"/>
      <c r="S2941" s="12"/>
      <c r="T2941" s="12"/>
      <c r="U2941" s="12"/>
      <c r="V2941" s="12"/>
      <c r="W2941" s="12"/>
      <c r="X2941" s="12"/>
      <c r="Y2941" s="12"/>
      <c r="Z2941" s="12"/>
      <c r="AA2941" s="12"/>
    </row>
    <row r="2942" ht="26.25" customHeight="1">
      <c r="A2942" s="34" t="s">
        <v>5894</v>
      </c>
      <c r="B2942" s="35" t="s">
        <v>5895</v>
      </c>
      <c r="C2942" s="36">
        <v>3.0</v>
      </c>
      <c r="D2942" s="37">
        <v>297.0</v>
      </c>
      <c r="E2942" s="37">
        <v>4.0</v>
      </c>
      <c r="F2942" s="24" t="str">
        <f t="array" ref="F2942">"https://www.google.com/maps/search/?api=1&amp;query=" &amp; A2942 &amp; "," &amp; B2942</f>
        <v>https://www.google.com/maps/search/?api=1&amp;query=-30.90064427131060,-55.54800945737330</v>
      </c>
      <c r="G2942" s="25" t="str">
        <f t="array" ref="G2942">"https://earth.google.com/web/search/" &amp; A2942 &amp; "," &amp; B2942</f>
        <v>https://earth.google.com/web/search/-30.90064427131060,-55.54800945737330</v>
      </c>
      <c r="H2942" s="12"/>
      <c r="I2942" s="12"/>
      <c r="J2942" s="12"/>
      <c r="K2942" s="12"/>
      <c r="L2942" s="12"/>
      <c r="M2942" s="12"/>
      <c r="N2942" s="12"/>
      <c r="O2942" s="12"/>
      <c r="P2942" s="12"/>
      <c r="Q2942" s="12"/>
      <c r="R2942" s="12"/>
      <c r="S2942" s="12"/>
      <c r="T2942" s="12"/>
      <c r="U2942" s="12"/>
      <c r="V2942" s="12"/>
      <c r="W2942" s="12"/>
      <c r="X2942" s="12"/>
      <c r="Y2942" s="12"/>
      <c r="Z2942" s="12"/>
      <c r="AA2942" s="12"/>
    </row>
    <row r="2943" ht="26.25" customHeight="1">
      <c r="A2943" s="28" t="s">
        <v>5896</v>
      </c>
      <c r="B2943" s="29" t="s">
        <v>5897</v>
      </c>
      <c r="C2943" s="30">
        <v>3.0</v>
      </c>
      <c r="D2943" s="31">
        <v>297.0</v>
      </c>
      <c r="E2943" s="31">
        <v>5.0</v>
      </c>
      <c r="F2943" s="32" t="str">
        <f t="array" ref="F2943">"https://www.google.com/maps/search/?api=1&amp;query=" &amp; A2943 &amp; "," &amp; B2943</f>
        <v>https://www.google.com/maps/search/?api=1&amp;query=-30.90046800379940,-55.54786901273100</v>
      </c>
      <c r="G2943" s="33" t="str">
        <f t="array" ref="G2943">"https://earth.google.com/web/search/" &amp; A2943 &amp; "," &amp; B2943</f>
        <v>https://earth.google.com/web/search/-30.90046800379940,-55.54786901273100</v>
      </c>
      <c r="H2943" s="12"/>
      <c r="I2943" s="12"/>
      <c r="J2943" s="12"/>
      <c r="K2943" s="12"/>
      <c r="L2943" s="12"/>
      <c r="M2943" s="12"/>
      <c r="N2943" s="12"/>
      <c r="O2943" s="12"/>
      <c r="P2943" s="12"/>
      <c r="Q2943" s="12"/>
      <c r="R2943" s="12"/>
      <c r="S2943" s="12"/>
      <c r="T2943" s="12"/>
      <c r="U2943" s="12"/>
      <c r="V2943" s="12"/>
      <c r="W2943" s="12"/>
      <c r="X2943" s="12"/>
      <c r="Y2943" s="12"/>
      <c r="Z2943" s="12"/>
      <c r="AA2943" s="12"/>
    </row>
    <row r="2944" ht="26.25" customHeight="1">
      <c r="A2944" s="34" t="s">
        <v>5898</v>
      </c>
      <c r="B2944" s="35" t="s">
        <v>5899</v>
      </c>
      <c r="C2944" s="36">
        <v>3.0</v>
      </c>
      <c r="D2944" s="37">
        <v>297.0</v>
      </c>
      <c r="E2944" s="37">
        <v>6.0</v>
      </c>
      <c r="F2944" s="24" t="str">
        <f t="array" ref="F2944">"https://www.google.com/maps/search/?api=1&amp;query=" &amp; A2944 &amp; "," &amp; B2944</f>
        <v>https://www.google.com/maps/search/?api=1&amp;query=-30.90030055670780,-55.54775086232260</v>
      </c>
      <c r="G2944" s="25" t="str">
        <f t="array" ref="G2944">"https://earth.google.com/web/search/" &amp; A2944 &amp; "," &amp; B2944</f>
        <v>https://earth.google.com/web/search/-30.90030055670780,-55.54775086232260</v>
      </c>
      <c r="H2944" s="12"/>
      <c r="I2944" s="12"/>
      <c r="J2944" s="12"/>
      <c r="K2944" s="12"/>
      <c r="L2944" s="12"/>
      <c r="M2944" s="12"/>
      <c r="N2944" s="12"/>
      <c r="O2944" s="12"/>
      <c r="P2944" s="12"/>
      <c r="Q2944" s="12"/>
      <c r="R2944" s="12"/>
      <c r="S2944" s="12"/>
      <c r="T2944" s="12"/>
      <c r="U2944" s="12"/>
      <c r="V2944" s="12"/>
      <c r="W2944" s="12"/>
      <c r="X2944" s="12"/>
      <c r="Y2944" s="12"/>
      <c r="Z2944" s="12"/>
      <c r="AA2944" s="12"/>
    </row>
    <row r="2945" ht="26.25" customHeight="1">
      <c r="A2945" s="28" t="s">
        <v>5900</v>
      </c>
      <c r="B2945" s="29" t="s">
        <v>5901</v>
      </c>
      <c r="C2945" s="30">
        <v>3.0</v>
      </c>
      <c r="D2945" s="31">
        <v>297.0</v>
      </c>
      <c r="E2945" s="31">
        <v>7.0</v>
      </c>
      <c r="F2945" s="32" t="str">
        <f t="array" ref="F2945">"https://www.google.com/maps/search/?api=1&amp;query=" &amp; A2945 &amp; "," &amp; B2945</f>
        <v>https://www.google.com/maps/search/?api=1&amp;query=-30.89980604195160,-55.54853553658660</v>
      </c>
      <c r="G2945" s="33" t="str">
        <f t="array" ref="G2945">"https://earth.google.com/web/search/" &amp; A2945 &amp; "," &amp; B2945</f>
        <v>https://earth.google.com/web/search/-30.89980604195160,-55.54853553658660</v>
      </c>
      <c r="H2945" s="12"/>
      <c r="I2945" s="12"/>
      <c r="J2945" s="12"/>
      <c r="K2945" s="12"/>
      <c r="L2945" s="12"/>
      <c r="M2945" s="12"/>
      <c r="N2945" s="12"/>
      <c r="O2945" s="12"/>
      <c r="P2945" s="12"/>
      <c r="Q2945" s="12"/>
      <c r="R2945" s="12"/>
      <c r="S2945" s="12"/>
      <c r="T2945" s="12"/>
      <c r="U2945" s="12"/>
      <c r="V2945" s="12"/>
      <c r="W2945" s="12"/>
      <c r="X2945" s="12"/>
      <c r="Y2945" s="12"/>
      <c r="Z2945" s="12"/>
      <c r="AA2945" s="12"/>
    </row>
    <row r="2946" ht="26.25" customHeight="1">
      <c r="A2946" s="34" t="s">
        <v>5902</v>
      </c>
      <c r="B2946" s="35" t="s">
        <v>5903</v>
      </c>
      <c r="C2946" s="36">
        <v>3.0</v>
      </c>
      <c r="D2946" s="37">
        <v>297.0</v>
      </c>
      <c r="E2946" s="37">
        <v>8.0</v>
      </c>
      <c r="F2946" s="24" t="str">
        <f t="array" ref="F2946">"https://www.google.com/maps/search/?api=1&amp;query=" &amp; A2946 &amp; "," &amp; B2946</f>
        <v>https://www.google.com/maps/search/?api=1&amp;query=-30.90000603750810,-55.54868595839710</v>
      </c>
      <c r="G2946" s="25" t="str">
        <f t="array" ref="G2946">"https://earth.google.com/web/search/" &amp; A2946 &amp; "," &amp; B2946</f>
        <v>https://earth.google.com/web/search/-30.90000603750810,-55.54868595839710</v>
      </c>
      <c r="H2946" s="12"/>
      <c r="I2946" s="12"/>
      <c r="J2946" s="12"/>
      <c r="K2946" s="12"/>
      <c r="L2946" s="12"/>
      <c r="M2946" s="12"/>
      <c r="N2946" s="12"/>
      <c r="O2946" s="12"/>
      <c r="P2946" s="12"/>
      <c r="Q2946" s="12"/>
      <c r="R2946" s="12"/>
      <c r="S2946" s="12"/>
      <c r="T2946" s="12"/>
      <c r="U2946" s="12"/>
      <c r="V2946" s="12"/>
      <c r="W2946" s="12"/>
      <c r="X2946" s="12"/>
      <c r="Y2946" s="12"/>
      <c r="Z2946" s="12"/>
      <c r="AA2946" s="12"/>
    </row>
    <row r="2947" ht="26.25" customHeight="1">
      <c r="A2947" s="28" t="s">
        <v>5904</v>
      </c>
      <c r="B2947" s="29" t="s">
        <v>5905</v>
      </c>
      <c r="C2947" s="30">
        <v>3.0</v>
      </c>
      <c r="D2947" s="31">
        <v>297.0</v>
      </c>
      <c r="E2947" s="31">
        <v>9.0</v>
      </c>
      <c r="F2947" s="32" t="str">
        <f t="array" ref="F2947">"https://www.google.com/maps/search/?api=1&amp;query=" &amp; A2947 &amp; "," &amp; B2947</f>
        <v>https://www.google.com/maps/search/?api=1&amp;query=-3.09005870898695,-0.55547954759556</v>
      </c>
      <c r="G2947" s="33" t="str">
        <f t="array" ref="G2947">"https://earth.google.com/web/search/" &amp; A2947 &amp; "," &amp; B2947</f>
        <v>https://earth.google.com/web/search/-3.09005870898695,-0.55547954759556</v>
      </c>
      <c r="H2947" s="12"/>
      <c r="I2947" s="12"/>
      <c r="J2947" s="12"/>
      <c r="K2947" s="12"/>
      <c r="L2947" s="12"/>
      <c r="M2947" s="12"/>
      <c r="N2947" s="12"/>
      <c r="O2947" s="12"/>
      <c r="P2947" s="12"/>
      <c r="Q2947" s="12"/>
      <c r="R2947" s="12"/>
      <c r="S2947" s="12"/>
      <c r="T2947" s="12"/>
      <c r="U2947" s="12"/>
      <c r="V2947" s="12"/>
      <c r="W2947" s="12"/>
      <c r="X2947" s="12"/>
      <c r="Y2947" s="12"/>
      <c r="Z2947" s="12"/>
      <c r="AA2947" s="12"/>
    </row>
    <row r="2948" ht="26.25" customHeight="1">
      <c r="A2948" s="34" t="s">
        <v>5906</v>
      </c>
      <c r="B2948" s="35" t="s">
        <v>5907</v>
      </c>
      <c r="C2948" s="36">
        <v>3.0</v>
      </c>
      <c r="D2948" s="37">
        <v>298.0</v>
      </c>
      <c r="E2948" s="37">
        <v>1.0</v>
      </c>
      <c r="F2948" s="24" t="str">
        <f t="array" ref="F2948">"https://www.google.com/maps/search/?api=1&amp;query=" &amp; A2948 &amp; "," &amp; B2948</f>
        <v>https://www.google.com/maps/search/?api=1&amp;query=-30.89998128215450,-55.54984283710540</v>
      </c>
      <c r="G2948" s="25" t="str">
        <f t="array" ref="G2948">"https://earth.google.com/web/search/" &amp; A2948 &amp; "," &amp; B2948</f>
        <v>https://earth.google.com/web/search/-30.89998128215450,-55.54984283710540</v>
      </c>
      <c r="H2948" s="12"/>
      <c r="I2948" s="12"/>
      <c r="J2948" s="12"/>
      <c r="K2948" s="12"/>
      <c r="L2948" s="12"/>
      <c r="M2948" s="12"/>
      <c r="N2948" s="12"/>
      <c r="O2948" s="12"/>
      <c r="P2948" s="12"/>
      <c r="Q2948" s="12"/>
      <c r="R2948" s="12"/>
      <c r="S2948" s="12"/>
      <c r="T2948" s="12"/>
      <c r="U2948" s="12"/>
      <c r="V2948" s="12"/>
      <c r="W2948" s="12"/>
      <c r="X2948" s="12"/>
      <c r="Y2948" s="12"/>
      <c r="Z2948" s="12"/>
      <c r="AA2948" s="12"/>
    </row>
    <row r="2949" ht="26.25" customHeight="1">
      <c r="A2949" s="28" t="s">
        <v>5908</v>
      </c>
      <c r="B2949" s="29" t="s">
        <v>5909</v>
      </c>
      <c r="C2949" s="30">
        <v>3.0</v>
      </c>
      <c r="D2949" s="31">
        <v>298.0</v>
      </c>
      <c r="E2949" s="31">
        <v>2.0</v>
      </c>
      <c r="F2949" s="32" t="str">
        <f t="array" ref="F2949">"https://www.google.com/maps/search/?api=1&amp;query=" &amp; A2949 &amp; "," &amp; B2949</f>
        <v>https://www.google.com/maps/search/?api=1&amp;query=-30.90002908093660,-55.54977201122950</v>
      </c>
      <c r="G2949" s="33" t="str">
        <f t="array" ref="G2949">"https://earth.google.com/web/search/" &amp; A2949 &amp; "," &amp; B2949</f>
        <v>https://earth.google.com/web/search/-30.90002908093660,-55.54977201122950</v>
      </c>
      <c r="H2949" s="12"/>
      <c r="I2949" s="12"/>
      <c r="J2949" s="12"/>
      <c r="K2949" s="12"/>
      <c r="L2949" s="12"/>
      <c r="M2949" s="12"/>
      <c r="N2949" s="12"/>
      <c r="O2949" s="12"/>
      <c r="P2949" s="12"/>
      <c r="Q2949" s="12"/>
      <c r="R2949" s="12"/>
      <c r="S2949" s="12"/>
      <c r="T2949" s="12"/>
      <c r="U2949" s="12"/>
      <c r="V2949" s="12"/>
      <c r="W2949" s="12"/>
      <c r="X2949" s="12"/>
      <c r="Y2949" s="12"/>
      <c r="Z2949" s="12"/>
      <c r="AA2949" s="12"/>
    </row>
    <row r="2950" ht="26.25" customHeight="1">
      <c r="A2950" s="34" t="s">
        <v>5910</v>
      </c>
      <c r="B2950" s="35" t="s">
        <v>5911</v>
      </c>
      <c r="C2950" s="36">
        <v>3.0</v>
      </c>
      <c r="D2950" s="37">
        <v>298.0</v>
      </c>
      <c r="E2950" s="37">
        <v>3.0</v>
      </c>
      <c r="F2950" s="24" t="str">
        <f t="array" ref="F2950">"https://www.google.com/maps/search/?api=1&amp;query=" &amp; A2950 &amp; "," &amp; B2950</f>
        <v>https://www.google.com/maps/search/?api=1&amp;query=-30.90005287706930,-55.54971591007410</v>
      </c>
      <c r="G2950" s="25" t="str">
        <f t="array" ref="G2950">"https://earth.google.com/web/search/" &amp; A2950 &amp; "," &amp; B2950</f>
        <v>https://earth.google.com/web/search/-30.90005287706930,-55.54971591007410</v>
      </c>
      <c r="H2950" s="12"/>
      <c r="I2950" s="12"/>
      <c r="J2950" s="12"/>
      <c r="K2950" s="12"/>
      <c r="L2950" s="12"/>
      <c r="M2950" s="12"/>
      <c r="N2950" s="12"/>
      <c r="O2950" s="12"/>
      <c r="P2950" s="12"/>
      <c r="Q2950" s="12"/>
      <c r="R2950" s="12"/>
      <c r="S2950" s="12"/>
      <c r="T2950" s="12"/>
      <c r="U2950" s="12"/>
      <c r="V2950" s="12"/>
      <c r="W2950" s="12"/>
      <c r="X2950" s="12"/>
      <c r="Y2950" s="12"/>
      <c r="Z2950" s="12"/>
      <c r="AA2950" s="12"/>
    </row>
    <row r="2951" ht="26.25" customHeight="1">
      <c r="A2951" s="28" t="s">
        <v>5912</v>
      </c>
      <c r="B2951" s="29" t="s">
        <v>5913</v>
      </c>
      <c r="C2951" s="30">
        <v>3.0</v>
      </c>
      <c r="D2951" s="31">
        <v>298.0</v>
      </c>
      <c r="E2951" s="31">
        <v>4.0</v>
      </c>
      <c r="F2951" s="32" t="str">
        <f t="array" ref="F2951">"https://www.google.com/maps/search/?api=1&amp;query=" &amp; A2951 &amp; "," &amp; B2951</f>
        <v>https://www.google.com/maps/search/?api=1&amp;query=-30.90028027531910,-55.54898884151700</v>
      </c>
      <c r="G2951" s="33" t="str">
        <f t="array" ref="G2951">"https://earth.google.com/web/search/" &amp; A2951 &amp; "," &amp; B2951</f>
        <v>https://earth.google.com/web/search/-30.90028027531910,-55.54898884151700</v>
      </c>
      <c r="H2951" s="12"/>
      <c r="I2951" s="12"/>
      <c r="J2951" s="12"/>
      <c r="K2951" s="12"/>
      <c r="L2951" s="12"/>
      <c r="M2951" s="12"/>
      <c r="N2951" s="12"/>
      <c r="O2951" s="12"/>
      <c r="P2951" s="12"/>
      <c r="Q2951" s="12"/>
      <c r="R2951" s="12"/>
      <c r="S2951" s="12"/>
      <c r="T2951" s="12"/>
      <c r="U2951" s="12"/>
      <c r="V2951" s="12"/>
      <c r="W2951" s="12"/>
      <c r="X2951" s="12"/>
      <c r="Y2951" s="12"/>
      <c r="Z2951" s="12"/>
      <c r="AA2951" s="12"/>
    </row>
    <row r="2952" ht="26.25" customHeight="1">
      <c r="A2952" s="34" t="s">
        <v>5914</v>
      </c>
      <c r="B2952" s="35" t="s">
        <v>5915</v>
      </c>
      <c r="C2952" s="36">
        <v>3.0</v>
      </c>
      <c r="D2952" s="37">
        <v>298.0</v>
      </c>
      <c r="E2952" s="37">
        <v>5.0</v>
      </c>
      <c r="F2952" s="24" t="str">
        <f t="array" ref="F2952">"https://www.google.com/maps/search/?api=1&amp;query=" &amp; A2952 &amp; "," &amp; B2952</f>
        <v>https://www.google.com/maps/search/?api=1&amp;query=-3.09002066865656,-55.54893749767410</v>
      </c>
      <c r="G2952" s="25" t="str">
        <f t="array" ref="G2952">"https://earth.google.com/web/search/" &amp; A2952 &amp; "," &amp; B2952</f>
        <v>https://earth.google.com/web/search/-3.09002066865656,-55.54893749767410</v>
      </c>
      <c r="H2952" s="12"/>
      <c r="I2952" s="12"/>
      <c r="J2952" s="12"/>
      <c r="K2952" s="12"/>
      <c r="L2952" s="12"/>
      <c r="M2952" s="12"/>
      <c r="N2952" s="12"/>
      <c r="O2952" s="12"/>
      <c r="P2952" s="12"/>
      <c r="Q2952" s="12"/>
      <c r="R2952" s="12"/>
      <c r="S2952" s="12"/>
      <c r="T2952" s="12"/>
      <c r="U2952" s="12"/>
      <c r="V2952" s="12"/>
      <c r="W2952" s="12"/>
      <c r="X2952" s="12"/>
      <c r="Y2952" s="12"/>
      <c r="Z2952" s="12"/>
      <c r="AA2952" s="12"/>
    </row>
    <row r="2953" ht="26.25" customHeight="1">
      <c r="A2953" s="28" t="s">
        <v>5916</v>
      </c>
      <c r="B2953" s="29" t="s">
        <v>5917</v>
      </c>
      <c r="C2953" s="30">
        <v>3.0</v>
      </c>
      <c r="D2953" s="31">
        <v>298.0</v>
      </c>
      <c r="E2953" s="31">
        <v>6.0</v>
      </c>
      <c r="F2953" s="32" t="str">
        <f t="array" ref="F2953">"https://www.google.com/maps/search/?api=1&amp;query=" &amp; A2953 &amp; "," &amp; B2953</f>
        <v>https://www.google.com/maps/search/?api=1&amp;query=-30.90007222139880,-5.55488361832499</v>
      </c>
      <c r="G2953" s="33" t="str">
        <f t="array" ref="G2953">"https://earth.google.com/web/search/" &amp; A2953 &amp; "," &amp; B2953</f>
        <v>https://earth.google.com/web/search/-30.90007222139880,-5.55488361832499</v>
      </c>
      <c r="H2953" s="12"/>
      <c r="I2953" s="12"/>
      <c r="J2953" s="12"/>
      <c r="K2953" s="12"/>
      <c r="L2953" s="12"/>
      <c r="M2953" s="12"/>
      <c r="N2953" s="12"/>
      <c r="O2953" s="12"/>
      <c r="P2953" s="12"/>
      <c r="Q2953" s="12"/>
      <c r="R2953" s="12"/>
      <c r="S2953" s="12"/>
      <c r="T2953" s="12"/>
      <c r="U2953" s="12"/>
      <c r="V2953" s="12"/>
      <c r="W2953" s="12"/>
      <c r="X2953" s="12"/>
      <c r="Y2953" s="12"/>
      <c r="Z2953" s="12"/>
      <c r="AA2953" s="12"/>
    </row>
    <row r="2954" ht="26.25" customHeight="1">
      <c r="A2954" s="34" t="s">
        <v>5918</v>
      </c>
      <c r="B2954" s="35" t="s">
        <v>5919</v>
      </c>
      <c r="C2954" s="36">
        <v>3.0</v>
      </c>
      <c r="D2954" s="37">
        <v>298.0</v>
      </c>
      <c r="E2954" s="37">
        <v>7.0</v>
      </c>
      <c r="F2954" s="24" t="str">
        <f t="array" ref="F2954">"https://www.google.com/maps/search/?api=1&amp;query=" &amp; A2954 &amp; "," &amp; B2954</f>
        <v>https://www.google.com/maps/search/?api=1&amp;query=-30.89997909788810,-55.54877617666440</v>
      </c>
      <c r="G2954" s="25" t="str">
        <f t="array" ref="G2954">"https://earth.google.com/web/search/" &amp; A2954 &amp; "," &amp; B2954</f>
        <v>https://earth.google.com/web/search/-30.89997909788810,-55.54877617666440</v>
      </c>
      <c r="H2954" s="12"/>
      <c r="I2954" s="12"/>
      <c r="J2954" s="12"/>
      <c r="K2954" s="12"/>
      <c r="L2954" s="12"/>
      <c r="M2954" s="12"/>
      <c r="N2954" s="12"/>
      <c r="O2954" s="12"/>
      <c r="P2954" s="12"/>
      <c r="Q2954" s="12"/>
      <c r="R2954" s="12"/>
      <c r="S2954" s="12"/>
      <c r="T2954" s="12"/>
      <c r="U2954" s="12"/>
      <c r="V2954" s="12"/>
      <c r="W2954" s="12"/>
      <c r="X2954" s="12"/>
      <c r="Y2954" s="12"/>
      <c r="Z2954" s="12"/>
      <c r="AA2954" s="12"/>
    </row>
    <row r="2955" ht="26.25" customHeight="1">
      <c r="A2955" s="28" t="s">
        <v>5920</v>
      </c>
      <c r="B2955" s="29" t="s">
        <v>5921</v>
      </c>
      <c r="C2955" s="30">
        <v>3.0</v>
      </c>
      <c r="D2955" s="31">
        <v>298.0</v>
      </c>
      <c r="E2955" s="31">
        <v>8.0</v>
      </c>
      <c r="F2955" s="32" t="str">
        <f t="array" ref="F2955">"https://www.google.com/maps/search/?api=1&amp;query=" &amp; A2955 &amp; "," &amp; B2955</f>
        <v>https://www.google.com/maps/search/?api=1&amp;query=-3.08996246226769,-55.54871137974510</v>
      </c>
      <c r="G2955" s="33" t="str">
        <f t="array" ref="G2955">"https://earth.google.com/web/search/" &amp; A2955 &amp; "," &amp; B2955</f>
        <v>https://earth.google.com/web/search/-3.08996246226769,-55.54871137974510</v>
      </c>
      <c r="H2955" s="12"/>
      <c r="I2955" s="12"/>
      <c r="J2955" s="12"/>
      <c r="K2955" s="12"/>
      <c r="L2955" s="12"/>
      <c r="M2955" s="12"/>
      <c r="N2955" s="12"/>
      <c r="O2955" s="12"/>
      <c r="P2955" s="12"/>
      <c r="Q2955" s="12"/>
      <c r="R2955" s="12"/>
      <c r="S2955" s="12"/>
      <c r="T2955" s="12"/>
      <c r="U2955" s="12"/>
      <c r="V2955" s="12"/>
      <c r="W2955" s="12"/>
      <c r="X2955" s="12"/>
      <c r="Y2955" s="12"/>
      <c r="Z2955" s="12"/>
      <c r="AA2955" s="12"/>
    </row>
    <row r="2956" ht="26.25" customHeight="1">
      <c r="A2956" s="34" t="s">
        <v>5922</v>
      </c>
      <c r="B2956" s="35" t="s">
        <v>5923</v>
      </c>
      <c r="C2956" s="36">
        <v>3.0</v>
      </c>
      <c r="D2956" s="37">
        <v>298.0</v>
      </c>
      <c r="E2956" s="37">
        <v>9.0</v>
      </c>
      <c r="F2956" s="24" t="str">
        <f t="array" ref="F2956">"https://www.google.com/maps/search/?api=1&amp;query=" &amp; A2956 &amp; "," &amp; B2956</f>
        <v>https://www.google.com/maps/search/?api=1&amp;query=-30.89957007957400,-55.54877426061050</v>
      </c>
      <c r="G2956" s="25" t="str">
        <f t="array" ref="G2956">"https://earth.google.com/web/search/" &amp; A2956 &amp; "," &amp; B2956</f>
        <v>https://earth.google.com/web/search/-30.89957007957400,-55.54877426061050</v>
      </c>
      <c r="H2956" s="12"/>
      <c r="I2956" s="12"/>
      <c r="J2956" s="12"/>
      <c r="K2956" s="12"/>
      <c r="L2956" s="12"/>
      <c r="M2956" s="12"/>
      <c r="N2956" s="12"/>
      <c r="O2956" s="12"/>
      <c r="P2956" s="12"/>
      <c r="Q2956" s="12"/>
      <c r="R2956" s="12"/>
      <c r="S2956" s="12"/>
      <c r="T2956" s="12"/>
      <c r="U2956" s="12"/>
      <c r="V2956" s="12"/>
      <c r="W2956" s="12"/>
      <c r="X2956" s="12"/>
      <c r="Y2956" s="12"/>
      <c r="Z2956" s="12"/>
      <c r="AA2956" s="12"/>
    </row>
    <row r="2957" ht="26.25" customHeight="1">
      <c r="A2957" s="28" t="s">
        <v>5924</v>
      </c>
      <c r="B2957" s="29" t="s">
        <v>5925</v>
      </c>
      <c r="C2957" s="30">
        <v>3.0</v>
      </c>
      <c r="D2957" s="31">
        <v>298.0</v>
      </c>
      <c r="E2957" s="31">
        <v>10.0</v>
      </c>
      <c r="F2957" s="32" t="str">
        <f t="array" ref="F2957">"https://www.google.com/maps/search/?api=1&amp;query=" &amp; A2957 &amp; "," &amp; B2957</f>
        <v>https://www.google.com/maps/search/?api=1&amp;query=-30.89951005944710,-55.54889986636010</v>
      </c>
      <c r="G2957" s="33" t="str">
        <f t="array" ref="G2957">"https://earth.google.com/web/search/" &amp; A2957 &amp; "," &amp; B2957</f>
        <v>https://earth.google.com/web/search/-30.89951005944710,-55.54889986636010</v>
      </c>
      <c r="H2957" s="12"/>
      <c r="I2957" s="12"/>
      <c r="J2957" s="12"/>
      <c r="K2957" s="12"/>
      <c r="L2957" s="12"/>
      <c r="M2957" s="12"/>
      <c r="N2957" s="12"/>
      <c r="O2957" s="12"/>
      <c r="P2957" s="12"/>
      <c r="Q2957" s="12"/>
      <c r="R2957" s="12"/>
      <c r="S2957" s="12"/>
      <c r="T2957" s="12"/>
      <c r="U2957" s="12"/>
      <c r="V2957" s="12"/>
      <c r="W2957" s="12"/>
      <c r="X2957" s="12"/>
      <c r="Y2957" s="12"/>
      <c r="Z2957" s="12"/>
      <c r="AA2957" s="12"/>
    </row>
    <row r="2958" ht="26.25" customHeight="1">
      <c r="A2958" s="34" t="s">
        <v>5926</v>
      </c>
      <c r="B2958" s="35" t="s">
        <v>5927</v>
      </c>
      <c r="C2958" s="36">
        <v>3.0</v>
      </c>
      <c r="D2958" s="37">
        <v>298.0</v>
      </c>
      <c r="E2958" s="37">
        <v>11.0</v>
      </c>
      <c r="F2958" s="24" t="str">
        <f t="array" ref="F2958">"https://www.google.com/maps/search/?api=1&amp;query=" &amp; A2958 &amp; "," &amp; B2958</f>
        <v>https://www.google.com/maps/search/?api=1&amp;query=-30.89944087996550,-55.54902215976300</v>
      </c>
      <c r="G2958" s="25" t="str">
        <f t="array" ref="G2958">"https://earth.google.com/web/search/" &amp; A2958 &amp; "," &amp; B2958</f>
        <v>https://earth.google.com/web/search/-30.89944087996550,-55.54902215976300</v>
      </c>
      <c r="H2958" s="12"/>
      <c r="I2958" s="12"/>
      <c r="J2958" s="12"/>
      <c r="K2958" s="12"/>
      <c r="L2958" s="12"/>
      <c r="M2958" s="12"/>
      <c r="N2958" s="12"/>
      <c r="O2958" s="12"/>
      <c r="P2958" s="12"/>
      <c r="Q2958" s="12"/>
      <c r="R2958" s="12"/>
      <c r="S2958" s="12"/>
      <c r="T2958" s="12"/>
      <c r="U2958" s="12"/>
      <c r="V2958" s="12"/>
      <c r="W2958" s="12"/>
      <c r="X2958" s="12"/>
      <c r="Y2958" s="12"/>
      <c r="Z2958" s="12"/>
      <c r="AA2958" s="12"/>
    </row>
    <row r="2959" ht="26.25" customHeight="1">
      <c r="A2959" s="28" t="s">
        <v>5928</v>
      </c>
      <c r="B2959" s="29" t="s">
        <v>5929</v>
      </c>
      <c r="C2959" s="30">
        <v>3.0</v>
      </c>
      <c r="D2959" s="31">
        <v>298.0</v>
      </c>
      <c r="E2959" s="31">
        <v>12.0</v>
      </c>
      <c r="F2959" s="32" t="str">
        <f t="array" ref="F2959">"https://www.google.com/maps/search/?api=1&amp;query=" &amp; A2959 &amp; "," &amp; B2959</f>
        <v>https://www.google.com/maps/search/?api=1&amp;query=-30.89935849173290,-55.54915413207070</v>
      </c>
      <c r="G2959" s="33" t="str">
        <f t="array" ref="G2959">"https://earth.google.com/web/search/" &amp; A2959 &amp; "," &amp; B2959</f>
        <v>https://earth.google.com/web/search/-30.89935849173290,-55.54915413207070</v>
      </c>
      <c r="H2959" s="12"/>
      <c r="I2959" s="12"/>
      <c r="J2959" s="12"/>
      <c r="K2959" s="12"/>
      <c r="L2959" s="12"/>
      <c r="M2959" s="12"/>
      <c r="N2959" s="12"/>
      <c r="O2959" s="12"/>
      <c r="P2959" s="12"/>
      <c r="Q2959" s="12"/>
      <c r="R2959" s="12"/>
      <c r="S2959" s="12"/>
      <c r="T2959" s="12"/>
      <c r="U2959" s="12"/>
      <c r="V2959" s="12"/>
      <c r="W2959" s="12"/>
      <c r="X2959" s="12"/>
      <c r="Y2959" s="12"/>
      <c r="Z2959" s="12"/>
      <c r="AA2959" s="12"/>
    </row>
    <row r="2960" ht="26.25" customHeight="1">
      <c r="A2960" s="34" t="s">
        <v>5930</v>
      </c>
      <c r="B2960" s="35" t="s">
        <v>5931</v>
      </c>
      <c r="C2960" s="36">
        <v>3.0</v>
      </c>
      <c r="D2960" s="37">
        <v>298.0</v>
      </c>
      <c r="E2960" s="37">
        <v>13.0</v>
      </c>
      <c r="F2960" s="24" t="str">
        <f t="array" ref="F2960">"https://www.google.com/maps/search/?api=1&amp;query=" &amp; A2960 &amp; "," &amp; B2960</f>
        <v>https://www.google.com/maps/search/?api=1&amp;query=-30.89954784469070,-55.54883780983490</v>
      </c>
      <c r="G2960" s="25" t="str">
        <f t="array" ref="G2960">"https://earth.google.com/web/search/" &amp; A2960 &amp; "," &amp; B2960</f>
        <v>https://earth.google.com/web/search/-30.89954784469070,-55.54883780983490</v>
      </c>
      <c r="H2960" s="12"/>
      <c r="I2960" s="12"/>
      <c r="J2960" s="12"/>
      <c r="K2960" s="12"/>
      <c r="L2960" s="12"/>
      <c r="M2960" s="12"/>
      <c r="N2960" s="12"/>
      <c r="O2960" s="12"/>
      <c r="P2960" s="12"/>
      <c r="Q2960" s="12"/>
      <c r="R2960" s="12"/>
      <c r="S2960" s="12"/>
      <c r="T2960" s="12"/>
      <c r="U2960" s="12"/>
      <c r="V2960" s="12"/>
      <c r="W2960" s="12"/>
      <c r="X2960" s="12"/>
      <c r="Y2960" s="12"/>
      <c r="Z2960" s="12"/>
      <c r="AA2960" s="12"/>
    </row>
    <row r="2961" ht="26.25" customHeight="1">
      <c r="A2961" s="28" t="s">
        <v>5932</v>
      </c>
      <c r="B2961" s="29" t="s">
        <v>5933</v>
      </c>
      <c r="C2961" s="30">
        <v>3.0</v>
      </c>
      <c r="D2961" s="31">
        <v>298.0</v>
      </c>
      <c r="E2961" s="31">
        <v>14.0</v>
      </c>
      <c r="F2961" s="32" t="str">
        <f t="array" ref="F2961">"https://www.google.com/maps/search/?api=1&amp;query=" &amp; A2961 &amp; "," &amp; B2961</f>
        <v>https://www.google.com/maps/search/?api=1&amp;query=-30.89928660356990,-5.55493442807099</v>
      </c>
      <c r="G2961" s="33" t="str">
        <f t="array" ref="G2961">"https://earth.google.com/web/search/" &amp; A2961 &amp; "," &amp; B2961</f>
        <v>https://earth.google.com/web/search/-30.89928660356990,-5.55493442807099</v>
      </c>
      <c r="H2961" s="12"/>
      <c r="I2961" s="12"/>
      <c r="J2961" s="12"/>
      <c r="K2961" s="12"/>
      <c r="L2961" s="12"/>
      <c r="M2961" s="12"/>
      <c r="N2961" s="12"/>
      <c r="O2961" s="12"/>
      <c r="P2961" s="12"/>
      <c r="Q2961" s="12"/>
      <c r="R2961" s="12"/>
      <c r="S2961" s="12"/>
      <c r="T2961" s="12"/>
      <c r="U2961" s="12"/>
      <c r="V2961" s="12"/>
      <c r="W2961" s="12"/>
      <c r="X2961" s="12"/>
      <c r="Y2961" s="12"/>
      <c r="Z2961" s="12"/>
      <c r="AA2961" s="12"/>
    </row>
    <row r="2962" ht="26.25" customHeight="1">
      <c r="A2962" s="34" t="s">
        <v>5934</v>
      </c>
      <c r="B2962" s="35" t="s">
        <v>5935</v>
      </c>
      <c r="C2962" s="36">
        <v>3.0</v>
      </c>
      <c r="D2962" s="37">
        <v>298.0</v>
      </c>
      <c r="E2962" s="37">
        <v>15.0</v>
      </c>
      <c r="F2962" s="24" t="str">
        <f t="array" ref="F2962">"https://www.google.com/maps/search/?api=1&amp;query=" &amp; A2962 &amp; "," &amp; B2962</f>
        <v>https://www.google.com/maps/search/?api=1&amp;query=-30.89935556762020,-55.54945673030980</v>
      </c>
      <c r="G2962" s="25" t="str">
        <f t="array" ref="G2962">"https://earth.google.com/web/search/" &amp; A2962 &amp; "," &amp; B2962</f>
        <v>https://earth.google.com/web/search/-30.89935556762020,-55.54945673030980</v>
      </c>
      <c r="H2962" s="12"/>
      <c r="I2962" s="12"/>
      <c r="J2962" s="12"/>
      <c r="K2962" s="12"/>
      <c r="L2962" s="12"/>
      <c r="M2962" s="12"/>
      <c r="N2962" s="12"/>
      <c r="O2962" s="12"/>
      <c r="P2962" s="12"/>
      <c r="Q2962" s="12"/>
      <c r="R2962" s="12"/>
      <c r="S2962" s="12"/>
      <c r="T2962" s="12"/>
      <c r="U2962" s="12"/>
      <c r="V2962" s="12"/>
      <c r="W2962" s="12"/>
      <c r="X2962" s="12"/>
      <c r="Y2962" s="12"/>
      <c r="Z2962" s="12"/>
      <c r="AA2962" s="12"/>
    </row>
    <row r="2963" ht="26.25" customHeight="1">
      <c r="A2963" s="28" t="s">
        <v>5936</v>
      </c>
      <c r="B2963" s="29" t="s">
        <v>5937</v>
      </c>
      <c r="C2963" s="30">
        <v>3.0</v>
      </c>
      <c r="D2963" s="31">
        <v>298.0</v>
      </c>
      <c r="E2963" s="31">
        <v>16.0</v>
      </c>
      <c r="F2963" s="32" t="str">
        <f t="array" ref="F2963">"https://www.google.com/maps/search/?api=1&amp;query=" &amp; A2963 &amp; "," &amp; B2963</f>
        <v>https://www.google.com/maps/search/?api=1&amp;query=-30.89943731548700,-55.54952289790490</v>
      </c>
      <c r="G2963" s="33" t="str">
        <f t="array" ref="G2963">"https://earth.google.com/web/search/" &amp; A2963 &amp; "," &amp; B2963</f>
        <v>https://earth.google.com/web/search/-30.89943731548700,-55.54952289790490</v>
      </c>
      <c r="H2963" s="12"/>
      <c r="I2963" s="12"/>
      <c r="J2963" s="12"/>
      <c r="K2963" s="12"/>
      <c r="L2963" s="12"/>
      <c r="M2963" s="12"/>
      <c r="N2963" s="12"/>
      <c r="O2963" s="12"/>
      <c r="P2963" s="12"/>
      <c r="Q2963" s="12"/>
      <c r="R2963" s="12"/>
      <c r="S2963" s="12"/>
      <c r="T2963" s="12"/>
      <c r="U2963" s="12"/>
      <c r="V2963" s="12"/>
      <c r="W2963" s="12"/>
      <c r="X2963" s="12"/>
      <c r="Y2963" s="12"/>
      <c r="Z2963" s="12"/>
      <c r="AA2963" s="12"/>
    </row>
    <row r="2964" ht="26.25" customHeight="1">
      <c r="A2964" s="34" t="s">
        <v>5938</v>
      </c>
      <c r="B2964" s="35" t="s">
        <v>5939</v>
      </c>
      <c r="C2964" s="36">
        <v>3.0</v>
      </c>
      <c r="D2964" s="37">
        <v>299.0</v>
      </c>
      <c r="E2964" s="37">
        <v>1.0</v>
      </c>
      <c r="F2964" s="24" t="str">
        <f t="array" ref="F2964">"https://www.google.com/maps/search/?api=1&amp;query=" &amp; A2964 &amp; "," &amp; B2964</f>
        <v>https://www.google.com/maps/search/?api=1&amp;query=-30.89965013606890,-55.55054086231890</v>
      </c>
      <c r="G2964" s="25" t="str">
        <f t="array" ref="G2964">"https://earth.google.com/web/search/" &amp; A2964 &amp; "," &amp; B2964</f>
        <v>https://earth.google.com/web/search/-30.89965013606890,-55.55054086231890</v>
      </c>
      <c r="H2964" s="12"/>
      <c r="I2964" s="12"/>
      <c r="J2964" s="12"/>
      <c r="K2964" s="12"/>
      <c r="L2964" s="12"/>
      <c r="M2964" s="12"/>
      <c r="N2964" s="12"/>
      <c r="O2964" s="12"/>
      <c r="P2964" s="12"/>
      <c r="Q2964" s="12"/>
      <c r="R2964" s="12"/>
      <c r="S2964" s="12"/>
      <c r="T2964" s="12"/>
      <c r="U2964" s="12"/>
      <c r="V2964" s="12"/>
      <c r="W2964" s="12"/>
      <c r="X2964" s="12"/>
      <c r="Y2964" s="12"/>
      <c r="Z2964" s="12"/>
      <c r="AA2964" s="12"/>
    </row>
    <row r="2965" ht="26.25" customHeight="1">
      <c r="A2965" s="28" t="s">
        <v>5940</v>
      </c>
      <c r="B2965" s="29" t="s">
        <v>5941</v>
      </c>
      <c r="C2965" s="30">
        <v>3.0</v>
      </c>
      <c r="D2965" s="31">
        <v>299.0</v>
      </c>
      <c r="E2965" s="31">
        <v>2.0</v>
      </c>
      <c r="F2965" s="32" t="str">
        <f t="array" ref="F2965">"https://www.google.com/maps/search/?api=1&amp;query=" &amp; A2965 &amp; "," &amp; B2965</f>
        <v>https://www.google.com/maps/search/?api=1&amp;query=-30.89967890995150,-55.55044388334020</v>
      </c>
      <c r="G2965" s="33" t="str">
        <f t="array" ref="G2965">"https://earth.google.com/web/search/" &amp; A2965 &amp; "," &amp; B2965</f>
        <v>https://earth.google.com/web/search/-30.89967890995150,-55.55044388334020</v>
      </c>
      <c r="H2965" s="12"/>
      <c r="I2965" s="12"/>
      <c r="J2965" s="12"/>
      <c r="K2965" s="12"/>
      <c r="L2965" s="12"/>
      <c r="M2965" s="12"/>
      <c r="N2965" s="12"/>
      <c r="O2965" s="12"/>
      <c r="P2965" s="12"/>
      <c r="Q2965" s="12"/>
      <c r="R2965" s="12"/>
      <c r="S2965" s="12"/>
      <c r="T2965" s="12"/>
      <c r="U2965" s="12"/>
      <c r="V2965" s="12"/>
      <c r="W2965" s="12"/>
      <c r="X2965" s="12"/>
      <c r="Y2965" s="12"/>
      <c r="Z2965" s="12"/>
      <c r="AA2965" s="12"/>
    </row>
    <row r="2966" ht="26.25" customHeight="1">
      <c r="A2966" s="34" t="s">
        <v>5942</v>
      </c>
      <c r="B2966" s="35" t="s">
        <v>5943</v>
      </c>
      <c r="C2966" s="36">
        <v>3.0</v>
      </c>
      <c r="D2966" s="37">
        <v>299.0</v>
      </c>
      <c r="E2966" s="37">
        <v>3.0</v>
      </c>
      <c r="F2966" s="24" t="str">
        <f t="array" ref="F2966">"https://www.google.com/maps/search/?api=1&amp;query=" &amp; A2966 &amp; "," &amp; B2966</f>
        <v>https://www.google.com/maps/search/?api=1&amp;query=-30.89947865094490,-5.55496741639624</v>
      </c>
      <c r="G2966" s="25" t="str">
        <f t="array" ref="G2966">"https://earth.google.com/web/search/" &amp; A2966 &amp; "," &amp; B2966</f>
        <v>https://earth.google.com/web/search/-30.89947865094490,-5.55496741639624</v>
      </c>
      <c r="H2966" s="12"/>
      <c r="I2966" s="12"/>
      <c r="J2966" s="12"/>
      <c r="K2966" s="12"/>
      <c r="L2966" s="12"/>
      <c r="M2966" s="12"/>
      <c r="N2966" s="12"/>
      <c r="O2966" s="12"/>
      <c r="P2966" s="12"/>
      <c r="Q2966" s="12"/>
      <c r="R2966" s="12"/>
      <c r="S2966" s="12"/>
      <c r="T2966" s="12"/>
      <c r="U2966" s="12"/>
      <c r="V2966" s="12"/>
      <c r="W2966" s="12"/>
      <c r="X2966" s="12"/>
      <c r="Y2966" s="12"/>
      <c r="Z2966" s="12"/>
      <c r="AA2966" s="12"/>
    </row>
    <row r="2967" ht="26.25" customHeight="1">
      <c r="A2967" s="28" t="s">
        <v>5944</v>
      </c>
      <c r="B2967" s="29" t="s">
        <v>5945</v>
      </c>
      <c r="C2967" s="30">
        <v>3.0</v>
      </c>
      <c r="D2967" s="31">
        <v>299.0</v>
      </c>
      <c r="E2967" s="31">
        <v>4.0</v>
      </c>
      <c r="F2967" s="32" t="str">
        <f t="array" ref="F2967">"https://www.google.com/maps/search/?api=1&amp;query=" &amp; A2967 &amp; "," &amp; B2967</f>
        <v>https://www.google.com/maps/search/?api=1&amp;query=-30.89913156033580,-55.54957388339600</v>
      </c>
      <c r="G2967" s="33" t="str">
        <f t="array" ref="G2967">"https://earth.google.com/web/search/" &amp; A2967 &amp; "," &amp; B2967</f>
        <v>https://earth.google.com/web/search/-30.89913156033580,-55.54957388339600</v>
      </c>
      <c r="H2967" s="12"/>
      <c r="I2967" s="12"/>
      <c r="J2967" s="12"/>
      <c r="K2967" s="12"/>
      <c r="L2967" s="12"/>
      <c r="M2967" s="12"/>
      <c r="N2967" s="12"/>
      <c r="O2967" s="12"/>
      <c r="P2967" s="12"/>
      <c r="Q2967" s="12"/>
      <c r="R2967" s="12"/>
      <c r="S2967" s="12"/>
      <c r="T2967" s="12"/>
      <c r="U2967" s="12"/>
      <c r="V2967" s="12"/>
      <c r="W2967" s="12"/>
      <c r="X2967" s="12"/>
      <c r="Y2967" s="12"/>
      <c r="Z2967" s="12"/>
      <c r="AA2967" s="12"/>
    </row>
    <row r="2968" ht="26.25" customHeight="1">
      <c r="A2968" s="34" t="s">
        <v>5946</v>
      </c>
      <c r="B2968" s="35" t="s">
        <v>5947</v>
      </c>
      <c r="C2968" s="36">
        <v>3.0</v>
      </c>
      <c r="D2968" s="37">
        <v>299.0</v>
      </c>
      <c r="E2968" s="37">
        <v>5.0</v>
      </c>
      <c r="F2968" s="24" t="str">
        <f t="array" ref="F2968">"https://www.google.com/maps/search/?api=1&amp;query=" &amp; A2968 &amp; "," &amp; B2968</f>
        <v>https://www.google.com/maps/search/?api=1&amp;query=-30.89902536139590,-55.54985074806780</v>
      </c>
      <c r="G2968" s="25" t="str">
        <f t="array" ref="G2968">"https://earth.google.com/web/search/" &amp; A2968 &amp; "," &amp; B2968</f>
        <v>https://earth.google.com/web/search/-30.89902536139590,-55.54985074806780</v>
      </c>
      <c r="H2968" s="12"/>
      <c r="I2968" s="12"/>
      <c r="J2968" s="12"/>
      <c r="K2968" s="12"/>
      <c r="L2968" s="12"/>
      <c r="M2968" s="12"/>
      <c r="N2968" s="12"/>
      <c r="O2968" s="12"/>
      <c r="P2968" s="12"/>
      <c r="Q2968" s="12"/>
      <c r="R2968" s="12"/>
      <c r="S2968" s="12"/>
      <c r="T2968" s="12"/>
      <c r="U2968" s="12"/>
      <c r="V2968" s="12"/>
      <c r="W2968" s="12"/>
      <c r="X2968" s="12"/>
      <c r="Y2968" s="12"/>
      <c r="Z2968" s="12"/>
      <c r="AA2968" s="12"/>
    </row>
    <row r="2969" ht="26.25" customHeight="1">
      <c r="A2969" s="28" t="s">
        <v>5948</v>
      </c>
      <c r="B2969" s="29" t="s">
        <v>5949</v>
      </c>
      <c r="C2969" s="30">
        <v>3.0</v>
      </c>
      <c r="D2969" s="31">
        <v>299.0</v>
      </c>
      <c r="E2969" s="31">
        <v>6.0</v>
      </c>
      <c r="F2969" s="32" t="str">
        <f t="array" ref="F2969">"https://www.google.com/maps/search/?api=1&amp;query=" &amp; A2969 &amp; "," &amp; B2969</f>
        <v>https://www.google.com/maps/search/?api=1&amp;query=-30.89894552041960,-5.55500352666887</v>
      </c>
      <c r="G2969" s="33" t="str">
        <f t="array" ref="G2969">"https://earth.google.com/web/search/" &amp; A2969 &amp; "," &amp; B2969</f>
        <v>https://earth.google.com/web/search/-30.89894552041960,-5.55500352666887</v>
      </c>
      <c r="H2969" s="12"/>
      <c r="I2969" s="12"/>
      <c r="J2969" s="12"/>
      <c r="K2969" s="12"/>
      <c r="L2969" s="12"/>
      <c r="M2969" s="12"/>
      <c r="N2969" s="12"/>
      <c r="O2969" s="12"/>
      <c r="P2969" s="12"/>
      <c r="Q2969" s="12"/>
      <c r="R2969" s="12"/>
      <c r="S2969" s="12"/>
      <c r="T2969" s="12"/>
      <c r="U2969" s="12"/>
      <c r="V2969" s="12"/>
      <c r="W2969" s="12"/>
      <c r="X2969" s="12"/>
      <c r="Y2969" s="12"/>
      <c r="Z2969" s="12"/>
      <c r="AA2969" s="12"/>
    </row>
    <row r="2970" ht="26.25" customHeight="1">
      <c r="A2970" s="34" t="s">
        <v>5950</v>
      </c>
      <c r="B2970" s="35" t="s">
        <v>5951</v>
      </c>
      <c r="C2970" s="36">
        <v>3.0</v>
      </c>
      <c r="D2970" s="37">
        <v>299.0</v>
      </c>
      <c r="E2970" s="37">
        <v>7.0</v>
      </c>
      <c r="F2970" s="24" t="str">
        <f t="array" ref="F2970">"https://www.google.com/maps/search/?api=1&amp;query=" &amp; A2970 &amp; "," &amp; B2970</f>
        <v>https://www.google.com/maps/search/?api=1&amp;query=-30.89882833492160,-55.55018700723310</v>
      </c>
      <c r="G2970" s="25" t="str">
        <f t="array" ref="G2970">"https://earth.google.com/web/search/" &amp; A2970 &amp; "," &amp; B2970</f>
        <v>https://earth.google.com/web/search/-30.89882833492160,-55.55018700723310</v>
      </c>
      <c r="H2970" s="12"/>
      <c r="I2970" s="12"/>
      <c r="J2970" s="12"/>
      <c r="K2970" s="12"/>
      <c r="L2970" s="12"/>
      <c r="M2970" s="12"/>
      <c r="N2970" s="12"/>
      <c r="O2970" s="12"/>
      <c r="P2970" s="12"/>
      <c r="Q2970" s="12"/>
      <c r="R2970" s="12"/>
      <c r="S2970" s="12"/>
      <c r="T2970" s="12"/>
      <c r="U2970" s="12"/>
      <c r="V2970" s="12"/>
      <c r="W2970" s="12"/>
      <c r="X2970" s="12"/>
      <c r="Y2970" s="12"/>
      <c r="Z2970" s="12"/>
      <c r="AA2970" s="12"/>
    </row>
    <row r="2971" ht="26.25" customHeight="1">
      <c r="A2971" s="28" t="s">
        <v>5952</v>
      </c>
      <c r="B2971" s="29" t="s">
        <v>5953</v>
      </c>
      <c r="C2971" s="30">
        <v>3.0</v>
      </c>
      <c r="D2971" s="31">
        <v>300.0</v>
      </c>
      <c r="E2971" s="31">
        <v>1.0</v>
      </c>
      <c r="F2971" s="32" t="str">
        <f t="array" ref="F2971">"https://www.google.com/maps/search/?api=1&amp;query=" &amp; A2971 &amp; "," &amp; B2971</f>
        <v>https://www.google.com/maps/search/?api=1&amp;query=-3.08986737146757,-55.55048820498920</v>
      </c>
      <c r="G2971" s="33" t="str">
        <f t="array" ref="G2971">"https://earth.google.com/web/search/" &amp; A2971 &amp; "," &amp; B2971</f>
        <v>https://earth.google.com/web/search/-3.08986737146757,-55.55048820498920</v>
      </c>
      <c r="H2971" s="12"/>
      <c r="I2971" s="12"/>
      <c r="J2971" s="12"/>
      <c r="K2971" s="12"/>
      <c r="L2971" s="12"/>
      <c r="M2971" s="12"/>
      <c r="N2971" s="12"/>
      <c r="O2971" s="12"/>
      <c r="P2971" s="12"/>
      <c r="Q2971" s="12"/>
      <c r="R2971" s="12"/>
      <c r="S2971" s="12"/>
      <c r="T2971" s="12"/>
      <c r="U2971" s="12"/>
      <c r="V2971" s="12"/>
      <c r="W2971" s="12"/>
      <c r="X2971" s="12"/>
      <c r="Y2971" s="12"/>
      <c r="Z2971" s="12"/>
      <c r="AA2971" s="12"/>
    </row>
    <row r="2972" ht="26.25" customHeight="1">
      <c r="A2972" s="34" t="s">
        <v>5954</v>
      </c>
      <c r="B2972" s="35" t="s">
        <v>5955</v>
      </c>
      <c r="C2972" s="36">
        <v>3.0</v>
      </c>
      <c r="D2972" s="37">
        <v>300.0</v>
      </c>
      <c r="E2972" s="37">
        <v>2.0</v>
      </c>
      <c r="F2972" s="24" t="str">
        <f t="array" ref="F2972">"https://www.google.com/maps/search/?api=1&amp;query=" &amp; A2972 &amp; "," &amp; B2972</f>
        <v>https://www.google.com/maps/search/?api=1&amp;query=-30.89864035794900,-55.55055305549800</v>
      </c>
      <c r="G2972" s="25" t="str">
        <f t="array" ref="G2972">"https://earth.google.com/web/search/" &amp; A2972 &amp; "," &amp; B2972</f>
        <v>https://earth.google.com/web/search/-30.89864035794900,-55.55055305549800</v>
      </c>
      <c r="H2972" s="12"/>
      <c r="I2972" s="12"/>
      <c r="J2972" s="12"/>
      <c r="K2972" s="12"/>
      <c r="L2972" s="12"/>
      <c r="M2972" s="12"/>
      <c r="N2972" s="12"/>
      <c r="O2972" s="12"/>
      <c r="P2972" s="12"/>
      <c r="Q2972" s="12"/>
      <c r="R2972" s="12"/>
      <c r="S2972" s="12"/>
      <c r="T2972" s="12"/>
      <c r="U2972" s="12"/>
      <c r="V2972" s="12"/>
      <c r="W2972" s="12"/>
      <c r="X2972" s="12"/>
      <c r="Y2972" s="12"/>
      <c r="Z2972" s="12"/>
      <c r="AA2972" s="12"/>
    </row>
    <row r="2973" ht="26.25" customHeight="1">
      <c r="A2973" s="28" t="s">
        <v>5956</v>
      </c>
      <c r="B2973" s="29" t="s">
        <v>5957</v>
      </c>
      <c r="C2973" s="30">
        <v>3.0</v>
      </c>
      <c r="D2973" s="31">
        <v>300.0</v>
      </c>
      <c r="E2973" s="31">
        <v>3.0</v>
      </c>
      <c r="F2973" s="32" t="str">
        <f t="array" ref="F2973">"https://www.google.com/maps/search/?api=1&amp;query=" &amp; A2973 &amp; "," &amp; B2973</f>
        <v>https://www.google.com/maps/search/?api=1&amp;query=-30.89844630904160,-55.55093390912570</v>
      </c>
      <c r="G2973" s="33" t="str">
        <f t="array" ref="G2973">"https://earth.google.com/web/search/" &amp; A2973 &amp; "," &amp; B2973</f>
        <v>https://earth.google.com/web/search/-30.89844630904160,-55.55093390912570</v>
      </c>
      <c r="H2973" s="12"/>
      <c r="I2973" s="12"/>
      <c r="J2973" s="12"/>
      <c r="K2973" s="12"/>
      <c r="L2973" s="12"/>
      <c r="M2973" s="12"/>
      <c r="N2973" s="12"/>
      <c r="O2973" s="12"/>
      <c r="P2973" s="12"/>
      <c r="Q2973" s="12"/>
      <c r="R2973" s="12"/>
      <c r="S2973" s="12"/>
      <c r="T2973" s="12"/>
      <c r="U2973" s="12"/>
      <c r="V2973" s="12"/>
      <c r="W2973" s="12"/>
      <c r="X2973" s="12"/>
      <c r="Y2973" s="12"/>
      <c r="Z2973" s="12"/>
      <c r="AA2973" s="12"/>
    </row>
    <row r="2974" ht="26.25" customHeight="1">
      <c r="A2974" s="34" t="s">
        <v>5958</v>
      </c>
      <c r="B2974" s="35" t="s">
        <v>5959</v>
      </c>
      <c r="C2974" s="36">
        <v>3.0</v>
      </c>
      <c r="D2974" s="37">
        <v>300.0</v>
      </c>
      <c r="E2974" s="37">
        <v>4.0</v>
      </c>
      <c r="F2974" s="24" t="str">
        <f t="array" ref="F2974">"https://www.google.com/maps/search/?api=1&amp;query=" &amp; A2974 &amp; "," &amp; B2974</f>
        <v>https://www.google.com/maps/search/?api=1&amp;query=-30.89839955125010,-55.55101419508860</v>
      </c>
      <c r="G2974" s="25" t="str">
        <f t="array" ref="G2974">"https://earth.google.com/web/search/" &amp; A2974 &amp; "," &amp; B2974</f>
        <v>https://earth.google.com/web/search/-30.89839955125010,-55.55101419508860</v>
      </c>
      <c r="H2974" s="12"/>
      <c r="I2974" s="12"/>
      <c r="J2974" s="12"/>
      <c r="K2974" s="12"/>
      <c r="L2974" s="12"/>
      <c r="M2974" s="12"/>
      <c r="N2974" s="12"/>
      <c r="O2974" s="12"/>
      <c r="P2974" s="12"/>
      <c r="Q2974" s="12"/>
      <c r="R2974" s="12"/>
      <c r="S2974" s="12"/>
      <c r="T2974" s="12"/>
      <c r="U2974" s="12"/>
      <c r="V2974" s="12"/>
      <c r="W2974" s="12"/>
      <c r="X2974" s="12"/>
      <c r="Y2974" s="12"/>
      <c r="Z2974" s="12"/>
      <c r="AA2974" s="12"/>
    </row>
    <row r="2975" ht="26.25" customHeight="1">
      <c r="A2975" s="28" t="s">
        <v>5960</v>
      </c>
      <c r="B2975" s="29" t="s">
        <v>5961</v>
      </c>
      <c r="C2975" s="30">
        <v>3.0</v>
      </c>
      <c r="D2975" s="31">
        <v>300.0</v>
      </c>
      <c r="E2975" s="31">
        <v>5.0</v>
      </c>
      <c r="F2975" s="32" t="str">
        <f t="array" ref="F2975">"https://www.google.com/maps/search/?api=1&amp;query=" &amp; A2975 &amp; "," &amp; B2975</f>
        <v>https://www.google.com/maps/search/?api=1&amp;query=-30.89862435289130,-55.55141924909870</v>
      </c>
      <c r="G2975" s="33" t="str">
        <f t="array" ref="G2975">"https://earth.google.com/web/search/" &amp; A2975 &amp; "," &amp; B2975</f>
        <v>https://earth.google.com/web/search/-30.89862435289130,-55.55141924909870</v>
      </c>
      <c r="H2975" s="12"/>
      <c r="I2975" s="12"/>
      <c r="J2975" s="12"/>
      <c r="K2975" s="12"/>
      <c r="L2975" s="12"/>
      <c r="M2975" s="12"/>
      <c r="N2975" s="12"/>
      <c r="O2975" s="12"/>
      <c r="P2975" s="12"/>
      <c r="Q2975" s="12"/>
      <c r="R2975" s="12"/>
      <c r="S2975" s="12"/>
      <c r="T2975" s="12"/>
      <c r="U2975" s="12"/>
      <c r="V2975" s="12"/>
      <c r="W2975" s="12"/>
      <c r="X2975" s="12"/>
      <c r="Y2975" s="12"/>
      <c r="Z2975" s="12"/>
      <c r="AA2975" s="12"/>
    </row>
    <row r="2976" ht="26.25" customHeight="1">
      <c r="A2976" s="34" t="s">
        <v>5962</v>
      </c>
      <c r="B2976" s="35" t="s">
        <v>5963</v>
      </c>
      <c r="C2976" s="36">
        <v>3.0</v>
      </c>
      <c r="D2976" s="37">
        <v>300.0</v>
      </c>
      <c r="E2976" s="37">
        <v>6.0</v>
      </c>
      <c r="F2976" s="24" t="str">
        <f t="array" ref="F2976">"https://www.google.com/maps/search/?api=1&amp;query=" &amp; A2976 &amp; "," &amp; B2976</f>
        <v>https://www.google.com/maps/search/?api=1&amp;query=-30.89872743104970,-55.55151913450970</v>
      </c>
      <c r="G2976" s="25" t="str">
        <f t="array" ref="G2976">"https://earth.google.com/web/search/" &amp; A2976 &amp; "," &amp; B2976</f>
        <v>https://earth.google.com/web/search/-30.89872743104970,-55.55151913450970</v>
      </c>
      <c r="H2976" s="12"/>
      <c r="I2976" s="12"/>
      <c r="J2976" s="12"/>
      <c r="K2976" s="12"/>
      <c r="L2976" s="12"/>
      <c r="M2976" s="12"/>
      <c r="N2976" s="12"/>
      <c r="O2976" s="12"/>
      <c r="P2976" s="12"/>
      <c r="Q2976" s="12"/>
      <c r="R2976" s="12"/>
      <c r="S2976" s="12"/>
      <c r="T2976" s="12"/>
      <c r="U2976" s="12"/>
      <c r="V2976" s="12"/>
      <c r="W2976" s="12"/>
      <c r="X2976" s="12"/>
      <c r="Y2976" s="12"/>
      <c r="Z2976" s="12"/>
      <c r="AA2976" s="12"/>
    </row>
    <row r="2977" ht="26.25" customHeight="1">
      <c r="A2977" s="28" t="s">
        <v>5964</v>
      </c>
      <c r="B2977" s="29" t="s">
        <v>5965</v>
      </c>
      <c r="C2977" s="30">
        <v>3.0</v>
      </c>
      <c r="D2977" s="31">
        <v>319.0</v>
      </c>
      <c r="E2977" s="31">
        <v>1.0</v>
      </c>
      <c r="F2977" s="32" t="str">
        <f t="array" ref="F2977">"https://www.google.com/maps/search/?api=1&amp;query=" &amp; A2977 &amp; "," &amp; B2977</f>
        <v>https://www.google.com/maps/search/?api=1&amp;query=-30.89979383625110,-55.55218215680590</v>
      </c>
      <c r="G2977" s="33" t="str">
        <f t="array" ref="G2977">"https://earth.google.com/web/search/" &amp; A2977 &amp; "," &amp; B2977</f>
        <v>https://earth.google.com/web/search/-30.89979383625110,-55.55218215680590</v>
      </c>
      <c r="H2977" s="12"/>
      <c r="I2977" s="12"/>
      <c r="J2977" s="12"/>
      <c r="K2977" s="12"/>
      <c r="L2977" s="12"/>
      <c r="M2977" s="12"/>
      <c r="N2977" s="12"/>
      <c r="O2977" s="12"/>
      <c r="P2977" s="12"/>
      <c r="Q2977" s="12"/>
      <c r="R2977" s="12"/>
      <c r="S2977" s="12"/>
      <c r="T2977" s="12"/>
      <c r="U2977" s="12"/>
      <c r="V2977" s="12"/>
      <c r="W2977" s="12"/>
      <c r="X2977" s="12"/>
      <c r="Y2977" s="12"/>
      <c r="Z2977" s="12"/>
      <c r="AA2977" s="12"/>
    </row>
    <row r="2978" ht="26.25" customHeight="1">
      <c r="A2978" s="34" t="s">
        <v>5966</v>
      </c>
      <c r="B2978" s="35" t="s">
        <v>5967</v>
      </c>
      <c r="C2978" s="36">
        <v>3.0</v>
      </c>
      <c r="D2978" s="37">
        <v>319.0</v>
      </c>
      <c r="E2978" s="37">
        <v>2.0</v>
      </c>
      <c r="F2978" s="24" t="str">
        <f t="array" ref="F2978">"https://www.google.com/maps/search/?api=1&amp;query=" &amp; A2978 &amp; "," &amp; B2978</f>
        <v>https://www.google.com/maps/search/?api=1&amp;query=-3.08998775756788,-55.55206014186210</v>
      </c>
      <c r="G2978" s="25" t="str">
        <f t="array" ref="G2978">"https://earth.google.com/web/search/" &amp; A2978 &amp; "," &amp; B2978</f>
        <v>https://earth.google.com/web/search/-3.08998775756788,-55.55206014186210</v>
      </c>
      <c r="H2978" s="12"/>
      <c r="I2978" s="12"/>
      <c r="J2978" s="12"/>
      <c r="K2978" s="12"/>
      <c r="L2978" s="12"/>
      <c r="M2978" s="12"/>
      <c r="N2978" s="12"/>
      <c r="O2978" s="12"/>
      <c r="P2978" s="12"/>
      <c r="Q2978" s="12"/>
      <c r="R2978" s="12"/>
      <c r="S2978" s="12"/>
      <c r="T2978" s="12"/>
      <c r="U2978" s="12"/>
      <c r="V2978" s="12"/>
      <c r="W2978" s="12"/>
      <c r="X2978" s="12"/>
      <c r="Y2978" s="12"/>
      <c r="Z2978" s="12"/>
      <c r="AA2978" s="12"/>
    </row>
    <row r="2979" ht="26.25" customHeight="1">
      <c r="A2979" s="28" t="s">
        <v>5968</v>
      </c>
      <c r="B2979" s="29" t="s">
        <v>5969</v>
      </c>
      <c r="C2979" s="30">
        <v>3.0</v>
      </c>
      <c r="D2979" s="31">
        <v>319.0</v>
      </c>
      <c r="E2979" s="31">
        <v>3.0</v>
      </c>
      <c r="F2979" s="32" t="str">
        <f t="array" ref="F2979">"https://www.google.com/maps/search/?api=1&amp;query=" &amp; A2979 &amp; "," &amp; B2979</f>
        <v>https://www.google.com/maps/search/?api=1&amp;query=-30.90009131602380,-55.55168305492430</v>
      </c>
      <c r="G2979" s="33" t="str">
        <f t="array" ref="G2979">"https://earth.google.com/web/search/" &amp; A2979 &amp; "," &amp; B2979</f>
        <v>https://earth.google.com/web/search/-30.90009131602380,-55.55168305492430</v>
      </c>
      <c r="H2979" s="12"/>
      <c r="I2979" s="12"/>
      <c r="J2979" s="12"/>
      <c r="K2979" s="12"/>
      <c r="L2979" s="12"/>
      <c r="M2979" s="12"/>
      <c r="N2979" s="12"/>
      <c r="O2979" s="12"/>
      <c r="P2979" s="12"/>
      <c r="Q2979" s="12"/>
      <c r="R2979" s="12"/>
      <c r="S2979" s="12"/>
      <c r="T2979" s="12"/>
      <c r="U2979" s="12"/>
      <c r="V2979" s="12"/>
      <c r="W2979" s="12"/>
      <c r="X2979" s="12"/>
      <c r="Y2979" s="12"/>
      <c r="Z2979" s="12"/>
      <c r="AA2979" s="12"/>
    </row>
    <row r="2980" ht="26.25" customHeight="1">
      <c r="A2980" s="34" t="s">
        <v>5970</v>
      </c>
      <c r="B2980" s="35" t="s">
        <v>5971</v>
      </c>
      <c r="C2980" s="36">
        <v>3.0</v>
      </c>
      <c r="D2980" s="37">
        <v>319.0</v>
      </c>
      <c r="E2980" s="37">
        <v>4.0</v>
      </c>
      <c r="F2980" s="24" t="str">
        <f t="array" ref="F2980">"https://www.google.com/maps/search/?api=1&amp;query=" &amp; A2980 &amp; "," &amp; B2980</f>
        <v>https://www.google.com/maps/search/?api=1&amp;query=-30.89912704333380,-55.55180591601400</v>
      </c>
      <c r="G2980" s="25" t="str">
        <f t="array" ref="G2980">"https://earth.google.com/web/search/" &amp; A2980 &amp; "," &amp; B2980</f>
        <v>https://earth.google.com/web/search/-30.89912704333380,-55.55180591601400</v>
      </c>
      <c r="H2980" s="12"/>
      <c r="I2980" s="12"/>
      <c r="J2980" s="12"/>
      <c r="K2980" s="12"/>
      <c r="L2980" s="12"/>
      <c r="M2980" s="12"/>
      <c r="N2980" s="12"/>
      <c r="O2980" s="12"/>
      <c r="P2980" s="12"/>
      <c r="Q2980" s="12"/>
      <c r="R2980" s="12"/>
      <c r="S2980" s="12"/>
      <c r="T2980" s="12"/>
      <c r="U2980" s="12"/>
      <c r="V2980" s="12"/>
      <c r="W2980" s="12"/>
      <c r="X2980" s="12"/>
      <c r="Y2980" s="12"/>
      <c r="Z2980" s="12"/>
      <c r="AA2980" s="12"/>
    </row>
    <row r="2981" ht="26.25" customHeight="1">
      <c r="A2981" s="28" t="s">
        <v>5972</v>
      </c>
      <c r="B2981" s="29" t="s">
        <v>5973</v>
      </c>
      <c r="C2981" s="30">
        <v>3.0</v>
      </c>
      <c r="D2981" s="31">
        <v>319.0</v>
      </c>
      <c r="E2981" s="31">
        <v>5.0</v>
      </c>
      <c r="F2981" s="32" t="str">
        <f t="array" ref="F2981">"https://www.google.com/maps/search/?api=1&amp;query=" &amp; A2981 &amp; "," &amp; B2981</f>
        <v>https://www.google.com/maps/search/?api=1&amp;query=-30.89929323133080,-55.55193799524250</v>
      </c>
      <c r="G2981" s="33" t="str">
        <f t="array" ref="G2981">"https://earth.google.com/web/search/" &amp; A2981 &amp; "," &amp; B2981</f>
        <v>https://earth.google.com/web/search/-30.89929323133080,-55.55193799524250</v>
      </c>
      <c r="H2981" s="12"/>
      <c r="I2981" s="12"/>
      <c r="J2981" s="12"/>
      <c r="K2981" s="12"/>
      <c r="L2981" s="12"/>
      <c r="M2981" s="12"/>
      <c r="N2981" s="12"/>
      <c r="O2981" s="12"/>
      <c r="P2981" s="12"/>
      <c r="Q2981" s="12"/>
      <c r="R2981" s="12"/>
      <c r="S2981" s="12"/>
      <c r="T2981" s="12"/>
      <c r="U2981" s="12"/>
      <c r="V2981" s="12"/>
      <c r="W2981" s="12"/>
      <c r="X2981" s="12"/>
      <c r="Y2981" s="12"/>
      <c r="Z2981" s="12"/>
      <c r="AA2981" s="12"/>
    </row>
    <row r="2982" ht="26.25" customHeight="1">
      <c r="A2982" s="34" t="s">
        <v>5974</v>
      </c>
      <c r="B2982" s="35" t="s">
        <v>5975</v>
      </c>
      <c r="C2982" s="36">
        <v>3.0</v>
      </c>
      <c r="D2982" s="37">
        <v>319.0</v>
      </c>
      <c r="E2982" s="37">
        <v>6.0</v>
      </c>
      <c r="F2982" s="24" t="str">
        <f t="array" ref="F2982">"https://www.google.com/maps/search/?api=1&amp;query=" &amp; A2982 &amp; "," &amp; B2982</f>
        <v>https://www.google.com/maps/search/?api=1&amp;query=-30.89942703347890,-55.55203456655900</v>
      </c>
      <c r="G2982" s="25" t="str">
        <f t="array" ref="G2982">"https://earth.google.com/web/search/" &amp; A2982 &amp; "," &amp; B2982</f>
        <v>https://earth.google.com/web/search/-30.89942703347890,-55.55203456655900</v>
      </c>
      <c r="H2982" s="12"/>
      <c r="I2982" s="12"/>
      <c r="J2982" s="12"/>
      <c r="K2982" s="12"/>
      <c r="L2982" s="12"/>
      <c r="M2982" s="12"/>
      <c r="N2982" s="12"/>
      <c r="O2982" s="12"/>
      <c r="P2982" s="12"/>
      <c r="Q2982" s="12"/>
      <c r="R2982" s="12"/>
      <c r="S2982" s="12"/>
      <c r="T2982" s="12"/>
      <c r="U2982" s="12"/>
      <c r="V2982" s="12"/>
      <c r="W2982" s="12"/>
      <c r="X2982" s="12"/>
      <c r="Y2982" s="12"/>
      <c r="Z2982" s="12"/>
      <c r="AA2982" s="12"/>
    </row>
    <row r="2983" ht="26.25" customHeight="1">
      <c r="A2983" s="28" t="s">
        <v>5976</v>
      </c>
      <c r="B2983" s="29" t="s">
        <v>5977</v>
      </c>
      <c r="C2983" s="30">
        <v>3.0</v>
      </c>
      <c r="D2983" s="31">
        <v>319.0</v>
      </c>
      <c r="E2983" s="31">
        <v>7.0</v>
      </c>
      <c r="F2983" s="32" t="str">
        <f t="array" ref="F2983">"https://www.google.com/maps/search/?api=1&amp;query=" &amp; A2983 &amp; "," &amp; B2983</f>
        <v>https://www.google.com/maps/search/?api=1&amp;query=-30.89963508667780,-55.55213820472360</v>
      </c>
      <c r="G2983" s="33" t="str">
        <f t="array" ref="G2983">"https://earth.google.com/web/search/" &amp; A2983 &amp; "," &amp; B2983</f>
        <v>https://earth.google.com/web/search/-30.89963508667780,-55.55213820472360</v>
      </c>
      <c r="H2983" s="12"/>
      <c r="I2983" s="12"/>
      <c r="J2983" s="12"/>
      <c r="K2983" s="12"/>
      <c r="L2983" s="12"/>
      <c r="M2983" s="12"/>
      <c r="N2983" s="12"/>
      <c r="O2983" s="12"/>
      <c r="P2983" s="12"/>
      <c r="Q2983" s="12"/>
      <c r="R2983" s="12"/>
      <c r="S2983" s="12"/>
      <c r="T2983" s="12"/>
      <c r="U2983" s="12"/>
      <c r="V2983" s="12"/>
      <c r="W2983" s="12"/>
      <c r="X2983" s="12"/>
      <c r="Y2983" s="12"/>
      <c r="Z2983" s="12"/>
      <c r="AA2983" s="12"/>
    </row>
    <row r="2984" ht="26.25" customHeight="1">
      <c r="A2984" s="34" t="s">
        <v>5978</v>
      </c>
      <c r="B2984" s="35" t="s">
        <v>5979</v>
      </c>
      <c r="C2984" s="36">
        <v>3.0</v>
      </c>
      <c r="D2984" s="37">
        <v>320.0</v>
      </c>
      <c r="E2984" s="37">
        <v>1.0</v>
      </c>
      <c r="F2984" s="24" t="str">
        <f t="array" ref="F2984">"https://www.google.com/maps/search/?api=1&amp;query=" &amp; A2984 &amp; "," &amp; B2984</f>
        <v>https://www.google.com/maps/search/?api=1&amp;query=-30.90037238378080,-5.55511758180244</v>
      </c>
      <c r="G2984" s="25" t="str">
        <f t="array" ref="G2984">"https://earth.google.com/web/search/" &amp; A2984 &amp; "," &amp; B2984</f>
        <v>https://earth.google.com/web/search/-30.90037238378080,-5.55511758180244</v>
      </c>
      <c r="H2984" s="12"/>
      <c r="I2984" s="12"/>
      <c r="J2984" s="12"/>
      <c r="K2984" s="12"/>
      <c r="L2984" s="12"/>
      <c r="M2984" s="12"/>
      <c r="N2984" s="12"/>
      <c r="O2984" s="12"/>
      <c r="P2984" s="12"/>
      <c r="Q2984" s="12"/>
      <c r="R2984" s="12"/>
      <c r="S2984" s="12"/>
      <c r="T2984" s="12"/>
      <c r="U2984" s="12"/>
      <c r="V2984" s="12"/>
      <c r="W2984" s="12"/>
      <c r="X2984" s="12"/>
      <c r="Y2984" s="12"/>
      <c r="Z2984" s="12"/>
      <c r="AA2984" s="12"/>
    </row>
    <row r="2985" ht="26.25" customHeight="1">
      <c r="A2985" s="28" t="s">
        <v>5980</v>
      </c>
      <c r="B2985" s="29" t="s">
        <v>5981</v>
      </c>
      <c r="C2985" s="30">
        <v>3.0</v>
      </c>
      <c r="D2985" s="31">
        <v>320.0</v>
      </c>
      <c r="E2985" s="31">
        <v>2.0</v>
      </c>
      <c r="F2985" s="32" t="str">
        <f t="array" ref="F2985">"https://www.google.com/maps/search/?api=1&amp;query=" &amp; A2985 &amp; "," &amp; B2985</f>
        <v>https://www.google.com/maps/search/?api=1&amp;query=-30.90045917711260,-55.55104061969350</v>
      </c>
      <c r="G2985" s="33" t="str">
        <f t="array" ref="G2985">"https://earth.google.com/web/search/" &amp; A2985 &amp; "," &amp; B2985</f>
        <v>https://earth.google.com/web/search/-30.90045917711260,-55.55104061969350</v>
      </c>
      <c r="H2985" s="12"/>
      <c r="I2985" s="12"/>
      <c r="J2985" s="12"/>
      <c r="K2985" s="12"/>
      <c r="L2985" s="12"/>
      <c r="M2985" s="12"/>
      <c r="N2985" s="12"/>
      <c r="O2985" s="12"/>
      <c r="P2985" s="12"/>
      <c r="Q2985" s="12"/>
      <c r="R2985" s="12"/>
      <c r="S2985" s="12"/>
      <c r="T2985" s="12"/>
      <c r="U2985" s="12"/>
      <c r="V2985" s="12"/>
      <c r="W2985" s="12"/>
      <c r="X2985" s="12"/>
      <c r="Y2985" s="12"/>
      <c r="Z2985" s="12"/>
      <c r="AA2985" s="12"/>
    </row>
    <row r="2986" ht="26.25" customHeight="1">
      <c r="A2986" s="34" t="s">
        <v>5982</v>
      </c>
      <c r="B2986" s="35" t="s">
        <v>5983</v>
      </c>
      <c r="C2986" s="36">
        <v>3.0</v>
      </c>
      <c r="D2986" s="37">
        <v>320.0</v>
      </c>
      <c r="E2986" s="37">
        <v>3.0</v>
      </c>
      <c r="F2986" s="24" t="str">
        <f t="array" ref="F2986">"https://www.google.com/maps/search/?api=1&amp;query=" &amp; A2986 &amp; "," &amp; B2986</f>
        <v>https://www.google.com/maps/search/?api=1&amp;query=-30.90053120036430,-55.55090765224200</v>
      </c>
      <c r="G2986" s="25" t="str">
        <f t="array" ref="G2986">"https://earth.google.com/web/search/" &amp; A2986 &amp; "," &amp; B2986</f>
        <v>https://earth.google.com/web/search/-30.90053120036430,-55.55090765224200</v>
      </c>
      <c r="H2986" s="12"/>
      <c r="I2986" s="12"/>
      <c r="J2986" s="12"/>
      <c r="K2986" s="12"/>
      <c r="L2986" s="12"/>
      <c r="M2986" s="12"/>
      <c r="N2986" s="12"/>
      <c r="O2986" s="12"/>
      <c r="P2986" s="12"/>
      <c r="Q2986" s="12"/>
      <c r="R2986" s="12"/>
      <c r="S2986" s="12"/>
      <c r="T2986" s="12"/>
      <c r="U2986" s="12"/>
      <c r="V2986" s="12"/>
      <c r="W2986" s="12"/>
      <c r="X2986" s="12"/>
      <c r="Y2986" s="12"/>
      <c r="Z2986" s="12"/>
      <c r="AA2986" s="12"/>
    </row>
    <row r="2987" ht="26.25" customHeight="1">
      <c r="A2987" s="28" t="s">
        <v>5984</v>
      </c>
      <c r="B2987" s="29" t="s">
        <v>5985</v>
      </c>
      <c r="C2987" s="30">
        <v>3.0</v>
      </c>
      <c r="D2987" s="31">
        <v>320.0</v>
      </c>
      <c r="E2987" s="31">
        <v>4.0</v>
      </c>
      <c r="F2987" s="32" t="str">
        <f t="array" ref="F2987">"https://www.google.com/maps/search/?api=1&amp;query=" &amp; A2987 &amp; "," &amp; B2987</f>
        <v>https://www.google.com/maps/search/?api=1&amp;query=-30.90058795289820,-55.55079876224630</v>
      </c>
      <c r="G2987" s="33" t="str">
        <f t="array" ref="G2987">"https://earth.google.com/web/search/" &amp; A2987 &amp; "," &amp; B2987</f>
        <v>https://earth.google.com/web/search/-30.90058795289820,-55.55079876224630</v>
      </c>
      <c r="H2987" s="12"/>
      <c r="I2987" s="12"/>
      <c r="J2987" s="12"/>
      <c r="K2987" s="12"/>
      <c r="L2987" s="12"/>
      <c r="M2987" s="12"/>
      <c r="N2987" s="12"/>
      <c r="O2987" s="12"/>
      <c r="P2987" s="12"/>
      <c r="Q2987" s="12"/>
      <c r="R2987" s="12"/>
      <c r="S2987" s="12"/>
      <c r="T2987" s="12"/>
      <c r="U2987" s="12"/>
      <c r="V2987" s="12"/>
      <c r="W2987" s="12"/>
      <c r="X2987" s="12"/>
      <c r="Y2987" s="12"/>
      <c r="Z2987" s="12"/>
      <c r="AA2987" s="12"/>
    </row>
    <row r="2988" ht="26.25" customHeight="1">
      <c r="A2988" s="34" t="s">
        <v>5986</v>
      </c>
      <c r="B2988" s="35" t="s">
        <v>5987</v>
      </c>
      <c r="C2988" s="36">
        <v>3.0</v>
      </c>
      <c r="D2988" s="37">
        <v>320.0</v>
      </c>
      <c r="E2988" s="37">
        <v>5.0</v>
      </c>
      <c r="F2988" s="24" t="str">
        <f t="array" ref="F2988">"https://www.google.com/maps/search/?api=1&amp;query=" &amp; A2988 &amp; "," &amp; B2988</f>
        <v>https://www.google.com/maps/search/?api=1&amp;query=-30.89997585963270,-55.55116257098780</v>
      </c>
      <c r="G2988" s="25" t="str">
        <f t="array" ref="G2988">"https://earth.google.com/web/search/" &amp; A2988 &amp; "," &amp; B2988</f>
        <v>https://earth.google.com/web/search/-30.89997585963270,-55.55116257098780</v>
      </c>
      <c r="H2988" s="12"/>
      <c r="I2988" s="12"/>
      <c r="J2988" s="12"/>
      <c r="K2988" s="12"/>
      <c r="L2988" s="12"/>
      <c r="M2988" s="12"/>
      <c r="N2988" s="12"/>
      <c r="O2988" s="12"/>
      <c r="P2988" s="12"/>
      <c r="Q2988" s="12"/>
      <c r="R2988" s="12"/>
      <c r="S2988" s="12"/>
      <c r="T2988" s="12"/>
      <c r="U2988" s="12"/>
      <c r="V2988" s="12"/>
      <c r="W2988" s="12"/>
      <c r="X2988" s="12"/>
      <c r="Y2988" s="12"/>
      <c r="Z2988" s="12"/>
      <c r="AA2988" s="12"/>
    </row>
    <row r="2989" ht="26.25" customHeight="1">
      <c r="A2989" s="28" t="s">
        <v>5988</v>
      </c>
      <c r="B2989" s="29" t="s">
        <v>5989</v>
      </c>
      <c r="C2989" s="30">
        <v>3.0</v>
      </c>
      <c r="D2989" s="31">
        <v>312.0</v>
      </c>
      <c r="E2989" s="31">
        <v>1.0</v>
      </c>
      <c r="F2989" s="32" t="str">
        <f t="array" ref="F2989">"https://www.google.com/maps/search/?api=1&amp;query=" &amp; A2989 &amp; "," &amp; B2989</f>
        <v>https://www.google.com/maps/search/?api=1&amp;query=-30.90078995801800,-55.55042161874530</v>
      </c>
      <c r="G2989" s="33" t="str">
        <f t="array" ref="G2989">"https://earth.google.com/web/search/" &amp; A2989 &amp; "," &amp; B2989</f>
        <v>https://earth.google.com/web/search/-30.90078995801800,-55.55042161874530</v>
      </c>
      <c r="H2989" s="12"/>
      <c r="I2989" s="12"/>
      <c r="J2989" s="12"/>
      <c r="K2989" s="12"/>
      <c r="L2989" s="12"/>
      <c r="M2989" s="12"/>
      <c r="N2989" s="12"/>
      <c r="O2989" s="12"/>
      <c r="P2989" s="12"/>
      <c r="Q2989" s="12"/>
      <c r="R2989" s="12"/>
      <c r="S2989" s="12"/>
      <c r="T2989" s="12"/>
      <c r="U2989" s="12"/>
      <c r="V2989" s="12"/>
      <c r="W2989" s="12"/>
      <c r="X2989" s="12"/>
      <c r="Y2989" s="12"/>
      <c r="Z2989" s="12"/>
      <c r="AA2989" s="12"/>
    </row>
    <row r="2990" ht="26.25" customHeight="1">
      <c r="A2990" s="34" t="s">
        <v>5990</v>
      </c>
      <c r="B2990" s="35" t="s">
        <v>5991</v>
      </c>
      <c r="C2990" s="36">
        <v>3.0</v>
      </c>
      <c r="D2990" s="37">
        <v>321.0</v>
      </c>
      <c r="E2990" s="37">
        <v>2.0</v>
      </c>
      <c r="F2990" s="24" t="str">
        <f t="array" ref="F2990">"https://www.google.com/maps/search/?api=1&amp;query=" &amp; A2990 &amp; "," &amp; B2990</f>
        <v>https://www.google.com/maps/search/?api=1&amp;query=-30.90107968177360,-55.54988138274730</v>
      </c>
      <c r="G2990" s="25" t="str">
        <f t="array" ref="G2990">"https://earth.google.com/web/search/" &amp; A2990 &amp; "," &amp; B2990</f>
        <v>https://earth.google.com/web/search/-30.90107968177360,-55.54988138274730</v>
      </c>
      <c r="H2990" s="12"/>
      <c r="I2990" s="12"/>
      <c r="J2990" s="12"/>
      <c r="K2990" s="12"/>
      <c r="L2990" s="12"/>
      <c r="M2990" s="12"/>
      <c r="N2990" s="12"/>
      <c r="O2990" s="12"/>
      <c r="P2990" s="12"/>
      <c r="Q2990" s="12"/>
      <c r="R2990" s="12"/>
      <c r="S2990" s="12"/>
      <c r="T2990" s="12"/>
      <c r="U2990" s="12"/>
      <c r="V2990" s="12"/>
      <c r="W2990" s="12"/>
      <c r="X2990" s="12"/>
      <c r="Y2990" s="12"/>
      <c r="Z2990" s="12"/>
      <c r="AA2990" s="12"/>
    </row>
    <row r="2991" ht="26.25" customHeight="1">
      <c r="A2991" s="28" t="s">
        <v>5992</v>
      </c>
      <c r="B2991" s="29" t="s">
        <v>5993</v>
      </c>
      <c r="C2991" s="30">
        <v>3.0</v>
      </c>
      <c r="D2991" s="31">
        <v>321.0</v>
      </c>
      <c r="E2991" s="31">
        <v>3.0</v>
      </c>
      <c r="F2991" s="32" t="str">
        <f t="array" ref="F2991">"https://www.google.com/maps/search/?api=1&amp;query=" &amp; A2991 &amp; "," &amp; B2991</f>
        <v>https://www.google.com/maps/search/?api=1&amp;query=-30.90083538838350,-55.54938441006740</v>
      </c>
      <c r="G2991" s="33" t="str">
        <f t="array" ref="G2991">"https://earth.google.com/web/search/" &amp; A2991 &amp; "," &amp; B2991</f>
        <v>https://earth.google.com/web/search/-30.90083538838350,-55.54938441006740</v>
      </c>
      <c r="H2991" s="12"/>
      <c r="I2991" s="12"/>
      <c r="J2991" s="12"/>
      <c r="K2991" s="12"/>
      <c r="L2991" s="12"/>
      <c r="M2991" s="12"/>
      <c r="N2991" s="12"/>
      <c r="O2991" s="12"/>
      <c r="P2991" s="12"/>
      <c r="Q2991" s="12"/>
      <c r="R2991" s="12"/>
      <c r="S2991" s="12"/>
      <c r="T2991" s="12"/>
      <c r="U2991" s="12"/>
      <c r="V2991" s="12"/>
      <c r="W2991" s="12"/>
      <c r="X2991" s="12"/>
      <c r="Y2991" s="12"/>
      <c r="Z2991" s="12"/>
      <c r="AA2991" s="12"/>
    </row>
    <row r="2992" ht="26.25" customHeight="1">
      <c r="A2992" s="34" t="s">
        <v>5994</v>
      </c>
      <c r="B2992" s="35" t="s">
        <v>5995</v>
      </c>
      <c r="C2992" s="36">
        <v>3.0</v>
      </c>
      <c r="D2992" s="37">
        <v>321.0</v>
      </c>
      <c r="E2992" s="37">
        <v>4.0</v>
      </c>
      <c r="F2992" s="24" t="str">
        <f t="array" ref="F2992">"https://www.google.com/maps/search/?api=1&amp;query=" &amp; A2992 &amp; "," &amp; B2992</f>
        <v>https://www.google.com/maps/search/?api=1&amp;query=-3.09006140966996,-55.54924140222950</v>
      </c>
      <c r="G2992" s="25" t="str">
        <f t="array" ref="G2992">"https://earth.google.com/web/search/" &amp; A2992 &amp; "," &amp; B2992</f>
        <v>https://earth.google.com/web/search/-3.09006140966996,-55.54924140222950</v>
      </c>
      <c r="H2992" s="12"/>
      <c r="I2992" s="12"/>
      <c r="J2992" s="12"/>
      <c r="K2992" s="12"/>
      <c r="L2992" s="12"/>
      <c r="M2992" s="12"/>
      <c r="N2992" s="12"/>
      <c r="O2992" s="12"/>
      <c r="P2992" s="12"/>
      <c r="Q2992" s="12"/>
      <c r="R2992" s="12"/>
      <c r="S2992" s="12"/>
      <c r="T2992" s="12"/>
      <c r="U2992" s="12"/>
      <c r="V2992" s="12"/>
      <c r="W2992" s="12"/>
      <c r="X2992" s="12"/>
      <c r="Y2992" s="12"/>
      <c r="Z2992" s="12"/>
      <c r="AA2992" s="12"/>
    </row>
    <row r="2993" ht="26.25" customHeight="1">
      <c r="A2993" s="28" t="s">
        <v>5996</v>
      </c>
      <c r="B2993" s="29" t="s">
        <v>5997</v>
      </c>
      <c r="C2993" s="30">
        <v>3.0</v>
      </c>
      <c r="D2993" s="31">
        <v>321.0</v>
      </c>
      <c r="E2993" s="31">
        <v>5.0</v>
      </c>
      <c r="F2993" s="32" t="str">
        <f t="array" ref="F2993">"https://www.google.com/maps/search/?api=1&amp;query=" &amp; A2993 &amp; "," &amp; B2993</f>
        <v>https://www.google.com/maps/search/?api=1&amp;query=-30.90039235759030,-5.55492838435995</v>
      </c>
      <c r="G2993" s="33" t="str">
        <f t="array" ref="G2993">"https://earth.google.com/web/search/" &amp; A2993 &amp; "," &amp; B2993</f>
        <v>https://earth.google.com/web/search/-30.90039235759030,-5.55492838435995</v>
      </c>
      <c r="H2993" s="12"/>
      <c r="I2993" s="12"/>
      <c r="J2993" s="12"/>
      <c r="K2993" s="12"/>
      <c r="L2993" s="12"/>
      <c r="M2993" s="12"/>
      <c r="N2993" s="12"/>
      <c r="O2993" s="12"/>
      <c r="P2993" s="12"/>
      <c r="Q2993" s="12"/>
      <c r="R2993" s="12"/>
      <c r="S2993" s="12"/>
      <c r="T2993" s="12"/>
      <c r="U2993" s="12"/>
      <c r="V2993" s="12"/>
      <c r="W2993" s="12"/>
      <c r="X2993" s="12"/>
      <c r="Y2993" s="12"/>
      <c r="Z2993" s="12"/>
      <c r="AA2993" s="12"/>
    </row>
    <row r="2994" ht="26.25" customHeight="1">
      <c r="A2994" s="34" t="s">
        <v>5998</v>
      </c>
      <c r="B2994" s="35" t="s">
        <v>5999</v>
      </c>
      <c r="C2994" s="36">
        <v>3.0</v>
      </c>
      <c r="D2994" s="37">
        <v>321.0</v>
      </c>
      <c r="E2994" s="37">
        <v>6.0</v>
      </c>
      <c r="F2994" s="24" t="str">
        <f t="array" ref="F2994">"https://www.google.com/maps/search/?api=1&amp;query=" &amp; A2994 &amp; "," &amp; B2994</f>
        <v>https://www.google.com/maps/search/?api=1&amp;query=-30.90029540563390,-55.54945942633860</v>
      </c>
      <c r="G2994" s="25" t="str">
        <f t="array" ref="G2994">"https://earth.google.com/web/search/" &amp; A2994 &amp; "," &amp; B2994</f>
        <v>https://earth.google.com/web/search/-30.90029540563390,-55.54945942633860</v>
      </c>
      <c r="H2994" s="12"/>
      <c r="I2994" s="12"/>
      <c r="J2994" s="12"/>
      <c r="K2994" s="12"/>
      <c r="L2994" s="12"/>
      <c r="M2994" s="12"/>
      <c r="N2994" s="12"/>
      <c r="O2994" s="12"/>
      <c r="P2994" s="12"/>
      <c r="Q2994" s="12"/>
      <c r="R2994" s="12"/>
      <c r="S2994" s="12"/>
      <c r="T2994" s="12"/>
      <c r="U2994" s="12"/>
      <c r="V2994" s="12"/>
      <c r="W2994" s="12"/>
      <c r="X2994" s="12"/>
      <c r="Y2994" s="12"/>
      <c r="Z2994" s="12"/>
      <c r="AA2994" s="12"/>
    </row>
    <row r="2995" ht="26.25" customHeight="1">
      <c r="A2995" s="28" t="s">
        <v>6000</v>
      </c>
      <c r="B2995" s="29" t="s">
        <v>6001</v>
      </c>
      <c r="C2995" s="30">
        <v>3.0</v>
      </c>
      <c r="D2995" s="31">
        <v>321.0</v>
      </c>
      <c r="E2995" s="31">
        <v>7.0</v>
      </c>
      <c r="F2995" s="32" t="str">
        <f t="array" ref="F2995">"https://www.google.com/maps/search/?api=1&amp;query=" &amp; A2995 &amp; "," &amp; B2995</f>
        <v>https://www.google.com/maps/search/?api=1&amp;query=-3.09002257252994,-55.54960356766100</v>
      </c>
      <c r="G2995" s="33" t="str">
        <f t="array" ref="G2995">"https://earth.google.com/web/search/" &amp; A2995 &amp; "," &amp; B2995</f>
        <v>https://earth.google.com/web/search/-3.09002257252994,-55.54960356766100</v>
      </c>
      <c r="H2995" s="12"/>
      <c r="I2995" s="12"/>
      <c r="J2995" s="12"/>
      <c r="K2995" s="12"/>
      <c r="L2995" s="12"/>
      <c r="M2995" s="12"/>
      <c r="N2995" s="12"/>
      <c r="O2995" s="12"/>
      <c r="P2995" s="12"/>
      <c r="Q2995" s="12"/>
      <c r="R2995" s="12"/>
      <c r="S2995" s="12"/>
      <c r="T2995" s="12"/>
      <c r="U2995" s="12"/>
      <c r="V2995" s="12"/>
      <c r="W2995" s="12"/>
      <c r="X2995" s="12"/>
      <c r="Y2995" s="12"/>
      <c r="Z2995" s="12"/>
      <c r="AA2995" s="12"/>
    </row>
    <row r="2996" ht="26.25" customHeight="1">
      <c r="A2996" s="34" t="s">
        <v>6002</v>
      </c>
      <c r="B2996" s="35" t="s">
        <v>6003</v>
      </c>
      <c r="C2996" s="36">
        <v>3.0</v>
      </c>
      <c r="D2996" s="37">
        <v>322.0</v>
      </c>
      <c r="E2996" s="37">
        <v>1.0</v>
      </c>
      <c r="F2996" s="24" t="str">
        <f t="array" ref="F2996">"https://www.google.com/maps/search/?api=1&amp;query=" &amp; A2996 &amp; "," &amp; B2996</f>
        <v>https://www.google.com/maps/search/?api=1&amp;query=-30.90149215568630,-55.54903426500820</v>
      </c>
      <c r="G2996" s="25" t="str">
        <f t="array" ref="G2996">"https://earth.google.com/web/search/" &amp; A2996 &amp; "," &amp; B2996</f>
        <v>https://earth.google.com/web/search/-30.90149215568630,-55.54903426500820</v>
      </c>
      <c r="H2996" s="12"/>
      <c r="I2996" s="12"/>
      <c r="J2996" s="12"/>
      <c r="K2996" s="12"/>
      <c r="L2996" s="12"/>
      <c r="M2996" s="12"/>
      <c r="N2996" s="12"/>
      <c r="O2996" s="12"/>
      <c r="P2996" s="12"/>
      <c r="Q2996" s="12"/>
      <c r="R2996" s="12"/>
      <c r="S2996" s="12"/>
      <c r="T2996" s="12"/>
      <c r="U2996" s="12"/>
      <c r="V2996" s="12"/>
      <c r="W2996" s="12"/>
      <c r="X2996" s="12"/>
      <c r="Y2996" s="12"/>
      <c r="Z2996" s="12"/>
      <c r="AA2996" s="12"/>
    </row>
    <row r="2997" ht="26.25" customHeight="1">
      <c r="A2997" s="28" t="s">
        <v>6004</v>
      </c>
      <c r="B2997" s="29" t="s">
        <v>6005</v>
      </c>
      <c r="C2997" s="30">
        <v>3.0</v>
      </c>
      <c r="D2997" s="31">
        <v>322.0</v>
      </c>
      <c r="E2997" s="31">
        <v>2.0</v>
      </c>
      <c r="F2997" s="32" t="str">
        <f t="array" ref="F2997">"https://www.google.com/maps/search/?api=1&amp;query=" &amp; A2997 &amp; "," &amp; B2997</f>
        <v>https://www.google.com/maps/search/?api=1&amp;query=-30.90154829237310,-55.54893956273160</v>
      </c>
      <c r="G2997" s="33" t="str">
        <f t="array" ref="G2997">"https://earth.google.com/web/search/" &amp; A2997 &amp; "," &amp; B2997</f>
        <v>https://earth.google.com/web/search/-30.90154829237310,-55.54893956273160</v>
      </c>
      <c r="H2997" s="12"/>
      <c r="I2997" s="12"/>
      <c r="J2997" s="12"/>
      <c r="K2997" s="12"/>
      <c r="L2997" s="12"/>
      <c r="M2997" s="12"/>
      <c r="N2997" s="12"/>
      <c r="O2997" s="12"/>
      <c r="P2997" s="12"/>
      <c r="Q2997" s="12"/>
      <c r="R2997" s="12"/>
      <c r="S2997" s="12"/>
      <c r="T2997" s="12"/>
      <c r="U2997" s="12"/>
      <c r="V2997" s="12"/>
      <c r="W2997" s="12"/>
      <c r="X2997" s="12"/>
      <c r="Y2997" s="12"/>
      <c r="Z2997" s="12"/>
      <c r="AA2997" s="12"/>
    </row>
    <row r="2998" ht="26.25" customHeight="1">
      <c r="A2998" s="34" t="s">
        <v>6006</v>
      </c>
      <c r="B2998" s="35" t="s">
        <v>6007</v>
      </c>
      <c r="C2998" s="36">
        <v>3.0</v>
      </c>
      <c r="D2998" s="37">
        <v>322.0</v>
      </c>
      <c r="E2998" s="37">
        <v>3.0</v>
      </c>
      <c r="F2998" s="24" t="str">
        <f t="array" ref="F2998">"https://www.google.com/maps/search/?api=1&amp;query=" &amp; A2998 &amp; "," &amp; B2998</f>
        <v>https://www.google.com/maps/search/?api=1&amp;query=-3.09015938609638,-55.54886502407150</v>
      </c>
      <c r="G2998" s="25" t="str">
        <f t="array" ref="G2998">"https://earth.google.com/web/search/" &amp; A2998 &amp; "," &amp; B2998</f>
        <v>https://earth.google.com/web/search/-3.09015938609638,-55.54886502407150</v>
      </c>
      <c r="H2998" s="12"/>
      <c r="I2998" s="12"/>
      <c r="J2998" s="12"/>
      <c r="K2998" s="12"/>
      <c r="L2998" s="12"/>
      <c r="M2998" s="12"/>
      <c r="N2998" s="12"/>
      <c r="O2998" s="12"/>
      <c r="P2998" s="12"/>
      <c r="Q2998" s="12"/>
      <c r="R2998" s="12"/>
      <c r="S2998" s="12"/>
      <c r="T2998" s="12"/>
      <c r="U2998" s="12"/>
      <c r="V2998" s="12"/>
      <c r="W2998" s="12"/>
      <c r="X2998" s="12"/>
      <c r="Y2998" s="12"/>
      <c r="Z2998" s="12"/>
      <c r="AA2998" s="12"/>
    </row>
    <row r="2999" ht="26.25" customHeight="1">
      <c r="A2999" s="28" t="s">
        <v>6008</v>
      </c>
      <c r="B2999" s="29" t="s">
        <v>6009</v>
      </c>
      <c r="C2999" s="30">
        <v>3.0</v>
      </c>
      <c r="D2999" s="31">
        <v>322.0</v>
      </c>
      <c r="E2999" s="31">
        <v>4.0</v>
      </c>
      <c r="F2999" s="32" t="str">
        <f t="array" ref="F2999">"https://www.google.com/maps/search/?api=1&amp;query=" &amp; A2999 &amp; "," &amp; B2999</f>
        <v>https://www.google.com/maps/search/?api=1&amp;query=-30.90163542632710,-55.54878980809710</v>
      </c>
      <c r="G2999" s="33" t="str">
        <f t="array" ref="G2999">"https://earth.google.com/web/search/" &amp; A2999 &amp; "," &amp; B2999</f>
        <v>https://earth.google.com/web/search/-30.90163542632710,-55.54878980809710</v>
      </c>
      <c r="H2999" s="12"/>
      <c r="I2999" s="12"/>
      <c r="J2999" s="12"/>
      <c r="K2999" s="12"/>
      <c r="L2999" s="12"/>
      <c r="M2999" s="12"/>
      <c r="N2999" s="12"/>
      <c r="O2999" s="12"/>
      <c r="P2999" s="12"/>
      <c r="Q2999" s="12"/>
      <c r="R2999" s="12"/>
      <c r="S2999" s="12"/>
      <c r="T2999" s="12"/>
      <c r="U2999" s="12"/>
      <c r="V2999" s="12"/>
      <c r="W2999" s="12"/>
      <c r="X2999" s="12"/>
      <c r="Y2999" s="12"/>
      <c r="Z2999" s="12"/>
      <c r="AA2999" s="12"/>
    </row>
    <row r="3000" ht="26.25" customHeight="1">
      <c r="A3000" s="34" t="s">
        <v>6010</v>
      </c>
      <c r="B3000" s="35" t="s">
        <v>6011</v>
      </c>
      <c r="C3000" s="36">
        <v>3.0</v>
      </c>
      <c r="D3000" s="37">
        <v>322.0</v>
      </c>
      <c r="E3000" s="37">
        <v>5.0</v>
      </c>
      <c r="F3000" s="24" t="str">
        <f t="array" ref="F3000">"https://www.google.com/maps/search/?api=1&amp;query=" &amp; A3000 &amp; "," &amp; B3000</f>
        <v>https://www.google.com/maps/search/?api=1&amp;query=-30.90161892850840,-55.54871688021940</v>
      </c>
      <c r="G3000" s="25" t="str">
        <f t="array" ref="G3000">"https://earth.google.com/web/search/" &amp; A3000 &amp; "," &amp; B3000</f>
        <v>https://earth.google.com/web/search/-30.90161892850840,-55.54871688021940</v>
      </c>
      <c r="H3000" s="12"/>
      <c r="I3000" s="12"/>
      <c r="J3000" s="12"/>
      <c r="K3000" s="12"/>
      <c r="L3000" s="12"/>
      <c r="M3000" s="12"/>
      <c r="N3000" s="12"/>
      <c r="O3000" s="12"/>
      <c r="P3000" s="12"/>
      <c r="Q3000" s="12"/>
      <c r="R3000" s="12"/>
      <c r="S3000" s="12"/>
      <c r="T3000" s="12"/>
      <c r="U3000" s="12"/>
      <c r="V3000" s="12"/>
      <c r="W3000" s="12"/>
      <c r="X3000" s="12"/>
      <c r="Y3000" s="12"/>
      <c r="Z3000" s="12"/>
      <c r="AA3000" s="12"/>
    </row>
    <row r="3001" ht="26.25" customHeight="1">
      <c r="A3001" s="28" t="s">
        <v>6012</v>
      </c>
      <c r="B3001" s="29" t="s">
        <v>6013</v>
      </c>
      <c r="C3001" s="30">
        <v>3.0</v>
      </c>
      <c r="D3001" s="31">
        <v>322.0</v>
      </c>
      <c r="E3001" s="31">
        <v>6.0</v>
      </c>
      <c r="F3001" s="32" t="str">
        <f t="array" ref="F3001">"https://www.google.com/maps/search/?api=1&amp;query=" &amp; A3001 &amp; "," &amp; B3001</f>
        <v>https://www.google.com/maps/search/?api=1&amp;query=-30.90153050214140,-55.54866909102290</v>
      </c>
      <c r="G3001" s="33" t="str">
        <f t="array" ref="G3001">"https://earth.google.com/web/search/" &amp; A3001 &amp; "," &amp; B3001</f>
        <v>https://earth.google.com/web/search/-30.90153050214140,-55.54866909102290</v>
      </c>
      <c r="H3001" s="12"/>
      <c r="I3001" s="12"/>
      <c r="J3001" s="12"/>
      <c r="K3001" s="12"/>
      <c r="L3001" s="12"/>
      <c r="M3001" s="12"/>
      <c r="N3001" s="12"/>
      <c r="O3001" s="12"/>
      <c r="P3001" s="12"/>
      <c r="Q3001" s="12"/>
      <c r="R3001" s="12"/>
      <c r="S3001" s="12"/>
      <c r="T3001" s="12"/>
      <c r="U3001" s="12"/>
      <c r="V3001" s="12"/>
      <c r="W3001" s="12"/>
      <c r="X3001" s="12"/>
      <c r="Y3001" s="12"/>
      <c r="Z3001" s="12"/>
      <c r="AA3001" s="12"/>
    </row>
    <row r="3002" ht="26.25" customHeight="1">
      <c r="A3002" s="34" t="s">
        <v>6014</v>
      </c>
      <c r="B3002" s="35" t="s">
        <v>6015</v>
      </c>
      <c r="C3002" s="36">
        <v>3.0</v>
      </c>
      <c r="D3002" s="37">
        <v>322.0</v>
      </c>
      <c r="E3002" s="37">
        <v>7.0</v>
      </c>
      <c r="F3002" s="24" t="str">
        <f t="array" ref="F3002">"https://www.google.com/maps/search/?api=1&amp;query=" &amp; A3002 &amp; "," &amp; B3002</f>
        <v>https://www.google.com/maps/search/?api=1&amp;query=-30.90073905832250,-55.54865054668430</v>
      </c>
      <c r="G3002" s="25" t="str">
        <f t="array" ref="G3002">"https://earth.google.com/web/search/" &amp; A3002 &amp; "," &amp; B3002</f>
        <v>https://earth.google.com/web/search/-30.90073905832250,-55.54865054668430</v>
      </c>
      <c r="H3002" s="12"/>
      <c r="I3002" s="12"/>
      <c r="J3002" s="12"/>
      <c r="K3002" s="12"/>
      <c r="L3002" s="12"/>
      <c r="M3002" s="12"/>
      <c r="N3002" s="12"/>
      <c r="O3002" s="12"/>
      <c r="P3002" s="12"/>
      <c r="Q3002" s="12"/>
      <c r="R3002" s="12"/>
      <c r="S3002" s="12"/>
      <c r="T3002" s="12"/>
      <c r="U3002" s="12"/>
      <c r="V3002" s="12"/>
      <c r="W3002" s="12"/>
      <c r="X3002" s="12"/>
      <c r="Y3002" s="12"/>
      <c r="Z3002" s="12"/>
      <c r="AA3002" s="12"/>
    </row>
    <row r="3003" ht="26.25" customHeight="1">
      <c r="A3003" s="28" t="s">
        <v>6016</v>
      </c>
      <c r="B3003" s="29" t="s">
        <v>6017</v>
      </c>
      <c r="C3003" s="30">
        <v>3.0</v>
      </c>
      <c r="D3003" s="31">
        <v>322.0</v>
      </c>
      <c r="E3003" s="31">
        <v>8.0</v>
      </c>
      <c r="F3003" s="32" t="str">
        <f t="array" ref="F3003">"https://www.google.com/maps/search/?api=1&amp;query=" &amp; A3003 &amp; "," &amp; B3003</f>
        <v>https://www.google.com/maps/search/?api=1&amp;query=-30.90062698456340,-55.54911111451570</v>
      </c>
      <c r="G3003" s="33" t="str">
        <f t="array" ref="G3003">"https://earth.google.com/web/search/" &amp; A3003 &amp; "," &amp; B3003</f>
        <v>https://earth.google.com/web/search/-30.90062698456340,-55.54911111451570</v>
      </c>
      <c r="H3003" s="12"/>
      <c r="I3003" s="12"/>
      <c r="J3003" s="12"/>
      <c r="K3003" s="12"/>
      <c r="L3003" s="12"/>
      <c r="M3003" s="12"/>
      <c r="N3003" s="12"/>
      <c r="O3003" s="12"/>
      <c r="P3003" s="12"/>
      <c r="Q3003" s="12"/>
      <c r="R3003" s="12"/>
      <c r="S3003" s="12"/>
      <c r="T3003" s="12"/>
      <c r="U3003" s="12"/>
      <c r="V3003" s="12"/>
      <c r="W3003" s="12"/>
      <c r="X3003" s="12"/>
      <c r="Y3003" s="12"/>
      <c r="Z3003" s="12"/>
      <c r="AA3003" s="12"/>
    </row>
    <row r="3004" ht="26.25" customHeight="1">
      <c r="A3004" s="34" t="s">
        <v>6018</v>
      </c>
      <c r="B3004" s="35" t="s">
        <v>6019</v>
      </c>
      <c r="C3004" s="36">
        <v>3.0</v>
      </c>
      <c r="D3004" s="37">
        <v>323.0</v>
      </c>
      <c r="E3004" s="37">
        <v>1.0</v>
      </c>
      <c r="F3004" s="24" t="str">
        <f t="array" ref="F3004">"https://www.google.com/maps/search/?api=1&amp;query=" &amp; A3004 &amp; "," &amp; B3004</f>
        <v>https://www.google.com/maps/search/?api=1&amp;query=-30.90184066089520,-5.55484276084322</v>
      </c>
      <c r="G3004" s="25" t="str">
        <f t="array" ref="G3004">"https://earth.google.com/web/search/" &amp; A3004 &amp; "," &amp; B3004</f>
        <v>https://earth.google.com/web/search/-30.90184066089520,-5.55484276084322</v>
      </c>
      <c r="H3004" s="12"/>
      <c r="I3004" s="12"/>
      <c r="J3004" s="12"/>
      <c r="K3004" s="12"/>
      <c r="L3004" s="12"/>
      <c r="M3004" s="12"/>
      <c r="N3004" s="12"/>
      <c r="O3004" s="12"/>
      <c r="P3004" s="12"/>
      <c r="Q3004" s="12"/>
      <c r="R3004" s="12"/>
      <c r="S3004" s="12"/>
      <c r="T3004" s="12"/>
      <c r="U3004" s="12"/>
      <c r="V3004" s="12"/>
      <c r="W3004" s="12"/>
      <c r="X3004" s="12"/>
      <c r="Y3004" s="12"/>
      <c r="Z3004" s="12"/>
      <c r="AA3004" s="12"/>
    </row>
    <row r="3005" ht="26.25" customHeight="1">
      <c r="A3005" s="28" t="s">
        <v>6020</v>
      </c>
      <c r="B3005" s="29" t="s">
        <v>6021</v>
      </c>
      <c r="C3005" s="30">
        <v>3.0</v>
      </c>
      <c r="D3005" s="31">
        <v>323.0</v>
      </c>
      <c r="E3005" s="31">
        <v>2.0</v>
      </c>
      <c r="F3005" s="32" t="str">
        <f t="array" ref="F3005">"https://www.google.com/maps/search/?api=1&amp;query=" &amp; A3005 &amp; "," &amp; B3005</f>
        <v>https://www.google.com/maps/search/?api=1&amp;query=-30.90185041477330,-55.54761627376220</v>
      </c>
      <c r="G3005" s="33" t="str">
        <f t="array" ref="G3005">"https://earth.google.com/web/search/" &amp; A3005 &amp; "," &amp; B3005</f>
        <v>https://earth.google.com/web/search/-30.90185041477330,-55.54761627376220</v>
      </c>
      <c r="H3005" s="12"/>
      <c r="I3005" s="12"/>
      <c r="J3005" s="12"/>
      <c r="K3005" s="12"/>
      <c r="L3005" s="12"/>
      <c r="M3005" s="12"/>
      <c r="N3005" s="12"/>
      <c r="O3005" s="12"/>
      <c r="P3005" s="12"/>
      <c r="Q3005" s="12"/>
      <c r="R3005" s="12"/>
      <c r="S3005" s="12"/>
      <c r="T3005" s="12"/>
      <c r="U3005" s="12"/>
      <c r="V3005" s="12"/>
      <c r="W3005" s="12"/>
      <c r="X3005" s="12"/>
      <c r="Y3005" s="12"/>
      <c r="Z3005" s="12"/>
      <c r="AA3005" s="12"/>
    </row>
    <row r="3006" ht="26.25" customHeight="1">
      <c r="A3006" s="34" t="s">
        <v>6022</v>
      </c>
      <c r="B3006" s="35" t="s">
        <v>6023</v>
      </c>
      <c r="C3006" s="36">
        <v>3.0</v>
      </c>
      <c r="D3006" s="37">
        <v>323.0</v>
      </c>
      <c r="E3006" s="37">
        <v>3.0</v>
      </c>
      <c r="F3006" s="24" t="str">
        <f t="array" ref="F3006">"https://www.google.com/maps/search/?api=1&amp;query=" &amp; A3006 &amp; "," &amp; B3006</f>
        <v>https://www.google.com/maps/search/?api=1&amp;query=-30.90168216190820,-55.54749513291080</v>
      </c>
      <c r="G3006" s="25" t="str">
        <f t="array" ref="G3006">"https://earth.google.com/web/search/" &amp; A3006 &amp; "," &amp; B3006</f>
        <v>https://earth.google.com/web/search/-30.90168216190820,-55.54749513291080</v>
      </c>
      <c r="H3006" s="12"/>
      <c r="I3006" s="12"/>
      <c r="J3006" s="12"/>
      <c r="K3006" s="12"/>
      <c r="L3006" s="12"/>
      <c r="M3006" s="12"/>
      <c r="N3006" s="12"/>
      <c r="O3006" s="12"/>
      <c r="P3006" s="12"/>
      <c r="Q3006" s="12"/>
      <c r="R3006" s="12"/>
      <c r="S3006" s="12"/>
      <c r="T3006" s="12"/>
      <c r="U3006" s="12"/>
      <c r="V3006" s="12"/>
      <c r="W3006" s="12"/>
      <c r="X3006" s="12"/>
      <c r="Y3006" s="12"/>
      <c r="Z3006" s="12"/>
      <c r="AA3006" s="12"/>
    </row>
    <row r="3007" ht="26.25" customHeight="1">
      <c r="A3007" s="28" t="s">
        <v>6024</v>
      </c>
      <c r="B3007" s="29" t="s">
        <v>6025</v>
      </c>
      <c r="C3007" s="30">
        <v>3.0</v>
      </c>
      <c r="D3007" s="31">
        <v>323.0</v>
      </c>
      <c r="E3007" s="31">
        <v>4.0</v>
      </c>
      <c r="F3007" s="32" t="str">
        <f t="array" ref="F3007">"https://www.google.com/maps/search/?api=1&amp;query=" &amp; A3007 &amp; "," &amp; B3007</f>
        <v>https://www.google.com/maps/search/?api=1&amp;query=-30.90159029862270,-55.54741873617810</v>
      </c>
      <c r="G3007" s="33" t="str">
        <f t="array" ref="G3007">"https://earth.google.com/web/search/" &amp; A3007 &amp; "," &amp; B3007</f>
        <v>https://earth.google.com/web/search/-30.90159029862270,-55.54741873617810</v>
      </c>
      <c r="H3007" s="12"/>
      <c r="I3007" s="12"/>
      <c r="J3007" s="12"/>
      <c r="K3007" s="12"/>
      <c r="L3007" s="12"/>
      <c r="M3007" s="12"/>
      <c r="N3007" s="12"/>
      <c r="O3007" s="12"/>
      <c r="P3007" s="12"/>
      <c r="Q3007" s="12"/>
      <c r="R3007" s="12"/>
      <c r="S3007" s="12"/>
      <c r="T3007" s="12"/>
      <c r="U3007" s="12"/>
      <c r="V3007" s="12"/>
      <c r="W3007" s="12"/>
      <c r="X3007" s="12"/>
      <c r="Y3007" s="12"/>
      <c r="Z3007" s="12"/>
      <c r="AA3007" s="12"/>
    </row>
    <row r="3008" ht="26.25" customHeight="1">
      <c r="A3008" s="34" t="s">
        <v>6026</v>
      </c>
      <c r="B3008" s="35" t="s">
        <v>6027</v>
      </c>
      <c r="C3008" s="36">
        <v>3.0</v>
      </c>
      <c r="D3008" s="37">
        <v>323.0</v>
      </c>
      <c r="E3008" s="37">
        <v>5.0</v>
      </c>
      <c r="F3008" s="24" t="str">
        <f t="array" ref="F3008">"https://www.google.com/maps/search/?api=1&amp;query=" &amp; A3008 &amp; "," &amp; B3008</f>
        <v>https://www.google.com/maps/search/?api=1&amp;query=-30.90150541452690,-55.54734189820250</v>
      </c>
      <c r="G3008" s="25" t="str">
        <f t="array" ref="G3008">"https://earth.google.com/web/search/" &amp; A3008 &amp; "," &amp; B3008</f>
        <v>https://earth.google.com/web/search/-30.90150541452690,-55.54734189820250</v>
      </c>
      <c r="H3008" s="12"/>
      <c r="I3008" s="12"/>
      <c r="J3008" s="12"/>
      <c r="K3008" s="12"/>
      <c r="L3008" s="12"/>
      <c r="M3008" s="12"/>
      <c r="N3008" s="12"/>
      <c r="O3008" s="12"/>
      <c r="P3008" s="12"/>
      <c r="Q3008" s="12"/>
      <c r="R3008" s="12"/>
      <c r="S3008" s="12"/>
      <c r="T3008" s="12"/>
      <c r="U3008" s="12"/>
      <c r="V3008" s="12"/>
      <c r="W3008" s="12"/>
      <c r="X3008" s="12"/>
      <c r="Y3008" s="12"/>
      <c r="Z3008" s="12"/>
      <c r="AA3008" s="12"/>
    </row>
    <row r="3009" ht="26.25" customHeight="1">
      <c r="A3009" s="28" t="s">
        <v>6028</v>
      </c>
      <c r="B3009" s="29" t="s">
        <v>6029</v>
      </c>
      <c r="C3009" s="30">
        <v>3.0</v>
      </c>
      <c r="D3009" s="31">
        <v>323.0</v>
      </c>
      <c r="E3009" s="31">
        <v>6.0</v>
      </c>
      <c r="F3009" s="32" t="str">
        <f t="array" ref="F3009">"https://www.google.com/maps/search/?api=1&amp;query=" &amp; A3009 &amp; "," &amp; B3009</f>
        <v>https://www.google.com/maps/search/?api=1&amp;query=-30.90120485059710,-55.54828470978000</v>
      </c>
      <c r="G3009" s="33" t="str">
        <f t="array" ref="G3009">"https://earth.google.com/web/search/" &amp; A3009 &amp; "," &amp; B3009</f>
        <v>https://earth.google.com/web/search/-30.90120485059710,-55.54828470978000</v>
      </c>
      <c r="H3009" s="12"/>
      <c r="I3009" s="12"/>
      <c r="J3009" s="12"/>
      <c r="K3009" s="12"/>
      <c r="L3009" s="12"/>
      <c r="M3009" s="12"/>
      <c r="N3009" s="12"/>
      <c r="O3009" s="12"/>
      <c r="P3009" s="12"/>
      <c r="Q3009" s="12"/>
      <c r="R3009" s="12"/>
      <c r="S3009" s="12"/>
      <c r="T3009" s="12"/>
      <c r="U3009" s="12"/>
      <c r="V3009" s="12"/>
      <c r="W3009" s="12"/>
      <c r="X3009" s="12"/>
      <c r="Y3009" s="12"/>
      <c r="Z3009" s="12"/>
      <c r="AA3009" s="12"/>
    </row>
    <row r="3010" ht="26.25" customHeight="1">
      <c r="A3010" s="34" t="s">
        <v>6030</v>
      </c>
      <c r="B3010" s="35" t="s">
        <v>6031</v>
      </c>
      <c r="C3010" s="36">
        <v>3.0</v>
      </c>
      <c r="D3010" s="37">
        <v>323.0</v>
      </c>
      <c r="E3010" s="37">
        <v>7.0</v>
      </c>
      <c r="F3010" s="24" t="str">
        <f t="array" ref="F3010">"https://www.google.com/maps/search/?api=1&amp;query=" &amp; A3010 &amp; "," &amp; B3010</f>
        <v>https://www.google.com/maps/search/?api=1&amp;query=-30.90139113597350,-55.54842799916660</v>
      </c>
      <c r="G3010" s="25" t="str">
        <f t="array" ref="G3010">"https://earth.google.com/web/search/" &amp; A3010 &amp; "," &amp; B3010</f>
        <v>https://earth.google.com/web/search/-30.90139113597350,-55.54842799916660</v>
      </c>
      <c r="H3010" s="12"/>
      <c r="I3010" s="12"/>
      <c r="J3010" s="12"/>
      <c r="K3010" s="12"/>
      <c r="L3010" s="12"/>
      <c r="M3010" s="12"/>
      <c r="N3010" s="12"/>
      <c r="O3010" s="12"/>
      <c r="P3010" s="12"/>
      <c r="Q3010" s="12"/>
      <c r="R3010" s="12"/>
      <c r="S3010" s="12"/>
      <c r="T3010" s="12"/>
      <c r="U3010" s="12"/>
      <c r="V3010" s="12"/>
      <c r="W3010" s="12"/>
      <c r="X3010" s="12"/>
      <c r="Y3010" s="12"/>
      <c r="Z3010" s="12"/>
      <c r="AA3010" s="12"/>
    </row>
    <row r="3011" ht="26.25" customHeight="1">
      <c r="A3011" s="28" t="s">
        <v>6032</v>
      </c>
      <c r="B3011" s="29" t="s">
        <v>6033</v>
      </c>
      <c r="C3011" s="30">
        <v>3.0</v>
      </c>
      <c r="D3011" s="31">
        <v>324.0</v>
      </c>
      <c r="E3011" s="31">
        <v>1.0</v>
      </c>
      <c r="F3011" s="32" t="str">
        <f t="array" ref="F3011">"https://www.google.com/maps/search/?api=1&amp;query=" &amp; A3011 &amp; "," &amp; B3011</f>
        <v>https://www.google.com/maps/search/?api=1&amp;query=-30.90217183819360,-55.54766183789150</v>
      </c>
      <c r="G3011" s="33" t="str">
        <f t="array" ref="G3011">"https://earth.google.com/web/search/" &amp; A3011 &amp; "," &amp; B3011</f>
        <v>https://earth.google.com/web/search/-30.90217183819360,-55.54766183789150</v>
      </c>
      <c r="H3011" s="12"/>
      <c r="I3011" s="12"/>
      <c r="J3011" s="12"/>
      <c r="K3011" s="12"/>
      <c r="L3011" s="12"/>
      <c r="M3011" s="12"/>
      <c r="N3011" s="12"/>
      <c r="O3011" s="12"/>
      <c r="P3011" s="12"/>
      <c r="Q3011" s="12"/>
      <c r="R3011" s="12"/>
      <c r="S3011" s="12"/>
      <c r="T3011" s="12"/>
      <c r="U3011" s="12"/>
      <c r="V3011" s="12"/>
      <c r="W3011" s="12"/>
      <c r="X3011" s="12"/>
      <c r="Y3011" s="12"/>
      <c r="Z3011" s="12"/>
      <c r="AA3011" s="12"/>
    </row>
    <row r="3012" ht="26.25" customHeight="1">
      <c r="A3012" s="34" t="s">
        <v>6034</v>
      </c>
      <c r="B3012" s="35" t="s">
        <v>6035</v>
      </c>
      <c r="C3012" s="36">
        <v>3.0</v>
      </c>
      <c r="D3012" s="37">
        <v>324.0</v>
      </c>
      <c r="E3012" s="37">
        <v>2.0</v>
      </c>
      <c r="F3012" s="24" t="str">
        <f t="array" ref="F3012">"https://www.google.com/maps/search/?api=1&amp;query=" &amp; A3012 &amp; "," &amp; B3012</f>
        <v>https://www.google.com/maps/search/?api=1&amp;query=-30.90233788829370,-55.54747101151910</v>
      </c>
      <c r="G3012" s="25" t="str">
        <f t="array" ref="G3012">"https://earth.google.com/web/search/" &amp; A3012 &amp; "," &amp; B3012</f>
        <v>https://earth.google.com/web/search/-30.90233788829370,-55.54747101151910</v>
      </c>
      <c r="H3012" s="12"/>
      <c r="I3012" s="12"/>
      <c r="J3012" s="12"/>
      <c r="K3012" s="12"/>
      <c r="L3012" s="12"/>
      <c r="M3012" s="12"/>
      <c r="N3012" s="12"/>
      <c r="O3012" s="12"/>
      <c r="P3012" s="12"/>
      <c r="Q3012" s="12"/>
      <c r="R3012" s="12"/>
      <c r="S3012" s="12"/>
      <c r="T3012" s="12"/>
      <c r="U3012" s="12"/>
      <c r="V3012" s="12"/>
      <c r="W3012" s="12"/>
      <c r="X3012" s="12"/>
      <c r="Y3012" s="12"/>
      <c r="Z3012" s="12"/>
      <c r="AA3012" s="12"/>
    </row>
    <row r="3013" ht="26.25" customHeight="1">
      <c r="A3013" s="28" t="s">
        <v>6036</v>
      </c>
      <c r="B3013" s="29" t="s">
        <v>6037</v>
      </c>
      <c r="C3013" s="30">
        <v>3.0</v>
      </c>
      <c r="D3013" s="31">
        <v>324.0</v>
      </c>
      <c r="E3013" s="31">
        <v>3.0</v>
      </c>
      <c r="F3013" s="32" t="str">
        <f t="array" ref="F3013">"https://www.google.com/maps/search/?api=1&amp;query=" &amp; A3013 &amp; "," &amp; B3013</f>
        <v>https://www.google.com/maps/search/?api=1&amp;query=-30.90237301790990,-55.54739285814970</v>
      </c>
      <c r="G3013" s="33" t="str">
        <f t="array" ref="G3013">"https://earth.google.com/web/search/" &amp; A3013 &amp; "," &amp; B3013</f>
        <v>https://earth.google.com/web/search/-30.90237301790990,-55.54739285814970</v>
      </c>
      <c r="H3013" s="12"/>
      <c r="I3013" s="12"/>
      <c r="J3013" s="12"/>
      <c r="K3013" s="12"/>
      <c r="L3013" s="12"/>
      <c r="M3013" s="12"/>
      <c r="N3013" s="12"/>
      <c r="O3013" s="12"/>
      <c r="P3013" s="12"/>
      <c r="Q3013" s="12"/>
      <c r="R3013" s="12"/>
      <c r="S3013" s="12"/>
      <c r="T3013" s="12"/>
      <c r="U3013" s="12"/>
      <c r="V3013" s="12"/>
      <c r="W3013" s="12"/>
      <c r="X3013" s="12"/>
      <c r="Y3013" s="12"/>
      <c r="Z3013" s="12"/>
      <c r="AA3013" s="12"/>
    </row>
    <row r="3014" ht="26.25" customHeight="1">
      <c r="A3014" s="34" t="s">
        <v>6038</v>
      </c>
      <c r="B3014" s="35" t="s">
        <v>6039</v>
      </c>
      <c r="C3014" s="36">
        <v>3.0</v>
      </c>
      <c r="D3014" s="37">
        <v>324.0</v>
      </c>
      <c r="E3014" s="37">
        <v>4.0</v>
      </c>
      <c r="F3014" s="24" t="str">
        <f t="array" ref="F3014">"https://www.google.com/maps/search/?api=1&amp;query=" &amp; A3014 &amp; "," &amp; B3014</f>
        <v>https://www.google.com/maps/search/?api=1&amp;query=-30.90242764547560,-55.54729401794110</v>
      </c>
      <c r="G3014" s="25" t="str">
        <f t="array" ref="G3014">"https://earth.google.com/web/search/" &amp; A3014 &amp; "," &amp; B3014</f>
        <v>https://earth.google.com/web/search/-30.90242764547560,-55.54729401794110</v>
      </c>
      <c r="H3014" s="12"/>
      <c r="I3014" s="12"/>
      <c r="J3014" s="12"/>
      <c r="K3014" s="12"/>
      <c r="L3014" s="12"/>
      <c r="M3014" s="12"/>
      <c r="N3014" s="12"/>
      <c r="O3014" s="12"/>
      <c r="P3014" s="12"/>
      <c r="Q3014" s="12"/>
      <c r="R3014" s="12"/>
      <c r="S3014" s="12"/>
      <c r="T3014" s="12"/>
      <c r="U3014" s="12"/>
      <c r="V3014" s="12"/>
      <c r="W3014" s="12"/>
      <c r="X3014" s="12"/>
      <c r="Y3014" s="12"/>
      <c r="Z3014" s="12"/>
      <c r="AA3014" s="12"/>
    </row>
    <row r="3015" ht="26.25" customHeight="1">
      <c r="A3015" s="28" t="s">
        <v>6040</v>
      </c>
      <c r="B3015" s="29" t="s">
        <v>6041</v>
      </c>
      <c r="C3015" s="30">
        <v>3.0</v>
      </c>
      <c r="D3015" s="31">
        <v>324.0</v>
      </c>
      <c r="E3015" s="31">
        <v>5.0</v>
      </c>
      <c r="F3015" s="32" t="str">
        <f t="array" ref="F3015">"https://www.google.com/maps/search/?api=1&amp;query=" &amp; A3015 &amp; "," &amp; B3015</f>
        <v>https://www.google.com/maps/search/?api=1&amp;query=-30.90250731034870,-55.54715468666090</v>
      </c>
      <c r="G3015" s="33" t="str">
        <f t="array" ref="G3015">"https://earth.google.com/web/search/" &amp; A3015 &amp; "," &amp; B3015</f>
        <v>https://earth.google.com/web/search/-30.90250731034870,-55.54715468666090</v>
      </c>
      <c r="H3015" s="12"/>
      <c r="I3015" s="12"/>
      <c r="J3015" s="12"/>
      <c r="K3015" s="12"/>
      <c r="L3015" s="12"/>
      <c r="M3015" s="12"/>
      <c r="N3015" s="12"/>
      <c r="O3015" s="12"/>
      <c r="P3015" s="12"/>
      <c r="Q3015" s="12"/>
      <c r="R3015" s="12"/>
      <c r="S3015" s="12"/>
      <c r="T3015" s="12"/>
      <c r="U3015" s="12"/>
      <c r="V3015" s="12"/>
      <c r="W3015" s="12"/>
      <c r="X3015" s="12"/>
      <c r="Y3015" s="12"/>
      <c r="Z3015" s="12"/>
      <c r="AA3015" s="12"/>
    </row>
    <row r="3016" ht="26.25" customHeight="1">
      <c r="A3016" s="34" t="s">
        <v>6042</v>
      </c>
      <c r="B3016" s="35" t="s">
        <v>6043</v>
      </c>
      <c r="C3016" s="36">
        <v>3.0</v>
      </c>
      <c r="D3016" s="37">
        <v>324.0</v>
      </c>
      <c r="E3016" s="37">
        <v>6.0</v>
      </c>
      <c r="F3016" s="24" t="str">
        <f t="array" ref="F3016">"https://www.google.com/maps/search/?api=1&amp;query=" &amp; A3016 &amp; "," &amp; B3016</f>
        <v>https://www.google.com/maps/search/?api=1&amp;query=-3.09025731129857,-55.54707481636320</v>
      </c>
      <c r="G3016" s="25" t="str">
        <f t="array" ref="G3016">"https://earth.google.com/web/search/" &amp; A3016 &amp; "," &amp; B3016</f>
        <v>https://earth.google.com/web/search/-3.09025731129857,-55.54707481636320</v>
      </c>
      <c r="H3016" s="12"/>
      <c r="I3016" s="12"/>
      <c r="J3016" s="12"/>
      <c r="K3016" s="12"/>
      <c r="L3016" s="12"/>
      <c r="M3016" s="12"/>
      <c r="N3016" s="12"/>
      <c r="O3016" s="12"/>
      <c r="P3016" s="12"/>
      <c r="Q3016" s="12"/>
      <c r="R3016" s="12"/>
      <c r="S3016" s="12"/>
      <c r="T3016" s="12"/>
      <c r="U3016" s="12"/>
      <c r="V3016" s="12"/>
      <c r="W3016" s="12"/>
      <c r="X3016" s="12"/>
      <c r="Y3016" s="12"/>
      <c r="Z3016" s="12"/>
      <c r="AA3016" s="12"/>
    </row>
    <row r="3017" ht="26.25" customHeight="1">
      <c r="A3017" s="28" t="s">
        <v>6044</v>
      </c>
      <c r="B3017" s="29" t="s">
        <v>6045</v>
      </c>
      <c r="C3017" s="30">
        <v>3.0</v>
      </c>
      <c r="D3017" s="31">
        <v>324.0</v>
      </c>
      <c r="E3017" s="31">
        <v>7.0</v>
      </c>
      <c r="F3017" s="32" t="str">
        <f t="array" ref="F3017">"https://www.google.com/maps/search/?api=1&amp;query=" &amp; A3017 &amp; "," &amp; B3017</f>
        <v>https://www.google.com/maps/search/?api=1&amp;query=-0.30902020269897,-55.54760992478860</v>
      </c>
      <c r="G3017" s="33" t="str">
        <f t="array" ref="G3017">"https://earth.google.com/web/search/" &amp; A3017 &amp; "," &amp; B3017</f>
        <v>https://earth.google.com/web/search/-0.30902020269897,-55.54760992478860</v>
      </c>
      <c r="H3017" s="12"/>
      <c r="I3017" s="12"/>
      <c r="J3017" s="12"/>
      <c r="K3017" s="12"/>
      <c r="L3017" s="12"/>
      <c r="M3017" s="12"/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/>
      <c r="AA3017" s="12"/>
    </row>
    <row r="3018" ht="26.25" customHeight="1">
      <c r="A3018" s="34" t="s">
        <v>6046</v>
      </c>
      <c r="B3018" s="35" t="s">
        <v>6047</v>
      </c>
      <c r="C3018" s="36">
        <v>3.0</v>
      </c>
      <c r="D3018" s="37">
        <v>324.0</v>
      </c>
      <c r="E3018" s="37">
        <v>8.0</v>
      </c>
      <c r="F3018" s="24" t="str">
        <f t="array" ref="F3018">"https://www.google.com/maps/search/?api=1&amp;query=" &amp; A3018 &amp; "," &amp; B3018</f>
        <v>https://www.google.com/maps/search/?api=1&amp;query=-30.90171092390040,-55.54734960959380</v>
      </c>
      <c r="G3018" s="25" t="str">
        <f t="array" ref="G3018">"https://earth.google.com/web/search/" &amp; A3018 &amp; "," &amp; B3018</f>
        <v>https://earth.google.com/web/search/-30.90171092390040,-55.54734960959380</v>
      </c>
      <c r="H3018" s="12"/>
      <c r="I3018" s="12"/>
      <c r="J3018" s="12"/>
      <c r="K3018" s="12"/>
      <c r="L3018" s="12"/>
      <c r="M3018" s="12"/>
      <c r="N3018" s="12"/>
      <c r="O3018" s="12"/>
      <c r="P3018" s="12"/>
      <c r="Q3018" s="12"/>
      <c r="R3018" s="12"/>
      <c r="S3018" s="12"/>
      <c r="T3018" s="12"/>
      <c r="U3018" s="12"/>
      <c r="V3018" s="12"/>
      <c r="W3018" s="12"/>
      <c r="X3018" s="12"/>
      <c r="Y3018" s="12"/>
      <c r="Z3018" s="12"/>
      <c r="AA3018" s="12"/>
    </row>
    <row r="3019" ht="26.25" customHeight="1">
      <c r="A3019" s="28" t="s">
        <v>6048</v>
      </c>
      <c r="B3019" s="29" t="s">
        <v>6049</v>
      </c>
      <c r="C3019" s="30">
        <v>3.0</v>
      </c>
      <c r="D3019" s="31">
        <v>324.0</v>
      </c>
      <c r="E3019" s="31">
        <v>9.0</v>
      </c>
      <c r="F3019" s="32" t="str">
        <f t="array" ref="F3019">"https://www.google.com/maps/search/?api=1&amp;query=" &amp; A3019 &amp; "," &amp; B3019</f>
        <v>https://www.google.com/maps/search/?api=1&amp;query=-30.90259329747530,-5.55469994902858</v>
      </c>
      <c r="G3019" s="33" t="str">
        <f t="array" ref="G3019">"https://earth.google.com/web/search/" &amp; A3019 &amp; "," &amp; B3019</f>
        <v>https://earth.google.com/web/search/-30.90259329747530,-5.55469994902858</v>
      </c>
      <c r="H3019" s="12"/>
      <c r="I3019" s="12"/>
      <c r="J3019" s="12"/>
      <c r="K3019" s="12"/>
      <c r="L3019" s="12"/>
      <c r="M3019" s="12"/>
      <c r="N3019" s="12"/>
      <c r="O3019" s="12"/>
      <c r="P3019" s="12"/>
      <c r="Q3019" s="12"/>
      <c r="R3019" s="12"/>
      <c r="S3019" s="12"/>
      <c r="T3019" s="12"/>
      <c r="U3019" s="12"/>
      <c r="V3019" s="12"/>
      <c r="W3019" s="12"/>
      <c r="X3019" s="12"/>
      <c r="Y3019" s="12"/>
      <c r="Z3019" s="12"/>
      <c r="AA3019" s="12"/>
    </row>
    <row r="3020" ht="26.25" customHeight="1">
      <c r="A3020" s="34" t="s">
        <v>6050</v>
      </c>
      <c r="B3020" s="35" t="s">
        <v>6051</v>
      </c>
      <c r="C3020" s="36">
        <v>3.0</v>
      </c>
      <c r="D3020" s="37">
        <v>341.0</v>
      </c>
      <c r="E3020" s="37">
        <v>1.0</v>
      </c>
      <c r="F3020" s="24" t="str">
        <f t="array" ref="F3020">"https://www.google.com/maps/search/?api=1&amp;query=" &amp; A3020 &amp; "," &amp; B3020</f>
        <v>https://www.google.com/maps/search/?api=1&amp;query=-3.09032639455779,-5.55472612082166</v>
      </c>
      <c r="G3020" s="25" t="str">
        <f t="array" ref="G3020">"https://earth.google.com/web/search/" &amp; A3020 &amp; "," &amp; B3020</f>
        <v>https://earth.google.com/web/search/-3.09032639455779,-5.55472612082166</v>
      </c>
      <c r="H3020" s="12"/>
      <c r="I3020" s="12"/>
      <c r="J3020" s="12"/>
      <c r="K3020" s="12"/>
      <c r="L3020" s="12"/>
      <c r="M3020" s="12"/>
      <c r="N3020" s="12"/>
      <c r="O3020" s="12"/>
      <c r="P3020" s="12"/>
      <c r="Q3020" s="12"/>
      <c r="R3020" s="12"/>
      <c r="S3020" s="12"/>
      <c r="T3020" s="12"/>
      <c r="U3020" s="12"/>
      <c r="V3020" s="12"/>
      <c r="W3020" s="12"/>
      <c r="X3020" s="12"/>
      <c r="Y3020" s="12"/>
      <c r="Z3020" s="12"/>
      <c r="AA3020" s="12"/>
    </row>
    <row r="3021" ht="26.25" customHeight="1">
      <c r="A3021" s="28" t="s">
        <v>6052</v>
      </c>
      <c r="B3021" s="29" t="s">
        <v>6053</v>
      </c>
      <c r="C3021" s="30">
        <v>3.0</v>
      </c>
      <c r="D3021" s="31">
        <v>341.0</v>
      </c>
      <c r="E3021" s="31">
        <v>2.0</v>
      </c>
      <c r="F3021" s="32" t="str">
        <f t="array" ref="F3021">"https://www.google.com/maps/search/?api=1&amp;query=" &amp; A3021 &amp; "," &amp; B3021</f>
        <v>https://www.google.com/maps/search/?api=1&amp;query=-30.90318907458940,-55.54719126592090</v>
      </c>
      <c r="G3021" s="33" t="str">
        <f t="array" ref="G3021">"https://earth.google.com/web/search/" &amp; A3021 &amp; "," &amp; B3021</f>
        <v>https://earth.google.com/web/search/-30.90318907458940,-55.54719126592090</v>
      </c>
      <c r="H3021" s="12"/>
      <c r="I3021" s="12"/>
      <c r="J3021" s="12"/>
      <c r="K3021" s="12"/>
      <c r="L3021" s="12"/>
      <c r="M3021" s="12"/>
      <c r="N3021" s="12"/>
      <c r="O3021" s="12"/>
      <c r="P3021" s="12"/>
      <c r="Q3021" s="12"/>
      <c r="R3021" s="12"/>
      <c r="S3021" s="12"/>
      <c r="T3021" s="12"/>
      <c r="U3021" s="12"/>
      <c r="V3021" s="12"/>
      <c r="W3021" s="12"/>
      <c r="X3021" s="12"/>
      <c r="Y3021" s="12"/>
      <c r="Z3021" s="12"/>
      <c r="AA3021" s="12"/>
    </row>
    <row r="3022" ht="26.25" customHeight="1">
      <c r="A3022" s="34" t="s">
        <v>6054</v>
      </c>
      <c r="B3022" s="35" t="s">
        <v>6055</v>
      </c>
      <c r="C3022" s="36">
        <v>3.0</v>
      </c>
      <c r="D3022" s="37">
        <v>341.0</v>
      </c>
      <c r="E3022" s="37">
        <v>3.0</v>
      </c>
      <c r="F3022" s="24" t="str">
        <f t="array" ref="F3022">"https://www.google.com/maps/search/?api=1&amp;query=" &amp; A3022 &amp; "," &amp; B3022</f>
        <v>https://www.google.com/maps/search/?api=1&amp;query=-30.90306496938990,-5.55471162796069</v>
      </c>
      <c r="G3022" s="25" t="str">
        <f t="array" ref="G3022">"https://earth.google.com/web/search/" &amp; A3022 &amp; "," &amp; B3022</f>
        <v>https://earth.google.com/web/search/-30.90306496938990,-5.55471162796069</v>
      </c>
      <c r="H3022" s="12"/>
      <c r="I3022" s="12"/>
      <c r="J3022" s="12"/>
      <c r="K3022" s="12"/>
      <c r="L3022" s="12"/>
      <c r="M3022" s="12"/>
      <c r="N3022" s="12"/>
      <c r="O3022" s="12"/>
      <c r="P3022" s="12"/>
      <c r="Q3022" s="12"/>
      <c r="R3022" s="12"/>
      <c r="S3022" s="12"/>
      <c r="T3022" s="12"/>
      <c r="U3022" s="12"/>
      <c r="V3022" s="12"/>
      <c r="W3022" s="12"/>
      <c r="X3022" s="12"/>
      <c r="Y3022" s="12"/>
      <c r="Z3022" s="12"/>
      <c r="AA3022" s="12"/>
    </row>
    <row r="3023" ht="26.25" customHeight="1">
      <c r="A3023" s="28" t="s">
        <v>6056</v>
      </c>
      <c r="B3023" s="29" t="s">
        <v>6057</v>
      </c>
      <c r="C3023" s="30">
        <v>3.0</v>
      </c>
      <c r="D3023" s="31">
        <v>369.0</v>
      </c>
      <c r="E3023" s="31">
        <v>1.0</v>
      </c>
      <c r="F3023" s="32" t="str">
        <f t="array" ref="F3023">"https://www.google.com/maps/search/?api=1&amp;query=" &amp; A3023 &amp; "," &amp; B3023</f>
        <v>https://www.google.com/maps/search/?api=1&amp;query=-3.09036378310495,-5.55487574718684</v>
      </c>
      <c r="G3023" s="33" t="str">
        <f t="array" ref="G3023">"https://earth.google.com/web/search/" &amp; A3023 &amp; "," &amp; B3023</f>
        <v>https://earth.google.com/web/search/-3.09036378310495,-5.55487574718684</v>
      </c>
      <c r="H3023" s="12"/>
      <c r="I3023" s="12"/>
      <c r="J3023" s="12"/>
      <c r="K3023" s="12"/>
      <c r="L3023" s="12"/>
      <c r="M3023" s="12"/>
      <c r="N3023" s="12"/>
      <c r="O3023" s="12"/>
      <c r="P3023" s="12"/>
      <c r="Q3023" s="12"/>
      <c r="R3023" s="12"/>
      <c r="S3023" s="12"/>
      <c r="T3023" s="12"/>
      <c r="U3023" s="12"/>
      <c r="V3023" s="12"/>
      <c r="W3023" s="12"/>
      <c r="X3023" s="12"/>
      <c r="Y3023" s="12"/>
      <c r="Z3023" s="12"/>
      <c r="AA3023" s="12"/>
    </row>
    <row r="3024" ht="26.25" customHeight="1">
      <c r="A3024" s="34" t="s">
        <v>6058</v>
      </c>
      <c r="B3024" s="35" t="s">
        <v>6059</v>
      </c>
      <c r="C3024" s="36">
        <v>3.0</v>
      </c>
      <c r="D3024" s="37">
        <v>369.0</v>
      </c>
      <c r="E3024" s="37">
        <v>2.0</v>
      </c>
      <c r="F3024" s="24" t="str">
        <f t="array" ref="F3024">"https://www.google.com/maps/search/?api=1&amp;query=" &amp; A3024 &amp; "," &amp; B3024</f>
        <v>https://www.google.com/maps/search/?api=1&amp;query=-30.90382915717130,-55.54872654815870</v>
      </c>
      <c r="G3024" s="25" t="str">
        <f t="array" ref="G3024">"https://earth.google.com/web/search/" &amp; A3024 &amp; "," &amp; B3024</f>
        <v>https://earth.google.com/web/search/-30.90382915717130,-55.54872654815870</v>
      </c>
      <c r="H3024" s="12"/>
      <c r="I3024" s="12"/>
      <c r="J3024" s="12"/>
      <c r="K3024" s="12"/>
      <c r="L3024" s="12"/>
      <c r="M3024" s="12"/>
      <c r="N3024" s="12"/>
      <c r="O3024" s="12"/>
      <c r="P3024" s="12"/>
      <c r="Q3024" s="12"/>
      <c r="R3024" s="12"/>
      <c r="S3024" s="12"/>
      <c r="T3024" s="12"/>
      <c r="U3024" s="12"/>
      <c r="V3024" s="12"/>
      <c r="W3024" s="12"/>
      <c r="X3024" s="12"/>
      <c r="Y3024" s="12"/>
      <c r="Z3024" s="12"/>
      <c r="AA3024" s="12"/>
    </row>
    <row r="3025" ht="26.25" customHeight="1">
      <c r="A3025" s="28" t="s">
        <v>6060</v>
      </c>
      <c r="B3025" s="29" t="s">
        <v>6061</v>
      </c>
      <c r="C3025" s="30">
        <v>3.0</v>
      </c>
      <c r="D3025" s="31">
        <v>369.0</v>
      </c>
      <c r="E3025" s="31">
        <v>3.0</v>
      </c>
      <c r="F3025" s="32" t="str">
        <f t="array" ref="F3025">"https://www.google.com/maps/search/?api=1&amp;query=" &amp; A3025 &amp; "," &amp; B3025</f>
        <v>https://www.google.com/maps/search/?api=1&amp;query=-30.90407066110520,-55.54828140927580</v>
      </c>
      <c r="G3025" s="33" t="str">
        <f t="array" ref="G3025">"https://earth.google.com/web/search/" &amp; A3025 &amp; "," &amp; B3025</f>
        <v>https://earth.google.com/web/search/-30.90407066110520,-55.54828140927580</v>
      </c>
      <c r="H3025" s="12"/>
      <c r="I3025" s="12"/>
      <c r="J3025" s="12"/>
      <c r="K3025" s="12"/>
      <c r="L3025" s="12"/>
      <c r="M3025" s="12"/>
      <c r="N3025" s="12"/>
      <c r="O3025" s="12"/>
      <c r="P3025" s="12"/>
      <c r="Q3025" s="12"/>
      <c r="R3025" s="12"/>
      <c r="S3025" s="12"/>
      <c r="T3025" s="12"/>
      <c r="U3025" s="12"/>
      <c r="V3025" s="12"/>
      <c r="W3025" s="12"/>
      <c r="X3025" s="12"/>
      <c r="Y3025" s="12"/>
      <c r="Z3025" s="12"/>
      <c r="AA3025" s="12"/>
    </row>
    <row r="3026" ht="26.25" customHeight="1">
      <c r="A3026" s="34" t="s">
        <v>6062</v>
      </c>
      <c r="B3026" s="35" t="s">
        <v>6063</v>
      </c>
      <c r="C3026" s="36">
        <v>3.0</v>
      </c>
      <c r="D3026" s="37">
        <v>369.0</v>
      </c>
      <c r="E3026" s="37">
        <v>5.0</v>
      </c>
      <c r="F3026" s="24" t="str">
        <f t="array" ref="F3026">"https://www.google.com/maps/search/?api=1&amp;query=" &amp; A3026 &amp; "," &amp; B3026</f>
        <v>https://www.google.com/maps/search/?api=1&amp;query=-30.90415374431020,-55.54809981479280</v>
      </c>
      <c r="G3026" s="25" t="str">
        <f t="array" ref="G3026">"https://earth.google.com/web/search/" &amp; A3026 &amp; "," &amp; B3026</f>
        <v>https://earth.google.com/web/search/-30.90415374431020,-55.54809981479280</v>
      </c>
      <c r="H3026" s="12"/>
      <c r="I3026" s="12"/>
      <c r="J3026" s="12"/>
      <c r="K3026" s="12"/>
      <c r="L3026" s="12"/>
      <c r="M3026" s="12"/>
      <c r="N3026" s="12"/>
      <c r="O3026" s="12"/>
      <c r="P3026" s="12"/>
      <c r="Q3026" s="12"/>
      <c r="R3026" s="12"/>
      <c r="S3026" s="12"/>
      <c r="T3026" s="12"/>
      <c r="U3026" s="12"/>
      <c r="V3026" s="12"/>
      <c r="W3026" s="12"/>
      <c r="X3026" s="12"/>
      <c r="Y3026" s="12"/>
      <c r="Z3026" s="12"/>
      <c r="AA3026" s="12"/>
    </row>
    <row r="3027" ht="26.25" customHeight="1">
      <c r="A3027" s="28" t="s">
        <v>6064</v>
      </c>
      <c r="B3027" s="29" t="s">
        <v>6065</v>
      </c>
      <c r="C3027" s="30">
        <v>3.0</v>
      </c>
      <c r="D3027" s="31">
        <v>369.0</v>
      </c>
      <c r="E3027" s="31">
        <v>4.0</v>
      </c>
      <c r="F3027" s="32" t="str">
        <f t="array" ref="F3027">"https://www.google.com/maps/search/?api=1&amp;query=" &amp; A3027 &amp; "," &amp; B3027</f>
        <v>https://www.google.com/maps/search/?api=1&amp;query=-30.90410920846290,-55.54816099301500</v>
      </c>
      <c r="G3027" s="33" t="str">
        <f t="array" ref="G3027">"https://earth.google.com/web/search/" &amp; A3027 &amp; "," &amp; B3027</f>
        <v>https://earth.google.com/web/search/-30.90410920846290,-55.54816099301500</v>
      </c>
      <c r="H3027" s="12"/>
      <c r="I3027" s="12"/>
      <c r="J3027" s="12"/>
      <c r="K3027" s="12"/>
      <c r="L3027" s="12"/>
      <c r="M3027" s="12"/>
      <c r="N3027" s="12"/>
      <c r="O3027" s="12"/>
      <c r="P3027" s="12"/>
      <c r="Q3027" s="12"/>
      <c r="R3027" s="12"/>
      <c r="S3027" s="12"/>
      <c r="T3027" s="12"/>
      <c r="U3027" s="12"/>
      <c r="V3027" s="12"/>
      <c r="W3027" s="12"/>
      <c r="X3027" s="12"/>
      <c r="Y3027" s="12"/>
      <c r="Z3027" s="12"/>
      <c r="AA3027" s="12"/>
    </row>
    <row r="3028" ht="26.25" customHeight="1">
      <c r="A3028" s="34" t="s">
        <v>6066</v>
      </c>
      <c r="B3028" s="35" t="s">
        <v>6067</v>
      </c>
      <c r="C3028" s="36">
        <v>3.0</v>
      </c>
      <c r="D3028" s="37">
        <v>369.0</v>
      </c>
      <c r="E3028" s="37">
        <v>6.0</v>
      </c>
      <c r="F3028" s="24" t="str">
        <f t="array" ref="F3028">"https://www.google.com/maps/search/?api=1&amp;query=" &amp; A3028 &amp; "," &amp; B3028</f>
        <v>https://www.google.com/maps/search/?api=1&amp;query=-3.09040674249986,-55.54794587661140</v>
      </c>
      <c r="G3028" s="25" t="str">
        <f t="array" ref="G3028">"https://earth.google.com/web/search/" &amp; A3028 &amp; "," &amp; B3028</f>
        <v>https://earth.google.com/web/search/-3.09040674249986,-55.54794587661140</v>
      </c>
      <c r="H3028" s="12"/>
      <c r="I3028" s="12"/>
      <c r="J3028" s="12"/>
      <c r="K3028" s="12"/>
      <c r="L3028" s="12"/>
      <c r="M3028" s="12"/>
      <c r="N3028" s="12"/>
      <c r="O3028" s="12"/>
      <c r="P3028" s="12"/>
      <c r="Q3028" s="12"/>
      <c r="R3028" s="12"/>
      <c r="S3028" s="12"/>
      <c r="T3028" s="12"/>
      <c r="U3028" s="12"/>
      <c r="V3028" s="12"/>
      <c r="W3028" s="12"/>
      <c r="X3028" s="12"/>
      <c r="Y3028" s="12"/>
      <c r="Z3028" s="12"/>
      <c r="AA3028" s="12"/>
    </row>
    <row r="3029" ht="26.25" customHeight="1">
      <c r="A3029" s="28" t="s">
        <v>6068</v>
      </c>
      <c r="B3029" s="29" t="s">
        <v>6069</v>
      </c>
      <c r="C3029" s="30">
        <v>3.0</v>
      </c>
      <c r="D3029" s="31">
        <v>369.0</v>
      </c>
      <c r="E3029" s="31">
        <v>7.0</v>
      </c>
      <c r="F3029" s="32" t="str">
        <f t="array" ref="F3029">"https://www.google.com/maps/search/?api=1&amp;query=" &amp; A3029 &amp; "," &amp; B3029</f>
        <v>https://www.google.com/maps/search/?api=1&amp;query=-30.90399968349780,-55.54790183949820</v>
      </c>
      <c r="G3029" s="33" t="str">
        <f t="array" ref="G3029">"https://earth.google.com/web/search/" &amp; A3029 &amp; "," &amp; B3029</f>
        <v>https://earth.google.com/web/search/-30.90399968349780,-55.54790183949820</v>
      </c>
      <c r="H3029" s="12"/>
      <c r="I3029" s="12"/>
      <c r="J3029" s="12"/>
      <c r="K3029" s="12"/>
      <c r="L3029" s="12"/>
      <c r="M3029" s="12"/>
      <c r="N3029" s="12"/>
      <c r="O3029" s="12"/>
      <c r="P3029" s="12"/>
      <c r="Q3029" s="12"/>
      <c r="R3029" s="12"/>
      <c r="S3029" s="12"/>
      <c r="T3029" s="12"/>
      <c r="U3029" s="12"/>
      <c r="V3029" s="12"/>
      <c r="W3029" s="12"/>
      <c r="X3029" s="12"/>
      <c r="Y3029" s="12"/>
      <c r="Z3029" s="12"/>
      <c r="AA3029" s="12"/>
    </row>
    <row r="3030" ht="26.25" customHeight="1">
      <c r="A3030" s="34" t="s">
        <v>6070</v>
      </c>
      <c r="B3030" s="35" t="s">
        <v>6071</v>
      </c>
      <c r="C3030" s="36">
        <v>3.0</v>
      </c>
      <c r="D3030" s="37">
        <v>369.0</v>
      </c>
      <c r="E3030" s="37">
        <v>8.0</v>
      </c>
      <c r="F3030" s="24" t="str">
        <f t="array" ref="F3030">"https://www.google.com/maps/search/?api=1&amp;query=" &amp; A3030 &amp; "," &amp; B3030</f>
        <v>https://www.google.com/maps/search/?api=1&amp;query=-30.90392822555250,-55.54784736917970</v>
      </c>
      <c r="G3030" s="25" t="str">
        <f t="array" ref="G3030">"https://earth.google.com/web/search/" &amp; A3030 &amp; "," &amp; B3030</f>
        <v>https://earth.google.com/web/search/-30.90392822555250,-55.54784736917970</v>
      </c>
      <c r="H3030" s="12"/>
      <c r="I3030" s="12"/>
      <c r="J3030" s="12"/>
      <c r="K3030" s="12"/>
      <c r="L3030" s="12"/>
      <c r="M3030" s="12"/>
      <c r="N3030" s="12"/>
      <c r="O3030" s="12"/>
      <c r="P3030" s="12"/>
      <c r="Q3030" s="12"/>
      <c r="R3030" s="12"/>
      <c r="S3030" s="12"/>
      <c r="T3030" s="12"/>
      <c r="U3030" s="12"/>
      <c r="V3030" s="12"/>
      <c r="W3030" s="12"/>
      <c r="X3030" s="12"/>
      <c r="Y3030" s="12"/>
      <c r="Z3030" s="12"/>
      <c r="AA3030" s="12"/>
    </row>
    <row r="3031" ht="26.25" customHeight="1">
      <c r="A3031" s="28" t="s">
        <v>6072</v>
      </c>
      <c r="B3031" s="29" t="s">
        <v>6073</v>
      </c>
      <c r="C3031" s="30">
        <v>3.0</v>
      </c>
      <c r="D3031" s="31">
        <v>369.0</v>
      </c>
      <c r="E3031" s="31">
        <v>9.0</v>
      </c>
      <c r="F3031" s="32" t="str">
        <f t="array" ref="F3031">"https://www.google.com/maps/search/?api=1&amp;query=" &amp; A3031 &amp; "," &amp; B3031</f>
        <v>https://www.google.com/maps/search/?api=1&amp;query=-30.90345896258580,-55.54758712007270</v>
      </c>
      <c r="G3031" s="33" t="str">
        <f t="array" ref="G3031">"https://earth.google.com/web/search/" &amp; A3031 &amp; "," &amp; B3031</f>
        <v>https://earth.google.com/web/search/-30.90345896258580,-55.54758712007270</v>
      </c>
      <c r="H3031" s="12"/>
      <c r="I3031" s="12"/>
      <c r="J3031" s="12"/>
      <c r="K3031" s="12"/>
      <c r="L3031" s="12"/>
      <c r="M3031" s="12"/>
      <c r="N3031" s="12"/>
      <c r="O3031" s="12"/>
      <c r="P3031" s="12"/>
      <c r="Q3031" s="12"/>
      <c r="R3031" s="12"/>
      <c r="S3031" s="12"/>
      <c r="T3031" s="12"/>
      <c r="U3031" s="12"/>
      <c r="V3031" s="12"/>
      <c r="W3031" s="12"/>
      <c r="X3031" s="12"/>
      <c r="Y3031" s="12"/>
      <c r="Z3031" s="12"/>
      <c r="AA3031" s="12"/>
    </row>
    <row r="3032" ht="26.25" customHeight="1">
      <c r="A3032" s="34" t="s">
        <v>6074</v>
      </c>
      <c r="B3032" s="35" t="s">
        <v>6075</v>
      </c>
      <c r="C3032" s="36">
        <v>3.0</v>
      </c>
      <c r="D3032" s="37">
        <v>369.0</v>
      </c>
      <c r="E3032" s="37">
        <v>10.0</v>
      </c>
      <c r="F3032" s="24" t="str">
        <f t="array" ref="F3032">"https://www.google.com/maps/search/?api=1&amp;query=" &amp; A3032 &amp; "," &amp; B3032</f>
        <v>https://www.google.com/maps/search/?api=1&amp;query=-30.90341396924080,-55.54768472481010</v>
      </c>
      <c r="G3032" s="25" t="str">
        <f t="array" ref="G3032">"https://earth.google.com/web/search/" &amp; A3032 &amp; "," &amp; B3032</f>
        <v>https://earth.google.com/web/search/-30.90341396924080,-55.54768472481010</v>
      </c>
      <c r="H3032" s="12"/>
      <c r="I3032" s="12"/>
      <c r="J3032" s="12"/>
      <c r="K3032" s="12"/>
      <c r="L3032" s="12"/>
      <c r="M3032" s="12"/>
      <c r="N3032" s="12"/>
      <c r="O3032" s="12"/>
      <c r="P3032" s="12"/>
      <c r="Q3032" s="12"/>
      <c r="R3032" s="12"/>
      <c r="S3032" s="12"/>
      <c r="T3032" s="12"/>
      <c r="U3032" s="12"/>
      <c r="V3032" s="12"/>
      <c r="W3032" s="12"/>
      <c r="X3032" s="12"/>
      <c r="Y3032" s="12"/>
      <c r="Z3032" s="12"/>
      <c r="AA3032" s="12"/>
    </row>
    <row r="3033" ht="26.25" customHeight="1">
      <c r="A3033" s="28" t="s">
        <v>6076</v>
      </c>
      <c r="B3033" s="29" t="s">
        <v>6077</v>
      </c>
      <c r="C3033" s="30">
        <v>3.0</v>
      </c>
      <c r="D3033" s="31">
        <v>369.0</v>
      </c>
      <c r="E3033" s="31">
        <v>11.0</v>
      </c>
      <c r="F3033" s="32" t="str">
        <f t="array" ref="F3033">"https://www.google.com/maps/search/?api=1&amp;query=" &amp; A3033 &amp; "," &amp; B3033</f>
        <v>https://www.google.com/maps/search/?api=1&amp;query=-30.90336859716660,-55.54777419520120</v>
      </c>
      <c r="G3033" s="33" t="str">
        <f t="array" ref="G3033">"https://earth.google.com/web/search/" &amp; A3033 &amp; "," &amp; B3033</f>
        <v>https://earth.google.com/web/search/-30.90336859716660,-55.54777419520120</v>
      </c>
      <c r="H3033" s="12"/>
      <c r="I3033" s="12"/>
      <c r="J3033" s="12"/>
      <c r="K3033" s="12"/>
      <c r="L3033" s="12"/>
      <c r="M3033" s="12"/>
      <c r="N3033" s="12"/>
      <c r="O3033" s="12"/>
      <c r="P3033" s="12"/>
      <c r="Q3033" s="12"/>
      <c r="R3033" s="12"/>
      <c r="S3033" s="12"/>
      <c r="T3033" s="12"/>
      <c r="U3033" s="12"/>
      <c r="V3033" s="12"/>
      <c r="W3033" s="12"/>
      <c r="X3033" s="12"/>
      <c r="Y3033" s="12"/>
      <c r="Z3033" s="12"/>
      <c r="AA3033" s="12"/>
    </row>
    <row r="3034" ht="26.25" customHeight="1">
      <c r="A3034" s="34" t="s">
        <v>6078</v>
      </c>
      <c r="B3034" s="35" t="s">
        <v>6079</v>
      </c>
      <c r="C3034" s="36">
        <v>3.0</v>
      </c>
      <c r="D3034" s="37">
        <v>369.0</v>
      </c>
      <c r="E3034" s="37">
        <v>12.0</v>
      </c>
      <c r="F3034" s="24" t="str">
        <f t="array" ref="F3034">"https://www.google.com/maps/search/?api=1&amp;query=" &amp; A3034 &amp; "," &amp; B3034</f>
        <v>https://www.google.com/maps/search/?api=1&amp;query=-30.90327193489810,-55.54796480531640</v>
      </c>
      <c r="G3034" s="25" t="str">
        <f t="array" ref="G3034">"https://earth.google.com/web/search/" &amp; A3034 &amp; "," &amp; B3034</f>
        <v>https://earth.google.com/web/search/-30.90327193489810,-55.54796480531640</v>
      </c>
      <c r="H3034" s="12"/>
      <c r="I3034" s="12"/>
      <c r="J3034" s="12"/>
      <c r="K3034" s="12"/>
      <c r="L3034" s="12"/>
      <c r="M3034" s="12"/>
      <c r="N3034" s="12"/>
      <c r="O3034" s="12"/>
      <c r="P3034" s="12"/>
      <c r="Q3034" s="12"/>
      <c r="R3034" s="12"/>
      <c r="S3034" s="12"/>
      <c r="T3034" s="12"/>
      <c r="U3034" s="12"/>
      <c r="V3034" s="12"/>
      <c r="W3034" s="12"/>
      <c r="X3034" s="12"/>
      <c r="Y3034" s="12"/>
      <c r="Z3034" s="12"/>
      <c r="AA3034" s="12"/>
    </row>
    <row r="3035" ht="26.25" customHeight="1">
      <c r="A3035" s="28" t="s">
        <v>6080</v>
      </c>
      <c r="B3035" s="29" t="s">
        <v>6081</v>
      </c>
      <c r="C3035" s="30">
        <v>3.0</v>
      </c>
      <c r="D3035" s="31">
        <v>369.0</v>
      </c>
      <c r="E3035" s="31">
        <v>13.0</v>
      </c>
      <c r="F3035" s="32" t="str">
        <f t="array" ref="F3035">"https://www.google.com/maps/search/?api=1&amp;query=" &amp; A3035 &amp; "," &amp; B3035</f>
        <v>https://www.google.com/maps/search/?api=1&amp;query=-30.90307967550290,-55.54829951825760</v>
      </c>
      <c r="G3035" s="33" t="str">
        <f t="array" ref="G3035">"https://earth.google.com/web/search/" &amp; A3035 &amp; "," &amp; B3035</f>
        <v>https://earth.google.com/web/search/-30.90307967550290,-55.54829951825760</v>
      </c>
      <c r="H3035" s="12"/>
      <c r="I3035" s="12"/>
      <c r="J3035" s="12"/>
      <c r="K3035" s="12"/>
      <c r="L3035" s="12"/>
      <c r="M3035" s="12"/>
      <c r="N3035" s="12"/>
      <c r="O3035" s="12"/>
      <c r="P3035" s="12"/>
      <c r="Q3035" s="12"/>
      <c r="R3035" s="12"/>
      <c r="S3035" s="12"/>
      <c r="T3035" s="12"/>
      <c r="U3035" s="12"/>
      <c r="V3035" s="12"/>
      <c r="W3035" s="12"/>
      <c r="X3035" s="12"/>
      <c r="Y3035" s="12"/>
      <c r="Z3035" s="12"/>
      <c r="AA3035" s="12"/>
    </row>
    <row r="3036" ht="26.25" customHeight="1">
      <c r="A3036" s="34" t="s">
        <v>6082</v>
      </c>
      <c r="B3036" s="35" t="s">
        <v>6083</v>
      </c>
      <c r="C3036" s="36">
        <v>3.0</v>
      </c>
      <c r="D3036" s="37">
        <v>369.0</v>
      </c>
      <c r="E3036" s="37">
        <v>14.0</v>
      </c>
      <c r="F3036" s="24" t="str">
        <f t="array" ref="F3036">"https://www.google.com/maps/search/?api=1&amp;query=" &amp; A3036 &amp; "," &amp; B3036</f>
        <v>https://www.google.com/maps/search/?api=1&amp;query=-30.90311858335530,-55.54841817290130</v>
      </c>
      <c r="G3036" s="25" t="str">
        <f t="array" ref="G3036">"https://earth.google.com/web/search/" &amp; A3036 &amp; "," &amp; B3036</f>
        <v>https://earth.google.com/web/search/-30.90311858335530,-55.54841817290130</v>
      </c>
      <c r="H3036" s="12"/>
      <c r="I3036" s="12"/>
      <c r="J3036" s="12"/>
      <c r="K3036" s="12"/>
      <c r="L3036" s="12"/>
      <c r="M3036" s="12"/>
      <c r="N3036" s="12"/>
      <c r="O3036" s="12"/>
      <c r="P3036" s="12"/>
      <c r="Q3036" s="12"/>
      <c r="R3036" s="12"/>
      <c r="S3036" s="12"/>
      <c r="T3036" s="12"/>
      <c r="U3036" s="12"/>
      <c r="V3036" s="12"/>
      <c r="W3036" s="12"/>
      <c r="X3036" s="12"/>
      <c r="Y3036" s="12"/>
      <c r="Z3036" s="12"/>
      <c r="AA3036" s="12"/>
    </row>
    <row r="3037" ht="26.25" customHeight="1">
      <c r="A3037" s="28" t="s">
        <v>6084</v>
      </c>
      <c r="B3037" s="29" t="s">
        <v>6085</v>
      </c>
      <c r="C3037" s="30">
        <v>3.0</v>
      </c>
      <c r="D3037" s="31">
        <v>369.0</v>
      </c>
      <c r="E3037" s="31">
        <v>15.0</v>
      </c>
      <c r="F3037" s="32" t="str">
        <f t="array" ref="F3037">"https://www.google.com/maps/search/?api=1&amp;query=" &amp; A3037 &amp; "," &amp; B3037</f>
        <v>https://www.google.com/maps/search/?api=1&amp;query=-30.90383317437540,-55.54779501852350</v>
      </c>
      <c r="G3037" s="33" t="str">
        <f t="array" ref="G3037">"https://earth.google.com/web/search/" &amp; A3037 &amp; "," &amp; B3037</f>
        <v>https://earth.google.com/web/search/-30.90383317437540,-55.54779501852350</v>
      </c>
      <c r="H3037" s="12"/>
      <c r="I3037" s="12"/>
      <c r="J3037" s="12"/>
      <c r="K3037" s="12"/>
      <c r="L3037" s="12"/>
      <c r="M3037" s="12"/>
      <c r="N3037" s="12"/>
      <c r="O3037" s="12"/>
      <c r="P3037" s="12"/>
      <c r="Q3037" s="12"/>
      <c r="R3037" s="12"/>
      <c r="S3037" s="12"/>
      <c r="T3037" s="12"/>
      <c r="U3037" s="12"/>
      <c r="V3037" s="12"/>
      <c r="W3037" s="12"/>
      <c r="X3037" s="12"/>
      <c r="Y3037" s="12"/>
      <c r="Z3037" s="12"/>
      <c r="AA3037" s="12"/>
    </row>
    <row r="3038" ht="26.25" customHeight="1">
      <c r="A3038" s="34" t="s">
        <v>6086</v>
      </c>
      <c r="B3038" s="35" t="s">
        <v>6087</v>
      </c>
      <c r="C3038" s="36">
        <v>3.0</v>
      </c>
      <c r="D3038" s="37">
        <v>369.0</v>
      </c>
      <c r="E3038" s="37">
        <v>16.0</v>
      </c>
      <c r="F3038" s="24" t="str">
        <f t="array" ref="F3038">"https://www.google.com/maps/search/?api=1&amp;query=" &amp; A3038 &amp; "," &amp; B3038</f>
        <v>https://www.google.com/maps/search/?api=1&amp;query=-30.90411809908080,-55.54797028402350</v>
      </c>
      <c r="G3038" s="25" t="str">
        <f t="array" ref="G3038">"https://earth.google.com/web/search/" &amp; A3038 &amp; "," &amp; B3038</f>
        <v>https://earth.google.com/web/search/-30.90411809908080,-55.54797028402350</v>
      </c>
      <c r="H3038" s="12"/>
      <c r="I3038" s="12"/>
      <c r="J3038" s="12"/>
      <c r="K3038" s="12"/>
      <c r="L3038" s="12"/>
      <c r="M3038" s="12"/>
      <c r="N3038" s="12"/>
      <c r="O3038" s="12"/>
      <c r="P3038" s="12"/>
      <c r="Q3038" s="12"/>
      <c r="R3038" s="12"/>
      <c r="S3038" s="12"/>
      <c r="T3038" s="12"/>
      <c r="U3038" s="12"/>
      <c r="V3038" s="12"/>
      <c r="W3038" s="12"/>
      <c r="X3038" s="12"/>
      <c r="Y3038" s="12"/>
      <c r="Z3038" s="12"/>
      <c r="AA3038" s="12"/>
    </row>
    <row r="3039" ht="26.25" customHeight="1">
      <c r="A3039" s="28" t="s">
        <v>6088</v>
      </c>
      <c r="B3039" s="29" t="s">
        <v>6089</v>
      </c>
      <c r="C3039" s="30">
        <v>3.0</v>
      </c>
      <c r="D3039" s="31">
        <v>342.0</v>
      </c>
      <c r="E3039" s="31">
        <v>1.0</v>
      </c>
      <c r="F3039" s="32" t="str">
        <f t="array" ref="F3039">"https://www.google.com/maps/search/?api=1&amp;query=" &amp; A3039 &amp; "," &amp; B3039</f>
        <v>https://www.google.com/maps/search/?api=1&amp;query=-30.90338508326110,-55.54745749848960</v>
      </c>
      <c r="G3039" s="33" t="str">
        <f t="array" ref="G3039">"https://earth.google.com/web/search/" &amp; A3039 &amp; "," &amp; B3039</f>
        <v>https://earth.google.com/web/search/-30.90338508326110,-55.54745749848960</v>
      </c>
      <c r="H3039" s="12"/>
      <c r="I3039" s="12"/>
      <c r="J3039" s="12"/>
      <c r="K3039" s="12"/>
      <c r="L3039" s="12"/>
      <c r="M3039" s="12"/>
      <c r="N3039" s="12"/>
      <c r="O3039" s="12"/>
      <c r="P3039" s="12"/>
      <c r="Q3039" s="12"/>
      <c r="R3039" s="12"/>
      <c r="S3039" s="12"/>
      <c r="T3039" s="12"/>
      <c r="U3039" s="12"/>
      <c r="V3039" s="12"/>
      <c r="W3039" s="12"/>
      <c r="X3039" s="12"/>
      <c r="Y3039" s="12"/>
      <c r="Z3039" s="12"/>
      <c r="AA3039" s="12"/>
    </row>
    <row r="3040" ht="26.25" customHeight="1">
      <c r="A3040" s="34" t="s">
        <v>6090</v>
      </c>
      <c r="B3040" s="35" t="s">
        <v>6091</v>
      </c>
      <c r="C3040" s="36">
        <v>3.0</v>
      </c>
      <c r="D3040" s="37">
        <v>342.0</v>
      </c>
      <c r="E3040" s="37">
        <v>2.0</v>
      </c>
      <c r="F3040" s="24" t="str">
        <f t="array" ref="F3040">"https://www.google.com/maps/search/?api=1&amp;query=" &amp; A3040 &amp; "," &amp; B3040</f>
        <v>https://www.google.com/maps/search/?api=1&amp;query=-30.90327865331870,-55.54739206228840</v>
      </c>
      <c r="G3040" s="25" t="str">
        <f t="array" ref="G3040">"https://earth.google.com/web/search/" &amp; A3040 &amp; "," &amp; B3040</f>
        <v>https://earth.google.com/web/search/-30.90327865331870,-55.54739206228840</v>
      </c>
      <c r="H3040" s="12"/>
      <c r="I3040" s="12"/>
      <c r="J3040" s="12"/>
      <c r="K3040" s="12"/>
      <c r="L3040" s="12"/>
      <c r="M3040" s="12"/>
      <c r="N3040" s="12"/>
      <c r="O3040" s="12"/>
      <c r="P3040" s="12"/>
      <c r="Q3040" s="12"/>
      <c r="R3040" s="12"/>
      <c r="S3040" s="12"/>
      <c r="T3040" s="12"/>
      <c r="U3040" s="12"/>
      <c r="V3040" s="12"/>
      <c r="W3040" s="12"/>
      <c r="X3040" s="12"/>
      <c r="Y3040" s="12"/>
      <c r="Z3040" s="12"/>
      <c r="AA3040" s="12"/>
    </row>
    <row r="3041" ht="26.25" customHeight="1">
      <c r="A3041" s="28" t="s">
        <v>6092</v>
      </c>
      <c r="B3041" s="29" t="s">
        <v>6093</v>
      </c>
      <c r="C3041" s="30">
        <v>3.0</v>
      </c>
      <c r="D3041" s="31">
        <v>342.0</v>
      </c>
      <c r="E3041" s="31">
        <v>3.0</v>
      </c>
      <c r="F3041" s="32" t="str">
        <f t="array" ref="F3041">"https://www.google.com/maps/search/?api=1&amp;query=" &amp; A3041 &amp; "," &amp; B3041</f>
        <v>https://www.google.com/maps/search/?api=1&amp;query=-3.09031496955958,-55.54728224031660</v>
      </c>
      <c r="G3041" s="33" t="str">
        <f t="array" ref="G3041">"https://earth.google.com/web/search/" &amp; A3041 &amp; "," &amp; B3041</f>
        <v>https://earth.google.com/web/search/-3.09031496955958,-55.54728224031660</v>
      </c>
      <c r="H3041" s="12"/>
      <c r="I3041" s="12"/>
      <c r="J3041" s="12"/>
      <c r="K3041" s="12"/>
      <c r="L3041" s="12"/>
      <c r="M3041" s="12"/>
      <c r="N3041" s="12"/>
      <c r="O3041" s="12"/>
      <c r="P3041" s="12"/>
      <c r="Q3041" s="12"/>
      <c r="R3041" s="12"/>
      <c r="S3041" s="12"/>
      <c r="T3041" s="12"/>
      <c r="U3041" s="12"/>
      <c r="V3041" s="12"/>
      <c r="W3041" s="12"/>
      <c r="X3041" s="12"/>
      <c r="Y3041" s="12"/>
      <c r="Z3041" s="12"/>
      <c r="AA3041" s="12"/>
    </row>
    <row r="3042" ht="26.25" customHeight="1">
      <c r="A3042" s="34" t="s">
        <v>6094</v>
      </c>
      <c r="B3042" s="35" t="s">
        <v>6095</v>
      </c>
      <c r="C3042" s="36">
        <v>3.0</v>
      </c>
      <c r="D3042" s="37">
        <v>342.0</v>
      </c>
      <c r="E3042" s="37">
        <v>4.0</v>
      </c>
      <c r="F3042" s="24" t="str">
        <f t="array" ref="F3042">"https://www.google.com/maps/search/?api=1&amp;query=" &amp; A3042 &amp; "," &amp; B3042</f>
        <v>https://www.google.com/maps/search/?api=1&amp;query=-30.90301527341980,-55.54720539634310</v>
      </c>
      <c r="G3042" s="25" t="str">
        <f t="array" ref="G3042">"https://earth.google.com/web/search/" &amp; A3042 &amp; "," &amp; B3042</f>
        <v>https://earth.google.com/web/search/-30.90301527341980,-55.54720539634310</v>
      </c>
      <c r="H3042" s="12"/>
      <c r="I3042" s="12"/>
      <c r="J3042" s="12"/>
      <c r="K3042" s="12"/>
      <c r="L3042" s="12"/>
      <c r="M3042" s="12"/>
      <c r="N3042" s="12"/>
      <c r="O3042" s="12"/>
      <c r="P3042" s="12"/>
      <c r="Q3042" s="12"/>
      <c r="R3042" s="12"/>
      <c r="S3042" s="12"/>
      <c r="T3042" s="12"/>
      <c r="U3042" s="12"/>
      <c r="V3042" s="12"/>
      <c r="W3042" s="12"/>
      <c r="X3042" s="12"/>
      <c r="Y3042" s="12"/>
      <c r="Z3042" s="12"/>
      <c r="AA3042" s="12"/>
    </row>
    <row r="3043" ht="26.25" customHeight="1">
      <c r="A3043" s="28" t="s">
        <v>6096</v>
      </c>
      <c r="B3043" s="29" t="s">
        <v>6097</v>
      </c>
      <c r="C3043" s="30">
        <v>3.0</v>
      </c>
      <c r="D3043" s="31">
        <v>342.0</v>
      </c>
      <c r="E3043" s="31">
        <v>5.0</v>
      </c>
      <c r="F3043" s="32" t="str">
        <f t="array" ref="F3043">"https://www.google.com/maps/search/?api=1&amp;query=" &amp; A3043 &amp; "," &amp; B3043</f>
        <v>https://www.google.com/maps/search/?api=1&amp;query=-30.90291772062180,-55.54712245516940</v>
      </c>
      <c r="G3043" s="33" t="str">
        <f t="array" ref="G3043">"https://earth.google.com/web/search/" &amp; A3043 &amp; "," &amp; B3043</f>
        <v>https://earth.google.com/web/search/-30.90291772062180,-55.54712245516940</v>
      </c>
      <c r="H3043" s="12"/>
      <c r="I3043" s="12"/>
      <c r="J3043" s="12"/>
      <c r="K3043" s="12"/>
      <c r="L3043" s="12"/>
      <c r="M3043" s="12"/>
      <c r="N3043" s="12"/>
      <c r="O3043" s="12"/>
      <c r="P3043" s="12"/>
      <c r="Q3043" s="12"/>
      <c r="R3043" s="12"/>
      <c r="S3043" s="12"/>
      <c r="T3043" s="12"/>
      <c r="U3043" s="12"/>
      <c r="V3043" s="12"/>
      <c r="W3043" s="12"/>
      <c r="X3043" s="12"/>
      <c r="Y3043" s="12"/>
      <c r="Z3043" s="12"/>
      <c r="AA3043" s="12"/>
    </row>
    <row r="3044" ht="26.25" customHeight="1">
      <c r="A3044" s="34" t="s">
        <v>6098</v>
      </c>
      <c r="B3044" s="35" t="s">
        <v>6099</v>
      </c>
      <c r="C3044" s="36">
        <v>3.0</v>
      </c>
      <c r="D3044" s="37">
        <v>342.0</v>
      </c>
      <c r="E3044" s="37">
        <v>6.0</v>
      </c>
      <c r="F3044" s="24" t="str">
        <f t="array" ref="F3044">"https://www.google.com/maps/search/?api=1&amp;query=" &amp; A3044 &amp; "," &amp; B3044</f>
        <v>https://www.google.com/maps/search/?api=1&amp;query=-30.90285164770090,-55.54707956840720</v>
      </c>
      <c r="G3044" s="25" t="str">
        <f t="array" ref="G3044">"https://earth.google.com/web/search/" &amp; A3044 &amp; "," &amp; B3044</f>
        <v>https://earth.google.com/web/search/-30.90285164770090,-55.54707956840720</v>
      </c>
      <c r="H3044" s="12"/>
      <c r="I3044" s="12"/>
      <c r="J3044" s="12"/>
      <c r="K3044" s="12"/>
      <c r="L3044" s="12"/>
      <c r="M3044" s="12"/>
      <c r="N3044" s="12"/>
      <c r="O3044" s="12"/>
      <c r="P3044" s="12"/>
      <c r="Q3044" s="12"/>
      <c r="R3044" s="12"/>
      <c r="S3044" s="12"/>
      <c r="T3044" s="12"/>
      <c r="U3044" s="12"/>
      <c r="V3044" s="12"/>
      <c r="W3044" s="12"/>
      <c r="X3044" s="12"/>
      <c r="Y3044" s="12"/>
      <c r="Z3044" s="12"/>
      <c r="AA3044" s="12"/>
    </row>
    <row r="3045" ht="26.25" customHeight="1">
      <c r="A3045" s="28" t="s">
        <v>6100</v>
      </c>
      <c r="B3045" s="29" t="s">
        <v>6101</v>
      </c>
      <c r="C3045" s="30">
        <v>3.0</v>
      </c>
      <c r="D3045" s="31">
        <v>342.0</v>
      </c>
      <c r="E3045" s="31">
        <v>7.0</v>
      </c>
      <c r="F3045" s="32" t="str">
        <f t="array" ref="F3045">"https://www.google.com/maps/search/?api=1&amp;query=" &amp; A3045 &amp; "," &amp; B3045</f>
        <v>https://www.google.com/maps/search/?api=1&amp;query=-30.90271327599810,-5.55481206204282</v>
      </c>
      <c r="G3045" s="33" t="str">
        <f t="array" ref="G3045">"https://earth.google.com/web/search/" &amp; A3045 &amp; "," &amp; B3045</f>
        <v>https://earth.google.com/web/search/-30.90271327599810,-5.55481206204282</v>
      </c>
      <c r="H3045" s="12"/>
      <c r="I3045" s="12"/>
      <c r="J3045" s="12"/>
      <c r="K3045" s="12"/>
      <c r="L3045" s="12"/>
      <c r="M3045" s="12"/>
      <c r="N3045" s="12"/>
      <c r="O3045" s="12"/>
      <c r="P3045" s="12"/>
      <c r="Q3045" s="12"/>
      <c r="R3045" s="12"/>
      <c r="S3045" s="12"/>
      <c r="T3045" s="12"/>
      <c r="U3045" s="12"/>
      <c r="V3045" s="12"/>
      <c r="W3045" s="12"/>
      <c r="X3045" s="12"/>
      <c r="Y3045" s="12"/>
      <c r="Z3045" s="12"/>
      <c r="AA3045" s="12"/>
    </row>
    <row r="3046" ht="26.25" customHeight="1">
      <c r="A3046" s="34" t="s">
        <v>6102</v>
      </c>
      <c r="B3046" s="35" t="s">
        <v>6103</v>
      </c>
      <c r="C3046" s="36">
        <v>3.0</v>
      </c>
      <c r="D3046" s="37">
        <v>342.0</v>
      </c>
      <c r="E3046" s="37">
        <v>8.0</v>
      </c>
      <c r="F3046" s="24" t="str">
        <f t="array" ref="F3046">"https://www.google.com/maps/search/?api=1&amp;query=" &amp; A3046 &amp; "," &amp; B3046</f>
        <v>https://www.google.com/maps/search/?api=1&amp;query=-30.90233505413200,-55.54784959379700</v>
      </c>
      <c r="G3046" s="25" t="str">
        <f t="array" ref="G3046">"https://earth.google.com/web/search/" &amp; A3046 &amp; "," &amp; B3046</f>
        <v>https://earth.google.com/web/search/-30.90233505413200,-55.54784959379700</v>
      </c>
      <c r="H3046" s="12"/>
      <c r="I3046" s="12"/>
      <c r="J3046" s="12"/>
      <c r="K3046" s="12"/>
      <c r="L3046" s="12"/>
      <c r="M3046" s="12"/>
      <c r="N3046" s="12"/>
      <c r="O3046" s="12"/>
      <c r="P3046" s="12"/>
      <c r="Q3046" s="12"/>
      <c r="R3046" s="12"/>
      <c r="S3046" s="12"/>
      <c r="T3046" s="12"/>
      <c r="U3046" s="12"/>
      <c r="V3046" s="12"/>
      <c r="W3046" s="12"/>
      <c r="X3046" s="12"/>
      <c r="Y3046" s="12"/>
      <c r="Z3046" s="12"/>
      <c r="AA3046" s="12"/>
    </row>
    <row r="3047" ht="26.25" customHeight="1">
      <c r="A3047" s="28" t="s">
        <v>6104</v>
      </c>
      <c r="B3047" s="29" t="s">
        <v>6105</v>
      </c>
      <c r="C3047" s="30">
        <v>3.0</v>
      </c>
      <c r="D3047" s="31">
        <v>343.0</v>
      </c>
      <c r="E3047" s="31">
        <v>1.0</v>
      </c>
      <c r="F3047" s="32" t="str">
        <f t="array" ref="F3047">"https://www.google.com/maps/search/?api=1&amp;query=" &amp; A3047 &amp; "," &amp; B3047</f>
        <v>https://www.google.com/maps/search/?api=1&amp;query=-30.90253031358340,-55.54910627487540</v>
      </c>
      <c r="G3047" s="33" t="str">
        <f t="array" ref="G3047">"https://earth.google.com/web/search/" &amp; A3047 &amp; "," &amp; B3047</f>
        <v>https://earth.google.com/web/search/-30.90253031358340,-55.54910627487540</v>
      </c>
      <c r="H3047" s="12"/>
      <c r="I3047" s="12"/>
      <c r="J3047" s="12"/>
      <c r="K3047" s="12"/>
      <c r="L3047" s="12"/>
      <c r="M3047" s="12"/>
      <c r="N3047" s="12"/>
      <c r="O3047" s="12"/>
      <c r="P3047" s="12"/>
      <c r="Q3047" s="12"/>
      <c r="R3047" s="12"/>
      <c r="S3047" s="12"/>
      <c r="T3047" s="12"/>
      <c r="U3047" s="12"/>
      <c r="V3047" s="12"/>
      <c r="W3047" s="12"/>
      <c r="X3047" s="12"/>
      <c r="Y3047" s="12"/>
      <c r="Z3047" s="12"/>
      <c r="AA3047" s="12"/>
    </row>
    <row r="3048" ht="26.25" customHeight="1">
      <c r="A3048" s="34" t="s">
        <v>6106</v>
      </c>
      <c r="B3048" s="35" t="s">
        <v>6107</v>
      </c>
      <c r="C3048" s="36">
        <v>3.0</v>
      </c>
      <c r="D3048" s="37">
        <v>343.0</v>
      </c>
      <c r="E3048" s="37">
        <v>2.0</v>
      </c>
      <c r="F3048" s="24" t="str">
        <f t="array" ref="F3048">"https://www.google.com/maps/search/?api=1&amp;query=" &amp; A3048 &amp; "," &amp; B3048</f>
        <v>https://www.google.com/maps/search/?api=1&amp;query=-30.90292391959430,-55.54844679800340</v>
      </c>
      <c r="G3048" s="25" t="str">
        <f t="array" ref="G3048">"https://earth.google.com/web/search/" &amp; A3048 &amp; "," &amp; B3048</f>
        <v>https://earth.google.com/web/search/-30.90292391959430,-55.54844679800340</v>
      </c>
      <c r="H3048" s="12"/>
      <c r="I3048" s="12"/>
      <c r="J3048" s="12"/>
      <c r="K3048" s="12"/>
      <c r="L3048" s="12"/>
      <c r="M3048" s="12"/>
      <c r="N3048" s="12"/>
      <c r="O3048" s="12"/>
      <c r="P3048" s="12"/>
      <c r="Q3048" s="12"/>
      <c r="R3048" s="12"/>
      <c r="S3048" s="12"/>
      <c r="T3048" s="12"/>
      <c r="U3048" s="12"/>
      <c r="V3048" s="12"/>
      <c r="W3048" s="12"/>
      <c r="X3048" s="12"/>
      <c r="Y3048" s="12"/>
      <c r="Z3048" s="12"/>
      <c r="AA3048" s="12"/>
    </row>
    <row r="3049" ht="26.25" customHeight="1">
      <c r="A3049" s="28" t="s">
        <v>6108</v>
      </c>
      <c r="B3049" s="29" t="s">
        <v>6109</v>
      </c>
      <c r="C3049" s="30">
        <v>3.0</v>
      </c>
      <c r="D3049" s="31">
        <v>343.0</v>
      </c>
      <c r="E3049" s="31">
        <v>3.0</v>
      </c>
      <c r="F3049" s="32" t="str">
        <f t="array" ref="F3049">"https://www.google.com/maps/search/?api=1&amp;query=" &amp; A3049 &amp; "," &amp; B3049</f>
        <v>https://www.google.com/maps/search/?api=1&amp;query=-30.90201188681420,-55.54826462051320</v>
      </c>
      <c r="G3049" s="33" t="str">
        <f t="array" ref="G3049">"https://earth.google.com/web/search/" &amp; A3049 &amp; "," &amp; B3049</f>
        <v>https://earth.google.com/web/search/-30.90201188681420,-55.54826462051320</v>
      </c>
      <c r="H3049" s="12"/>
      <c r="I3049" s="12"/>
      <c r="J3049" s="12"/>
      <c r="K3049" s="12"/>
      <c r="L3049" s="12"/>
      <c r="M3049" s="12"/>
      <c r="N3049" s="12"/>
      <c r="O3049" s="12"/>
      <c r="P3049" s="12"/>
      <c r="Q3049" s="12"/>
      <c r="R3049" s="12"/>
      <c r="S3049" s="12"/>
      <c r="T3049" s="12"/>
      <c r="U3049" s="12"/>
      <c r="V3049" s="12"/>
      <c r="W3049" s="12"/>
      <c r="X3049" s="12"/>
      <c r="Y3049" s="12"/>
      <c r="Z3049" s="12"/>
      <c r="AA3049" s="12"/>
    </row>
    <row r="3050" ht="26.25" customHeight="1">
      <c r="A3050" s="34" t="s">
        <v>6110</v>
      </c>
      <c r="B3050" s="35" t="s">
        <v>6111</v>
      </c>
      <c r="C3050" s="36">
        <v>3.0</v>
      </c>
      <c r="D3050" s="37">
        <v>343.0</v>
      </c>
      <c r="E3050" s="37">
        <v>4.0</v>
      </c>
      <c r="F3050" s="24" t="str">
        <f t="array" ref="F3050">"https://www.google.com/maps/search/?api=1&amp;query=" &amp; A3050 &amp; "," &amp; B3050</f>
        <v>https://www.google.com/maps/search/?api=1&amp;query=-30.90185087979870,-55.54875581231030</v>
      </c>
      <c r="G3050" s="25" t="str">
        <f t="array" ref="G3050">"https://earth.google.com/web/search/" &amp; A3050 &amp; "," &amp; B3050</f>
        <v>https://earth.google.com/web/search/-30.90185087979870,-55.54875581231030</v>
      </c>
      <c r="H3050" s="12"/>
      <c r="I3050" s="12"/>
      <c r="J3050" s="12"/>
      <c r="K3050" s="12"/>
      <c r="L3050" s="12"/>
      <c r="M3050" s="12"/>
      <c r="N3050" s="12"/>
      <c r="O3050" s="12"/>
      <c r="P3050" s="12"/>
      <c r="Q3050" s="12"/>
      <c r="R3050" s="12"/>
      <c r="S3050" s="12"/>
      <c r="T3050" s="12"/>
      <c r="U3050" s="12"/>
      <c r="V3050" s="12"/>
      <c r="W3050" s="12"/>
      <c r="X3050" s="12"/>
      <c r="Y3050" s="12"/>
      <c r="Z3050" s="12"/>
      <c r="AA3050" s="12"/>
    </row>
    <row r="3051" ht="26.25" customHeight="1">
      <c r="A3051" s="28" t="s">
        <v>6112</v>
      </c>
      <c r="B3051" s="29" t="s">
        <v>6113</v>
      </c>
      <c r="C3051" s="30">
        <v>3.0</v>
      </c>
      <c r="D3051" s="31">
        <v>343.0</v>
      </c>
      <c r="E3051" s="31">
        <v>5.0</v>
      </c>
      <c r="F3051" s="32" t="str">
        <f t="array" ref="F3051">"https://www.google.com/maps/search/?api=1&amp;query=" &amp; A3051 &amp; "," &amp; B3051</f>
        <v>https://www.google.com/maps/search/?api=1&amp;query=-30.90202056818950,-55.54886874997320</v>
      </c>
      <c r="G3051" s="33" t="str">
        <f t="array" ref="G3051">"https://earth.google.com/web/search/" &amp; A3051 &amp; "," &amp; B3051</f>
        <v>https://earth.google.com/web/search/-30.90202056818950,-55.54886874997320</v>
      </c>
      <c r="H3051" s="12"/>
      <c r="I3051" s="12"/>
      <c r="J3051" s="12"/>
      <c r="K3051" s="12"/>
      <c r="L3051" s="12"/>
      <c r="M3051" s="12"/>
      <c r="N3051" s="12"/>
      <c r="O3051" s="12"/>
      <c r="P3051" s="12"/>
      <c r="Q3051" s="12"/>
      <c r="R3051" s="12"/>
      <c r="S3051" s="12"/>
      <c r="T3051" s="12"/>
      <c r="U3051" s="12"/>
      <c r="V3051" s="12"/>
      <c r="W3051" s="12"/>
      <c r="X3051" s="12"/>
      <c r="Y3051" s="12"/>
      <c r="Z3051" s="12"/>
      <c r="AA3051" s="12"/>
    </row>
    <row r="3052" ht="26.25" customHeight="1">
      <c r="A3052" s="34" t="s">
        <v>6114</v>
      </c>
      <c r="B3052" s="35" t="s">
        <v>6115</v>
      </c>
      <c r="C3052" s="36">
        <v>3.0</v>
      </c>
      <c r="D3052" s="37">
        <v>343.0</v>
      </c>
      <c r="E3052" s="37">
        <v>6.0</v>
      </c>
      <c r="F3052" s="24" t="str">
        <f t="array" ref="F3052">"https://www.google.com/maps/search/?api=1&amp;query=" &amp; A3052 &amp; "," &amp; B3052</f>
        <v>https://www.google.com/maps/search/?api=1&amp;query=-30.90228799299220,-55.54905846262640</v>
      </c>
      <c r="G3052" s="25" t="str">
        <f t="array" ref="G3052">"https://earth.google.com/web/search/" &amp; A3052 &amp; "," &amp; B3052</f>
        <v>https://earth.google.com/web/search/-30.90228799299220,-55.54905846262640</v>
      </c>
      <c r="H3052" s="12"/>
      <c r="I3052" s="12"/>
      <c r="J3052" s="12"/>
      <c r="K3052" s="12"/>
      <c r="L3052" s="12"/>
      <c r="M3052" s="12"/>
      <c r="N3052" s="12"/>
      <c r="O3052" s="12"/>
      <c r="P3052" s="12"/>
      <c r="Q3052" s="12"/>
      <c r="R3052" s="12"/>
      <c r="S3052" s="12"/>
      <c r="T3052" s="12"/>
      <c r="U3052" s="12"/>
      <c r="V3052" s="12"/>
      <c r="W3052" s="12"/>
      <c r="X3052" s="12"/>
      <c r="Y3052" s="12"/>
      <c r="Z3052" s="12"/>
      <c r="AA3052" s="12"/>
    </row>
    <row r="3053" ht="26.25" customHeight="1">
      <c r="A3053" s="28" t="s">
        <v>6116</v>
      </c>
      <c r="B3053" s="29" t="s">
        <v>6117</v>
      </c>
      <c r="C3053" s="30">
        <v>3.0</v>
      </c>
      <c r="D3053" s="31">
        <v>343.0</v>
      </c>
      <c r="E3053" s="31">
        <v>7.0</v>
      </c>
      <c r="F3053" s="32" t="str">
        <f t="array" ref="F3053">"https://www.google.com/maps/search/?api=1&amp;query=" &amp; A3053 &amp; "," &amp; B3053</f>
        <v>https://www.google.com/maps/search/?api=1&amp;query=-30.90238524580050,-55.54913451077650</v>
      </c>
      <c r="G3053" s="33" t="str">
        <f t="array" ref="G3053">"https://earth.google.com/web/search/" &amp; A3053 &amp; "," &amp; B3053</f>
        <v>https://earth.google.com/web/search/-30.90238524580050,-55.54913451077650</v>
      </c>
      <c r="H3053" s="12"/>
      <c r="I3053" s="12"/>
      <c r="J3053" s="12"/>
      <c r="K3053" s="12"/>
      <c r="L3053" s="12"/>
      <c r="M3053" s="12"/>
      <c r="N3053" s="12"/>
      <c r="O3053" s="12"/>
      <c r="P3053" s="12"/>
      <c r="Q3053" s="12"/>
      <c r="R3053" s="12"/>
      <c r="S3053" s="12"/>
      <c r="T3053" s="12"/>
      <c r="U3053" s="12"/>
      <c r="V3053" s="12"/>
      <c r="W3053" s="12"/>
      <c r="X3053" s="12"/>
      <c r="Y3053" s="12"/>
      <c r="Z3053" s="12"/>
      <c r="AA3053" s="12"/>
    </row>
    <row r="3054" ht="26.25" customHeight="1">
      <c r="A3054" s="34" t="s">
        <v>6118</v>
      </c>
      <c r="B3054" s="35" t="s">
        <v>6119</v>
      </c>
      <c r="C3054" s="36">
        <v>3.0</v>
      </c>
      <c r="D3054" s="37">
        <v>343.0</v>
      </c>
      <c r="E3054" s="37">
        <v>8.0</v>
      </c>
      <c r="F3054" s="24" t="str">
        <f t="array" ref="F3054">"https://www.google.com/maps/search/?api=1&amp;query=" &amp; A3054 &amp; "," &amp; B3054</f>
        <v>https://www.google.com/maps/search/?api=1&amp;query=-30.90287279640650,-55.54834334920470</v>
      </c>
      <c r="G3054" s="25" t="str">
        <f t="array" ref="G3054">"https://earth.google.com/web/search/" &amp; A3054 &amp; "," &amp; B3054</f>
        <v>https://earth.google.com/web/search/-30.90287279640650,-55.54834334920470</v>
      </c>
      <c r="H3054" s="12"/>
      <c r="I3054" s="12"/>
      <c r="J3054" s="12"/>
      <c r="K3054" s="12"/>
      <c r="L3054" s="12"/>
      <c r="M3054" s="12"/>
      <c r="N3054" s="12"/>
      <c r="O3054" s="12"/>
      <c r="P3054" s="12"/>
      <c r="Q3054" s="12"/>
      <c r="R3054" s="12"/>
      <c r="S3054" s="12"/>
      <c r="T3054" s="12"/>
      <c r="U3054" s="12"/>
      <c r="V3054" s="12"/>
      <c r="W3054" s="12"/>
      <c r="X3054" s="12"/>
      <c r="Y3054" s="12"/>
      <c r="Z3054" s="12"/>
      <c r="AA3054" s="12"/>
    </row>
    <row r="3055" ht="26.25" customHeight="1">
      <c r="A3055" s="28" t="s">
        <v>6120</v>
      </c>
      <c r="B3055" s="29" t="s">
        <v>6121</v>
      </c>
      <c r="C3055" s="30">
        <v>3.0</v>
      </c>
      <c r="D3055" s="31">
        <v>344.0</v>
      </c>
      <c r="E3055" s="31">
        <v>1.0</v>
      </c>
      <c r="F3055" s="32" t="str">
        <f t="array" ref="F3055">"https://www.google.com/maps/search/?api=1&amp;query=" &amp; A3055 &amp; "," &amp; B3055</f>
        <v>https://www.google.com/maps/search/?api=1&amp;query=-30.90222990043800,-55.54971667399220</v>
      </c>
      <c r="G3055" s="33" t="str">
        <f t="array" ref="G3055">"https://earth.google.com/web/search/" &amp; A3055 &amp; "," &amp; B3055</f>
        <v>https://earth.google.com/web/search/-30.90222990043800,-55.54971667399220</v>
      </c>
      <c r="H3055" s="12"/>
      <c r="I3055" s="12"/>
      <c r="J3055" s="12"/>
      <c r="K3055" s="12"/>
      <c r="L3055" s="12"/>
      <c r="M3055" s="12"/>
      <c r="N3055" s="12"/>
      <c r="O3055" s="12"/>
      <c r="P3055" s="12"/>
      <c r="Q3055" s="12"/>
      <c r="R3055" s="12"/>
      <c r="S3055" s="12"/>
      <c r="T3055" s="12"/>
      <c r="U3055" s="12"/>
      <c r="V3055" s="12"/>
      <c r="W3055" s="12"/>
      <c r="X3055" s="12"/>
      <c r="Y3055" s="12"/>
      <c r="Z3055" s="12"/>
      <c r="AA3055" s="12"/>
    </row>
    <row r="3056" ht="26.25" customHeight="1">
      <c r="A3056" s="34" t="s">
        <v>6122</v>
      </c>
      <c r="B3056" s="35" t="s">
        <v>6123</v>
      </c>
      <c r="C3056" s="36">
        <v>3.0</v>
      </c>
      <c r="D3056" s="37">
        <v>344.0</v>
      </c>
      <c r="E3056" s="37">
        <v>2.0</v>
      </c>
      <c r="F3056" s="24" t="str">
        <f t="array" ref="F3056">"https://www.google.com/maps/search/?api=1&amp;query=" &amp; A3056 &amp; "," &amp; B3056</f>
        <v>https://www.google.com/maps/search/?api=1&amp;query=-30.90151271820540,-5.55492409873233</v>
      </c>
      <c r="G3056" s="25" t="str">
        <f t="array" ref="G3056">"https://earth.google.com/web/search/" &amp; A3056 &amp; "," &amp; B3056</f>
        <v>https://earth.google.com/web/search/-30.90151271820540,-5.55492409873233</v>
      </c>
      <c r="H3056" s="12"/>
      <c r="I3056" s="12"/>
      <c r="J3056" s="12"/>
      <c r="K3056" s="12"/>
      <c r="L3056" s="12"/>
      <c r="M3056" s="12"/>
      <c r="N3056" s="12"/>
      <c r="O3056" s="12"/>
      <c r="P3056" s="12"/>
      <c r="Q3056" s="12"/>
      <c r="R3056" s="12"/>
      <c r="S3056" s="12"/>
      <c r="T3056" s="12"/>
      <c r="U3056" s="12"/>
      <c r="V3056" s="12"/>
      <c r="W3056" s="12"/>
      <c r="X3056" s="12"/>
      <c r="Y3056" s="12"/>
      <c r="Z3056" s="12"/>
      <c r="AA3056" s="12"/>
    </row>
    <row r="3057" ht="26.25" customHeight="1">
      <c r="A3057" s="28" t="s">
        <v>6124</v>
      </c>
      <c r="B3057" s="29" t="s">
        <v>6125</v>
      </c>
      <c r="C3057" s="30">
        <v>3.0</v>
      </c>
      <c r="D3057" s="31">
        <v>344.0</v>
      </c>
      <c r="E3057" s="31">
        <v>3.0</v>
      </c>
      <c r="F3057" s="32" t="str">
        <f t="array" ref="F3057">"https://www.google.com/maps/search/?api=1&amp;query=" &amp; A3057 &amp; "," &amp; B3057</f>
        <v>https://www.google.com/maps/search/?api=1&amp;query=-30.90149012085490,-5.55497380753938</v>
      </c>
      <c r="G3057" s="33" t="str">
        <f t="array" ref="G3057">"https://earth.google.com/web/search/" &amp; A3057 &amp; "," &amp; B3057</f>
        <v>https://earth.google.com/web/search/-30.90149012085490,-5.55497380753938</v>
      </c>
      <c r="H3057" s="12"/>
      <c r="I3057" s="12"/>
      <c r="J3057" s="12"/>
      <c r="K3057" s="12"/>
      <c r="L3057" s="12"/>
      <c r="M3057" s="12"/>
      <c r="N3057" s="12"/>
      <c r="O3057" s="12"/>
      <c r="P3057" s="12"/>
      <c r="Q3057" s="12"/>
      <c r="R3057" s="12"/>
      <c r="S3057" s="12"/>
      <c r="T3057" s="12"/>
      <c r="U3057" s="12"/>
      <c r="V3057" s="12"/>
      <c r="W3057" s="12"/>
      <c r="X3057" s="12"/>
      <c r="Y3057" s="12"/>
      <c r="Z3057" s="12"/>
      <c r="AA3057" s="12"/>
    </row>
    <row r="3058" ht="26.25" customHeight="1">
      <c r="A3058" s="34" t="s">
        <v>6126</v>
      </c>
      <c r="B3058" s="35" t="s">
        <v>6127</v>
      </c>
      <c r="C3058" s="36">
        <v>3.0</v>
      </c>
      <c r="D3058" s="37">
        <v>344.0</v>
      </c>
      <c r="E3058" s="37">
        <v>4.0</v>
      </c>
      <c r="F3058" s="24" t="str">
        <f t="array" ref="F3058">"https://www.google.com/maps/search/?api=1&amp;query=" &amp; A3058 &amp; "," &amp; B3058</f>
        <v>https://www.google.com/maps/search/?api=1&amp;query=-30.90176226347390,-55.54994164548890</v>
      </c>
      <c r="G3058" s="25" t="str">
        <f t="array" ref="G3058">"https://earth.google.com/web/search/" &amp; A3058 &amp; "," &amp; B3058</f>
        <v>https://earth.google.com/web/search/-30.90176226347390,-55.54994164548890</v>
      </c>
      <c r="H3058" s="12"/>
      <c r="I3058" s="12"/>
      <c r="J3058" s="12"/>
      <c r="K3058" s="12"/>
      <c r="L3058" s="12"/>
      <c r="M3058" s="12"/>
      <c r="N3058" s="12"/>
      <c r="O3058" s="12"/>
      <c r="P3058" s="12"/>
      <c r="Q3058" s="12"/>
      <c r="R3058" s="12"/>
      <c r="S3058" s="12"/>
      <c r="T3058" s="12"/>
      <c r="U3058" s="12"/>
      <c r="V3058" s="12"/>
      <c r="W3058" s="12"/>
      <c r="X3058" s="12"/>
      <c r="Y3058" s="12"/>
      <c r="Z3058" s="12"/>
      <c r="AA3058" s="12"/>
    </row>
    <row r="3059" ht="26.25" customHeight="1">
      <c r="A3059" s="28" t="s">
        <v>6128</v>
      </c>
      <c r="B3059" s="29" t="s">
        <v>6129</v>
      </c>
      <c r="C3059" s="30">
        <v>3.0</v>
      </c>
      <c r="D3059" s="31">
        <v>345.0</v>
      </c>
      <c r="E3059" s="31">
        <v>1.0</v>
      </c>
      <c r="F3059" s="32" t="str">
        <f t="array" ref="F3059">"https://www.google.com/maps/search/?api=1&amp;query=" &amp; A3059 &amp; "," &amp; B3059</f>
        <v>https://www.google.com/maps/search/?api=1&amp;query=-30.90147032723020,-55.55096984604700</v>
      </c>
      <c r="G3059" s="33" t="str">
        <f t="array" ref="G3059">"https://earth.google.com/web/search/" &amp; A3059 &amp; "," &amp; B3059</f>
        <v>https://earth.google.com/web/search/-30.90147032723020,-55.55096984604700</v>
      </c>
      <c r="H3059" s="12"/>
      <c r="I3059" s="12"/>
      <c r="J3059" s="12"/>
      <c r="K3059" s="12"/>
      <c r="L3059" s="12"/>
      <c r="M3059" s="12"/>
      <c r="N3059" s="12"/>
      <c r="O3059" s="12"/>
      <c r="P3059" s="12"/>
      <c r="Q3059" s="12"/>
      <c r="R3059" s="12"/>
      <c r="S3059" s="12"/>
      <c r="T3059" s="12"/>
      <c r="U3059" s="12"/>
      <c r="V3059" s="12"/>
      <c r="W3059" s="12"/>
      <c r="X3059" s="12"/>
      <c r="Y3059" s="12"/>
      <c r="Z3059" s="12"/>
      <c r="AA3059" s="12"/>
    </row>
    <row r="3060" ht="26.25" customHeight="1">
      <c r="A3060" s="34" t="s">
        <v>6130</v>
      </c>
      <c r="B3060" s="35" t="s">
        <v>6131</v>
      </c>
      <c r="C3060" s="36">
        <v>3.0</v>
      </c>
      <c r="D3060" s="37">
        <v>345.0</v>
      </c>
      <c r="E3060" s="37">
        <v>2.0</v>
      </c>
      <c r="F3060" s="24" t="str">
        <f t="array" ref="F3060">"https://www.google.com/maps/search/?api=1&amp;query=" &amp; A3060 &amp; "," &amp; B3060</f>
        <v>https://www.google.com/maps/search/?api=1&amp;query=-30.90179411436560,-55.55056789648920</v>
      </c>
      <c r="G3060" s="25" t="str">
        <f t="array" ref="G3060">"https://earth.google.com/web/search/" &amp; A3060 &amp; "," &amp; B3060</f>
        <v>https://earth.google.com/web/search/-30.90179411436560,-55.55056789648920</v>
      </c>
      <c r="H3060" s="12"/>
      <c r="I3060" s="12"/>
      <c r="J3060" s="12"/>
      <c r="K3060" s="12"/>
      <c r="L3060" s="12"/>
      <c r="M3060" s="12"/>
      <c r="N3060" s="12"/>
      <c r="O3060" s="12"/>
      <c r="P3060" s="12"/>
      <c r="Q3060" s="12"/>
      <c r="R3060" s="12"/>
      <c r="S3060" s="12"/>
      <c r="T3060" s="12"/>
      <c r="U3060" s="12"/>
      <c r="V3060" s="12"/>
      <c r="W3060" s="12"/>
      <c r="X3060" s="12"/>
      <c r="Y3060" s="12"/>
      <c r="Z3060" s="12"/>
      <c r="AA3060" s="12"/>
    </row>
    <row r="3061" ht="26.25" customHeight="1">
      <c r="A3061" s="28" t="s">
        <v>6132</v>
      </c>
      <c r="B3061" s="29" t="s">
        <v>6133</v>
      </c>
      <c r="C3061" s="30">
        <v>3.0</v>
      </c>
      <c r="D3061" s="31">
        <v>345.0</v>
      </c>
      <c r="E3061" s="31">
        <v>3.0</v>
      </c>
      <c r="F3061" s="32" t="str">
        <f t="array" ref="F3061">"https://www.google.com/maps/search/?api=1&amp;query=" &amp; A3061 &amp; "," &amp; B3061</f>
        <v>https://www.google.com/maps/search/?api=1&amp;query=-30.90182635966080,-55.55043915365460</v>
      </c>
      <c r="G3061" s="33" t="str">
        <f t="array" ref="G3061">"https://earth.google.com/web/search/" &amp; A3061 &amp; "," &amp; B3061</f>
        <v>https://earth.google.com/web/search/-30.90182635966080,-55.55043915365460</v>
      </c>
      <c r="H3061" s="12"/>
      <c r="I3061" s="12"/>
      <c r="J3061" s="12"/>
      <c r="K3061" s="12"/>
      <c r="L3061" s="12"/>
      <c r="M3061" s="12"/>
      <c r="N3061" s="12"/>
      <c r="O3061" s="12"/>
      <c r="P3061" s="12"/>
      <c r="Q3061" s="12"/>
      <c r="R3061" s="12"/>
      <c r="S3061" s="12"/>
      <c r="T3061" s="12"/>
      <c r="U3061" s="12"/>
      <c r="V3061" s="12"/>
      <c r="W3061" s="12"/>
      <c r="X3061" s="12"/>
      <c r="Y3061" s="12"/>
      <c r="Z3061" s="12"/>
      <c r="AA3061" s="12"/>
    </row>
    <row r="3062" ht="26.25" customHeight="1">
      <c r="A3062" s="34" t="s">
        <v>6134</v>
      </c>
      <c r="B3062" s="35" t="s">
        <v>6135</v>
      </c>
      <c r="C3062" s="36">
        <v>3.0</v>
      </c>
      <c r="D3062" s="37">
        <v>345.0</v>
      </c>
      <c r="E3062" s="37">
        <v>4.0</v>
      </c>
      <c r="F3062" s="24" t="str">
        <f t="array" ref="F3062">"https://www.google.com/maps/search/?api=1&amp;query=" &amp; A3062 &amp; "," &amp; B3062</f>
        <v>https://www.google.com/maps/search/?api=1&amp;query=-30.90188476832980,-55.55013475738580</v>
      </c>
      <c r="G3062" s="25" t="str">
        <f t="array" ref="G3062">"https://earth.google.com/web/search/" &amp; A3062 &amp; "," &amp; B3062</f>
        <v>https://earth.google.com/web/search/-30.90188476832980,-55.55013475738580</v>
      </c>
      <c r="H3062" s="12"/>
      <c r="I3062" s="12"/>
      <c r="J3062" s="12"/>
      <c r="K3062" s="12"/>
      <c r="L3062" s="12"/>
      <c r="M3062" s="12"/>
      <c r="N3062" s="12"/>
      <c r="O3062" s="12"/>
      <c r="P3062" s="12"/>
      <c r="Q3062" s="12"/>
      <c r="R3062" s="12"/>
      <c r="S3062" s="12"/>
      <c r="T3062" s="12"/>
      <c r="U3062" s="12"/>
      <c r="V3062" s="12"/>
      <c r="W3062" s="12"/>
      <c r="X3062" s="12"/>
      <c r="Y3062" s="12"/>
      <c r="Z3062" s="12"/>
      <c r="AA3062" s="12"/>
    </row>
    <row r="3063" ht="26.25" customHeight="1">
      <c r="A3063" s="28" t="s">
        <v>6136</v>
      </c>
      <c r="B3063" s="29" t="s">
        <v>6137</v>
      </c>
      <c r="C3063" s="30">
        <v>3.0</v>
      </c>
      <c r="D3063" s="31">
        <v>345.0</v>
      </c>
      <c r="E3063" s="31">
        <v>5.0</v>
      </c>
      <c r="F3063" s="32" t="str">
        <f t="array" ref="F3063">"https://www.google.com/maps/search/?api=1&amp;query=" &amp; A3063 &amp; "," &amp; B3063</f>
        <v>https://www.google.com/maps/search/?api=1&amp;query=-30.90180796548570,-55.55009045313550</v>
      </c>
      <c r="G3063" s="33" t="str">
        <f t="array" ref="G3063">"https://earth.google.com/web/search/" &amp; A3063 &amp; "," &amp; B3063</f>
        <v>https://earth.google.com/web/search/-30.90180796548570,-55.55009045313550</v>
      </c>
      <c r="H3063" s="12"/>
      <c r="I3063" s="12"/>
      <c r="J3063" s="12"/>
      <c r="K3063" s="12"/>
      <c r="L3063" s="12"/>
      <c r="M3063" s="12"/>
      <c r="N3063" s="12"/>
      <c r="O3063" s="12"/>
      <c r="P3063" s="12"/>
      <c r="Q3063" s="12"/>
      <c r="R3063" s="12"/>
      <c r="S3063" s="12"/>
      <c r="T3063" s="12"/>
      <c r="U3063" s="12"/>
      <c r="V3063" s="12"/>
      <c r="W3063" s="12"/>
      <c r="X3063" s="12"/>
      <c r="Y3063" s="12"/>
      <c r="Z3063" s="12"/>
      <c r="AA3063" s="12"/>
    </row>
    <row r="3064" ht="26.25" customHeight="1">
      <c r="A3064" s="34" t="s">
        <v>6138</v>
      </c>
      <c r="B3064" s="35" t="s">
        <v>6139</v>
      </c>
      <c r="C3064" s="36">
        <v>3.0</v>
      </c>
      <c r="D3064" s="37">
        <v>345.0</v>
      </c>
      <c r="E3064" s="37">
        <v>6.0</v>
      </c>
      <c r="F3064" s="24" t="str">
        <f t="array" ref="F3064">"https://www.google.com/maps/search/?api=1&amp;query=" &amp; A3064 &amp; "," &amp; B3064</f>
        <v>https://www.google.com/maps/search/?api=1&amp;query=-30.90165268149330,-55.54998876558960</v>
      </c>
      <c r="G3064" s="25" t="str">
        <f t="array" ref="G3064">"https://earth.google.com/web/search/" &amp; A3064 &amp; "," &amp; B3064</f>
        <v>https://earth.google.com/web/search/-30.90165268149330,-55.54998876558960</v>
      </c>
      <c r="H3064" s="12"/>
      <c r="I3064" s="12"/>
      <c r="J3064" s="12"/>
      <c r="K3064" s="12"/>
      <c r="L3064" s="12"/>
      <c r="M3064" s="12"/>
      <c r="N3064" s="12"/>
      <c r="O3064" s="12"/>
      <c r="P3064" s="12"/>
      <c r="Q3064" s="12"/>
      <c r="R3064" s="12"/>
      <c r="S3064" s="12"/>
      <c r="T3064" s="12"/>
      <c r="U3064" s="12"/>
      <c r="V3064" s="12"/>
      <c r="W3064" s="12"/>
      <c r="X3064" s="12"/>
      <c r="Y3064" s="12"/>
      <c r="Z3064" s="12"/>
      <c r="AA3064" s="12"/>
    </row>
    <row r="3065" ht="26.25" customHeight="1">
      <c r="A3065" s="28" t="s">
        <v>6140</v>
      </c>
      <c r="B3065" s="29" t="s">
        <v>6141</v>
      </c>
      <c r="C3065" s="30">
        <v>3.0</v>
      </c>
      <c r="D3065" s="31">
        <v>345.0</v>
      </c>
      <c r="E3065" s="31">
        <v>7.0</v>
      </c>
      <c r="F3065" s="32" t="str">
        <f t="array" ref="F3065">"https://www.google.com/maps/search/?api=1&amp;query=" &amp; A3065 &amp; "," &amp; B3065</f>
        <v>https://www.google.com/maps/search/?api=1&amp;query=-30.90156950149010,-55.54992276132470</v>
      </c>
      <c r="G3065" s="33" t="str">
        <f t="array" ref="G3065">"https://earth.google.com/web/search/" &amp; A3065 &amp; "," &amp; B3065</f>
        <v>https://earth.google.com/web/search/-30.90156950149010,-55.54992276132470</v>
      </c>
      <c r="H3065" s="12"/>
      <c r="I3065" s="12"/>
      <c r="J3065" s="12"/>
      <c r="K3065" s="12"/>
      <c r="L3065" s="12"/>
      <c r="M3065" s="12"/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/>
      <c r="AA3065" s="12"/>
    </row>
    <row r="3066" ht="26.25" customHeight="1">
      <c r="A3066" s="34" t="s">
        <v>6142</v>
      </c>
      <c r="B3066" s="35" t="s">
        <v>6143</v>
      </c>
      <c r="C3066" s="36">
        <v>3.0</v>
      </c>
      <c r="D3066" s="37">
        <v>345.0</v>
      </c>
      <c r="E3066" s="37">
        <v>8.0</v>
      </c>
      <c r="F3066" s="24" t="str">
        <f t="array" ref="F3066">"https://www.google.com/maps/search/?api=1&amp;query=" &amp; A3066 &amp; "," &amp; B3066</f>
        <v>https://www.google.com/maps/search/?api=1&amp;query=-30.90119848801720,-55.54981007374560</v>
      </c>
      <c r="G3066" s="25" t="str">
        <f t="array" ref="G3066">"https://earth.google.com/web/search/" &amp; A3066 &amp; "," &amp; B3066</f>
        <v>https://earth.google.com/web/search/-30.90119848801720,-55.54981007374560</v>
      </c>
      <c r="H3066" s="12"/>
      <c r="I3066" s="12"/>
      <c r="J3066" s="12"/>
      <c r="K3066" s="12"/>
      <c r="L3066" s="12"/>
      <c r="M3066" s="12"/>
      <c r="N3066" s="12"/>
      <c r="O3066" s="12"/>
      <c r="P3066" s="12"/>
      <c r="Q3066" s="12"/>
      <c r="R3066" s="12"/>
      <c r="S3066" s="12"/>
      <c r="T3066" s="12"/>
      <c r="U3066" s="12"/>
      <c r="V3066" s="12"/>
      <c r="W3066" s="12"/>
      <c r="X3066" s="12"/>
      <c r="Y3066" s="12"/>
      <c r="Z3066" s="12"/>
      <c r="AA3066" s="12"/>
    </row>
    <row r="3067" ht="26.25" customHeight="1">
      <c r="A3067" s="28" t="s">
        <v>6144</v>
      </c>
      <c r="B3067" s="29" t="s">
        <v>6145</v>
      </c>
      <c r="C3067" s="30">
        <v>3.0</v>
      </c>
      <c r="D3067" s="31">
        <v>345.0</v>
      </c>
      <c r="E3067" s="31">
        <v>9.0</v>
      </c>
      <c r="F3067" s="32" t="str">
        <f t="array" ref="F3067">"https://www.google.com/maps/search/?api=1&amp;query=" &amp; A3067 &amp; "," &amp; B3067</f>
        <v>https://www.google.com/maps/search/?api=1&amp;query=-30.90087025717310,-55.55048163266470</v>
      </c>
      <c r="G3067" s="33" t="str">
        <f t="array" ref="G3067">"https://earth.google.com/web/search/" &amp; A3067 &amp; "," &amp; B3067</f>
        <v>https://earth.google.com/web/search/-30.90087025717310,-55.55048163266470</v>
      </c>
      <c r="H3067" s="12"/>
      <c r="I3067" s="12"/>
      <c r="J3067" s="12"/>
      <c r="K3067" s="12"/>
      <c r="L3067" s="12"/>
      <c r="M3067" s="12"/>
      <c r="N3067" s="12"/>
      <c r="O3067" s="12"/>
      <c r="P3067" s="12"/>
      <c r="Q3067" s="12"/>
      <c r="R3067" s="12"/>
      <c r="S3067" s="12"/>
      <c r="T3067" s="12"/>
      <c r="U3067" s="12"/>
      <c r="V3067" s="12"/>
      <c r="W3067" s="12"/>
      <c r="X3067" s="12"/>
      <c r="Y3067" s="12"/>
      <c r="Z3067" s="12"/>
      <c r="AA3067" s="12"/>
    </row>
    <row r="3068" ht="26.25" customHeight="1">
      <c r="A3068" s="34" t="s">
        <v>6146</v>
      </c>
      <c r="B3068" s="35" t="s">
        <v>6147</v>
      </c>
      <c r="C3068" s="36">
        <v>3.0</v>
      </c>
      <c r="D3068" s="37">
        <v>345.0</v>
      </c>
      <c r="E3068" s="37">
        <v>10.0</v>
      </c>
      <c r="F3068" s="24" t="str">
        <f t="array" ref="F3068">"https://www.google.com/maps/search/?api=1&amp;query=" &amp; A3068 &amp; "," &amp; B3068</f>
        <v>https://www.google.com/maps/search/?api=1&amp;query=-30.90089452535080,-55.55058127296750</v>
      </c>
      <c r="G3068" s="25" t="str">
        <f t="array" ref="G3068">"https://earth.google.com/web/search/" &amp; A3068 &amp; "," &amp; B3068</f>
        <v>https://earth.google.com/web/search/-30.90089452535080,-55.55058127296750</v>
      </c>
      <c r="H3068" s="12"/>
      <c r="I3068" s="12"/>
      <c r="J3068" s="12"/>
      <c r="K3068" s="12"/>
      <c r="L3068" s="12"/>
      <c r="M3068" s="12"/>
      <c r="N3068" s="12"/>
      <c r="O3068" s="12"/>
      <c r="P3068" s="12"/>
      <c r="Q3068" s="12"/>
      <c r="R3068" s="12"/>
      <c r="S3068" s="12"/>
      <c r="T3068" s="12"/>
      <c r="U3068" s="12"/>
      <c r="V3068" s="12"/>
      <c r="W3068" s="12"/>
      <c r="X3068" s="12"/>
      <c r="Y3068" s="12"/>
      <c r="Z3068" s="12"/>
      <c r="AA3068" s="12"/>
    </row>
    <row r="3069" ht="26.25" customHeight="1">
      <c r="A3069" s="28" t="s">
        <v>6148</v>
      </c>
      <c r="B3069" s="29" t="s">
        <v>6149</v>
      </c>
      <c r="C3069" s="30">
        <v>3.0</v>
      </c>
      <c r="D3069" s="31">
        <v>345.0</v>
      </c>
      <c r="E3069" s="31">
        <v>11.0</v>
      </c>
      <c r="F3069" s="32" t="str">
        <f t="array" ref="F3069">"https://www.google.com/maps/search/?api=1&amp;query=" &amp; A3069 &amp; "," &amp; B3069</f>
        <v>https://www.google.com/maps/search/?api=1&amp;query=-30.90095899423950,-55.55061422307540</v>
      </c>
      <c r="G3069" s="33" t="str">
        <f t="array" ref="G3069">"https://earth.google.com/web/search/" &amp; A3069 &amp; "," &amp; B3069</f>
        <v>https://earth.google.com/web/search/-30.90095899423950,-55.55061422307540</v>
      </c>
      <c r="H3069" s="12"/>
      <c r="I3069" s="12"/>
      <c r="J3069" s="12"/>
      <c r="K3069" s="12"/>
      <c r="L3069" s="12"/>
      <c r="M3069" s="12"/>
      <c r="N3069" s="12"/>
      <c r="O3069" s="12"/>
      <c r="P3069" s="12"/>
      <c r="Q3069" s="12"/>
      <c r="R3069" s="12"/>
      <c r="S3069" s="12"/>
      <c r="T3069" s="12"/>
      <c r="U3069" s="12"/>
      <c r="V3069" s="12"/>
      <c r="W3069" s="12"/>
      <c r="X3069" s="12"/>
      <c r="Y3069" s="12"/>
      <c r="Z3069" s="12"/>
      <c r="AA3069" s="12"/>
    </row>
    <row r="3070" ht="26.25" customHeight="1">
      <c r="A3070" s="34" t="s">
        <v>6150</v>
      </c>
      <c r="B3070" s="35" t="s">
        <v>6151</v>
      </c>
      <c r="C3070" s="36">
        <v>3.0</v>
      </c>
      <c r="D3070" s="37">
        <v>345.0</v>
      </c>
      <c r="E3070" s="37">
        <v>12.0</v>
      </c>
      <c r="F3070" s="24" t="str">
        <f t="array" ref="F3070">"https://www.google.com/maps/search/?api=1&amp;query=" &amp; A3070 &amp; "," &amp; B3070</f>
        <v>https://www.google.com/maps/search/?api=1&amp;query=-30.90104022084080,-55.55064634942090</v>
      </c>
      <c r="G3070" s="25" t="str">
        <f t="array" ref="G3070">"https://earth.google.com/web/search/" &amp; A3070 &amp; "," &amp; B3070</f>
        <v>https://earth.google.com/web/search/-30.90104022084080,-55.55064634942090</v>
      </c>
      <c r="H3070" s="12"/>
      <c r="I3070" s="12"/>
      <c r="J3070" s="12"/>
      <c r="K3070" s="12"/>
      <c r="L3070" s="12"/>
      <c r="M3070" s="12"/>
      <c r="N3070" s="12"/>
      <c r="O3070" s="12"/>
      <c r="P3070" s="12"/>
      <c r="Q3070" s="12"/>
      <c r="R3070" s="12"/>
      <c r="S3070" s="12"/>
      <c r="T3070" s="12"/>
      <c r="U3070" s="12"/>
      <c r="V3070" s="12"/>
      <c r="W3070" s="12"/>
      <c r="X3070" s="12"/>
      <c r="Y3070" s="12"/>
      <c r="Z3070" s="12"/>
      <c r="AA3070" s="12"/>
    </row>
    <row r="3071" ht="26.25" customHeight="1">
      <c r="A3071" s="28" t="s">
        <v>6152</v>
      </c>
      <c r="B3071" s="29" t="s">
        <v>6153</v>
      </c>
      <c r="C3071" s="30">
        <v>3.0</v>
      </c>
      <c r="D3071" s="31">
        <v>346.0</v>
      </c>
      <c r="E3071" s="31">
        <v>1.0</v>
      </c>
      <c r="F3071" s="32" t="str">
        <f t="array" ref="F3071">"https://www.google.com/maps/search/?api=1&amp;query=" &amp; A3071 &amp; "," &amp; B3071</f>
        <v>https://www.google.com/maps/search/?api=1&amp;query=-30.90117977327090,-5.55517727374463</v>
      </c>
      <c r="G3071" s="33" t="str">
        <f t="array" ref="G3071">"https://earth.google.com/web/search/" &amp; A3071 &amp; "," &amp; B3071</f>
        <v>https://earth.google.com/web/search/-30.90117977327090,-5.55517727374463</v>
      </c>
      <c r="H3071" s="12"/>
      <c r="I3071" s="12"/>
      <c r="J3071" s="12"/>
      <c r="K3071" s="12"/>
      <c r="L3071" s="12"/>
      <c r="M3071" s="12"/>
      <c r="N3071" s="12"/>
      <c r="O3071" s="12"/>
      <c r="P3071" s="12"/>
      <c r="Q3071" s="12"/>
      <c r="R3071" s="12"/>
      <c r="S3071" s="12"/>
      <c r="T3071" s="12"/>
      <c r="U3071" s="12"/>
      <c r="V3071" s="12"/>
      <c r="W3071" s="12"/>
      <c r="X3071" s="12"/>
      <c r="Y3071" s="12"/>
      <c r="Z3071" s="12"/>
      <c r="AA3071" s="12"/>
    </row>
    <row r="3072" ht="26.25" customHeight="1">
      <c r="A3072" s="34" t="s">
        <v>6154</v>
      </c>
      <c r="B3072" s="35" t="s">
        <v>6155</v>
      </c>
      <c r="C3072" s="36">
        <v>3.0</v>
      </c>
      <c r="D3072" s="37">
        <v>346.0</v>
      </c>
      <c r="E3072" s="37">
        <v>2.0</v>
      </c>
      <c r="F3072" s="24" t="str">
        <f t="array" ref="F3072">"https://www.google.com/maps/search/?api=1&amp;query=" &amp; A3072 &amp; "," &amp; B3072</f>
        <v>https://www.google.com/maps/search/?api=1&amp;query=-30.90066492398710,-55.55080250337130</v>
      </c>
      <c r="G3072" s="25" t="str">
        <f t="array" ref="G3072">"https://earth.google.com/web/search/" &amp; A3072 &amp; "," &amp; B3072</f>
        <v>https://earth.google.com/web/search/-30.90066492398710,-55.55080250337130</v>
      </c>
      <c r="H3072" s="12"/>
      <c r="I3072" s="12"/>
      <c r="J3072" s="12"/>
      <c r="K3072" s="12"/>
      <c r="L3072" s="12"/>
      <c r="M3072" s="12"/>
      <c r="N3072" s="12"/>
      <c r="O3072" s="12"/>
      <c r="P3072" s="12"/>
      <c r="Q3072" s="12"/>
      <c r="R3072" s="12"/>
      <c r="S3072" s="12"/>
      <c r="T3072" s="12"/>
      <c r="U3072" s="12"/>
      <c r="V3072" s="12"/>
      <c r="W3072" s="12"/>
      <c r="X3072" s="12"/>
      <c r="Y3072" s="12"/>
      <c r="Z3072" s="12"/>
      <c r="AA3072" s="12"/>
    </row>
    <row r="3073" ht="26.25" customHeight="1">
      <c r="A3073" s="28" t="s">
        <v>6156</v>
      </c>
      <c r="B3073" s="29" t="s">
        <v>6157</v>
      </c>
      <c r="C3073" s="30">
        <v>3.0</v>
      </c>
      <c r="D3073" s="31">
        <v>346.0</v>
      </c>
      <c r="E3073" s="31">
        <v>3.0</v>
      </c>
      <c r="F3073" s="32" t="str">
        <f t="array" ref="F3073">"https://www.google.com/maps/search/?api=1&amp;query=" &amp; A3073 &amp; "," &amp; B3073</f>
        <v>https://www.google.com/maps/search/?api=1&amp;query=-30.90060261978380,-55.55098992471820</v>
      </c>
      <c r="G3073" s="33" t="str">
        <f t="array" ref="G3073">"https://earth.google.com/web/search/" &amp; A3073 &amp; "," &amp; B3073</f>
        <v>https://earth.google.com/web/search/-30.90060261978380,-55.55098992471820</v>
      </c>
      <c r="H3073" s="12"/>
      <c r="I3073" s="12"/>
      <c r="J3073" s="12"/>
      <c r="K3073" s="12"/>
      <c r="L3073" s="12"/>
      <c r="M3073" s="12"/>
      <c r="N3073" s="12"/>
      <c r="O3073" s="12"/>
      <c r="P3073" s="12"/>
      <c r="Q3073" s="12"/>
      <c r="R3073" s="12"/>
      <c r="S3073" s="12"/>
      <c r="T3073" s="12"/>
      <c r="U3073" s="12"/>
      <c r="V3073" s="12"/>
      <c r="W3073" s="12"/>
      <c r="X3073" s="12"/>
      <c r="Y3073" s="12"/>
      <c r="Z3073" s="12"/>
      <c r="AA3073" s="12"/>
    </row>
    <row r="3074" ht="26.25" customHeight="1">
      <c r="A3074" s="34" t="s">
        <v>6158</v>
      </c>
      <c r="B3074" s="35" t="s">
        <v>6159</v>
      </c>
      <c r="C3074" s="36">
        <v>3.0</v>
      </c>
      <c r="D3074" s="37">
        <v>346.0</v>
      </c>
      <c r="E3074" s="37">
        <v>4.0</v>
      </c>
      <c r="F3074" s="24" t="str">
        <f t="array" ref="F3074">"https://www.google.com/maps/search/?api=1&amp;query=" &amp; A3074 &amp; "," &amp; B3074</f>
        <v>https://www.google.com/maps/search/?api=1&amp;query=-30.90050759506560,-55.55109392349520</v>
      </c>
      <c r="G3074" s="25" t="str">
        <f t="array" ref="G3074">"https://earth.google.com/web/search/" &amp; A3074 &amp; "," &amp; B3074</f>
        <v>https://earth.google.com/web/search/-30.90050759506560,-55.55109392349520</v>
      </c>
      <c r="H3074" s="12"/>
      <c r="I3074" s="12"/>
      <c r="J3074" s="12"/>
      <c r="K3074" s="12"/>
      <c r="L3074" s="12"/>
      <c r="M3074" s="12"/>
      <c r="N3074" s="12"/>
      <c r="O3074" s="12"/>
      <c r="P3074" s="12"/>
      <c r="Q3074" s="12"/>
      <c r="R3074" s="12"/>
      <c r="S3074" s="12"/>
      <c r="T3074" s="12"/>
      <c r="U3074" s="12"/>
      <c r="V3074" s="12"/>
      <c r="W3074" s="12"/>
      <c r="X3074" s="12"/>
      <c r="Y3074" s="12"/>
      <c r="Z3074" s="12"/>
      <c r="AA3074" s="12"/>
    </row>
    <row r="3075" ht="26.25" customHeight="1">
      <c r="A3075" s="28" t="s">
        <v>6160</v>
      </c>
      <c r="B3075" s="29" t="s">
        <v>6161</v>
      </c>
      <c r="C3075" s="30">
        <v>3.0</v>
      </c>
      <c r="D3075" s="31">
        <v>346.0</v>
      </c>
      <c r="E3075" s="31">
        <v>5.0</v>
      </c>
      <c r="F3075" s="32" t="str">
        <f t="array" ref="F3075">"https://www.google.com/maps/search/?api=1&amp;query=" &amp; A3075 &amp; "," &amp; B3075</f>
        <v>https://www.google.com/maps/search/?api=1&amp;query=-30.90043620465650,-55.55126222643210</v>
      </c>
      <c r="G3075" s="33" t="str">
        <f t="array" ref="G3075">"https://earth.google.com/web/search/" &amp; A3075 &amp; "," &amp; B3075</f>
        <v>https://earth.google.com/web/search/-30.90043620465650,-55.55126222643210</v>
      </c>
      <c r="H3075" s="12"/>
      <c r="I3075" s="12"/>
      <c r="J3075" s="12"/>
      <c r="K3075" s="12"/>
      <c r="L3075" s="12"/>
      <c r="M3075" s="12"/>
      <c r="N3075" s="12"/>
      <c r="O3075" s="12"/>
      <c r="P3075" s="12"/>
      <c r="Q3075" s="12"/>
      <c r="R3075" s="12"/>
      <c r="S3075" s="12"/>
      <c r="T3075" s="12"/>
      <c r="U3075" s="12"/>
      <c r="V3075" s="12"/>
      <c r="W3075" s="12"/>
      <c r="X3075" s="12"/>
      <c r="Y3075" s="12"/>
      <c r="Z3075" s="12"/>
      <c r="AA3075" s="12"/>
    </row>
    <row r="3076" ht="26.25" customHeight="1">
      <c r="A3076" s="34" t="s">
        <v>6162</v>
      </c>
      <c r="B3076" s="35" t="s">
        <v>6163</v>
      </c>
      <c r="C3076" s="36">
        <v>3.0</v>
      </c>
      <c r="D3076" s="37">
        <v>346.0</v>
      </c>
      <c r="E3076" s="37">
        <v>6.0</v>
      </c>
      <c r="F3076" s="24" t="str">
        <f t="array" ref="F3076">"https://www.google.com/maps/search/?api=1&amp;query=" &amp; A3076 &amp; "," &amp; B3076</f>
        <v>https://www.google.com/maps/search/?api=1&amp;query=-30.90035275190150,-55.55137451808830</v>
      </c>
      <c r="G3076" s="25" t="str">
        <f t="array" ref="G3076">"https://earth.google.com/web/search/" &amp; A3076 &amp; "," &amp; B3076</f>
        <v>https://earth.google.com/web/search/-30.90035275190150,-55.55137451808830</v>
      </c>
      <c r="H3076" s="12"/>
      <c r="I3076" s="12"/>
      <c r="J3076" s="12"/>
      <c r="K3076" s="12"/>
      <c r="L3076" s="12"/>
      <c r="M3076" s="12"/>
      <c r="N3076" s="12"/>
      <c r="O3076" s="12"/>
      <c r="P3076" s="12"/>
      <c r="Q3076" s="12"/>
      <c r="R3076" s="12"/>
      <c r="S3076" s="12"/>
      <c r="T3076" s="12"/>
      <c r="U3076" s="12"/>
      <c r="V3076" s="12"/>
      <c r="W3076" s="12"/>
      <c r="X3076" s="12"/>
      <c r="Y3076" s="12"/>
      <c r="Z3076" s="12"/>
      <c r="AA3076" s="12"/>
    </row>
    <row r="3077" ht="26.25" customHeight="1">
      <c r="A3077" s="28" t="s">
        <v>6164</v>
      </c>
      <c r="B3077" s="29" t="s">
        <v>6165</v>
      </c>
      <c r="C3077" s="30">
        <v>3.0</v>
      </c>
      <c r="D3077" s="31">
        <v>346.0</v>
      </c>
      <c r="E3077" s="31">
        <v>7.0</v>
      </c>
      <c r="F3077" s="32" t="str">
        <f t="array" ref="F3077">"https://www.google.com/maps/search/?api=1&amp;query=" &amp; A3077 &amp; "," &amp; B3077</f>
        <v>https://www.google.com/maps/search/?api=1&amp;query=-30.90050834443570,-55.55155084909560</v>
      </c>
      <c r="G3077" s="33" t="str">
        <f t="array" ref="G3077">"https://earth.google.com/web/search/" &amp; A3077 &amp; "," &amp; B3077</f>
        <v>https://earth.google.com/web/search/-30.90050834443570,-55.55155084909560</v>
      </c>
      <c r="H3077" s="12"/>
      <c r="I3077" s="12"/>
      <c r="J3077" s="12"/>
      <c r="K3077" s="12"/>
      <c r="L3077" s="12"/>
      <c r="M3077" s="12"/>
      <c r="N3077" s="12"/>
      <c r="O3077" s="12"/>
      <c r="P3077" s="12"/>
      <c r="Q3077" s="12"/>
      <c r="R3077" s="12"/>
      <c r="S3077" s="12"/>
      <c r="T3077" s="12"/>
      <c r="U3077" s="12"/>
      <c r="V3077" s="12"/>
      <c r="W3077" s="12"/>
      <c r="X3077" s="12"/>
      <c r="Y3077" s="12"/>
      <c r="Z3077" s="12"/>
      <c r="AA3077" s="12"/>
    </row>
    <row r="3078" ht="26.25" customHeight="1">
      <c r="A3078" s="34" t="s">
        <v>6166</v>
      </c>
      <c r="B3078" s="35" t="s">
        <v>6167</v>
      </c>
      <c r="C3078" s="36">
        <v>3.0</v>
      </c>
      <c r="D3078" s="37">
        <v>346.0</v>
      </c>
      <c r="E3078" s="37">
        <v>8.0</v>
      </c>
      <c r="F3078" s="24" t="str">
        <f t="array" ref="F3078">"https://www.google.com/maps/search/?api=1&amp;query=" &amp; A3078 &amp; "," &amp; B3078</f>
        <v>https://www.google.com/maps/search/?api=1&amp;query=-30.90063188700680,-55.55161716017140</v>
      </c>
      <c r="G3078" s="25" t="str">
        <f t="array" ref="G3078">"https://earth.google.com/web/search/" &amp; A3078 &amp; "," &amp; B3078</f>
        <v>https://earth.google.com/web/search/-30.90063188700680,-55.55161716017140</v>
      </c>
      <c r="H3078" s="12"/>
      <c r="I3078" s="12"/>
      <c r="J3078" s="12"/>
      <c r="K3078" s="12"/>
      <c r="L3078" s="12"/>
      <c r="M3078" s="12"/>
      <c r="N3078" s="12"/>
      <c r="O3078" s="12"/>
      <c r="P3078" s="12"/>
      <c r="Q3078" s="12"/>
      <c r="R3078" s="12"/>
      <c r="S3078" s="12"/>
      <c r="T3078" s="12"/>
      <c r="U3078" s="12"/>
      <c r="V3078" s="12"/>
      <c r="W3078" s="12"/>
      <c r="X3078" s="12"/>
      <c r="Y3078" s="12"/>
      <c r="Z3078" s="12"/>
      <c r="AA3078" s="12"/>
    </row>
    <row r="3079" ht="26.25" customHeight="1">
      <c r="A3079" s="28" t="s">
        <v>6168</v>
      </c>
      <c r="B3079" s="29" t="s">
        <v>6169</v>
      </c>
      <c r="C3079" s="30">
        <v>3.0</v>
      </c>
      <c r="D3079" s="31">
        <v>346.0</v>
      </c>
      <c r="E3079" s="31">
        <v>9.0</v>
      </c>
      <c r="F3079" s="32" t="str">
        <f t="array" ref="F3079">"https://www.google.com/maps/search/?api=1&amp;query=" &amp; A3079 &amp; "," &amp; B3079</f>
        <v>https://www.google.com/maps/search/?api=1&amp;query=-30.90076679078040,-55.55174628902110</v>
      </c>
      <c r="G3079" s="33" t="str">
        <f t="array" ref="G3079">"https://earth.google.com/web/search/" &amp; A3079 &amp; "," &amp; B3079</f>
        <v>https://earth.google.com/web/search/-30.90076679078040,-55.55174628902110</v>
      </c>
      <c r="H3079" s="12"/>
      <c r="I3079" s="12"/>
      <c r="J3079" s="12"/>
      <c r="K3079" s="12"/>
      <c r="L3079" s="12"/>
      <c r="M3079" s="12"/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/>
      <c r="AA3079" s="12"/>
    </row>
    <row r="3080" ht="26.25" customHeight="1">
      <c r="A3080" s="34" t="s">
        <v>6170</v>
      </c>
      <c r="B3080" s="35" t="s">
        <v>6171</v>
      </c>
      <c r="C3080" s="36">
        <v>3.0</v>
      </c>
      <c r="D3080" s="37">
        <v>346.0</v>
      </c>
      <c r="E3080" s="37">
        <v>10.0</v>
      </c>
      <c r="F3080" s="24" t="str">
        <f t="array" ref="F3080">"https://www.google.com/maps/search/?api=1&amp;query=" &amp; A3080 &amp; "," &amp; B3080</f>
        <v>https://www.google.com/maps/search/?api=1&amp;query=-30.90082711673620,-55.55176388959440</v>
      </c>
      <c r="G3080" s="25" t="str">
        <f t="array" ref="G3080">"https://earth.google.com/web/search/" &amp; A3080 &amp; "," &amp; B3080</f>
        <v>https://earth.google.com/web/search/-30.90082711673620,-55.55176388959440</v>
      </c>
      <c r="H3080" s="12"/>
      <c r="I3080" s="12"/>
      <c r="J3080" s="12"/>
      <c r="K3080" s="12"/>
      <c r="L3080" s="12"/>
      <c r="M3080" s="12"/>
      <c r="N3080" s="12"/>
      <c r="O3080" s="12"/>
      <c r="P3080" s="12"/>
      <c r="Q3080" s="12"/>
      <c r="R3080" s="12"/>
      <c r="S3080" s="12"/>
      <c r="T3080" s="12"/>
      <c r="U3080" s="12"/>
      <c r="V3080" s="12"/>
      <c r="W3080" s="12"/>
      <c r="X3080" s="12"/>
      <c r="Y3080" s="12"/>
      <c r="Z3080" s="12"/>
      <c r="AA3080" s="12"/>
    </row>
    <row r="3081" ht="26.25" customHeight="1">
      <c r="A3081" s="28" t="s">
        <v>6172</v>
      </c>
      <c r="B3081" s="29" t="s">
        <v>6173</v>
      </c>
      <c r="C3081" s="30">
        <v>3.0</v>
      </c>
      <c r="D3081" s="31">
        <v>346.0</v>
      </c>
      <c r="E3081" s="31">
        <v>11.0</v>
      </c>
      <c r="F3081" s="32" t="str">
        <f t="array" ref="F3081">"https://www.google.com/maps/search/?api=1&amp;query=" &amp; A3081 &amp; "," &amp; B3081</f>
        <v>https://www.google.com/maps/search/?api=1&amp;query=-30.90089470862170,-55.55182727415260</v>
      </c>
      <c r="G3081" s="33" t="str">
        <f t="array" ref="G3081">"https://earth.google.com/web/search/" &amp; A3081 &amp; "," &amp; B3081</f>
        <v>https://earth.google.com/web/search/-30.90089470862170,-55.55182727415260</v>
      </c>
      <c r="H3081" s="12"/>
      <c r="I3081" s="12"/>
      <c r="J3081" s="12"/>
      <c r="K3081" s="12"/>
      <c r="L3081" s="12"/>
      <c r="M3081" s="12"/>
      <c r="N3081" s="12"/>
      <c r="O3081" s="12"/>
      <c r="P3081" s="12"/>
      <c r="Q3081" s="12"/>
      <c r="R3081" s="12"/>
      <c r="S3081" s="12"/>
      <c r="T3081" s="12"/>
      <c r="U3081" s="12"/>
      <c r="V3081" s="12"/>
      <c r="W3081" s="12"/>
      <c r="X3081" s="12"/>
      <c r="Y3081" s="12"/>
      <c r="Z3081" s="12"/>
      <c r="AA3081" s="12"/>
    </row>
    <row r="3082" ht="26.25" customHeight="1">
      <c r="A3082" s="34" t="s">
        <v>6174</v>
      </c>
      <c r="B3082" s="35" t="s">
        <v>6175</v>
      </c>
      <c r="C3082" s="36">
        <v>3.0</v>
      </c>
      <c r="D3082" s="37">
        <v>346.0</v>
      </c>
      <c r="E3082" s="37">
        <v>12.0</v>
      </c>
      <c r="F3082" s="24" t="str">
        <f t="array" ref="F3082">"https://www.google.com/maps/search/?api=1&amp;query=" &amp; A3082 &amp; "," &amp; B3082</f>
        <v>https://www.google.com/maps/search/?api=1&amp;query=-30.90094640379320,-55.55186712844210</v>
      </c>
      <c r="G3082" s="25" t="str">
        <f t="array" ref="G3082">"https://earth.google.com/web/search/" &amp; A3082 &amp; "," &amp; B3082</f>
        <v>https://earth.google.com/web/search/-30.90094640379320,-55.55186712844210</v>
      </c>
      <c r="H3082" s="12"/>
      <c r="I3082" s="12"/>
      <c r="J3082" s="12"/>
      <c r="K3082" s="12"/>
      <c r="L3082" s="12"/>
      <c r="M3082" s="12"/>
      <c r="N3082" s="12"/>
      <c r="O3082" s="12"/>
      <c r="P3082" s="12"/>
      <c r="Q3082" s="12"/>
      <c r="R3082" s="12"/>
      <c r="S3082" s="12"/>
      <c r="T3082" s="12"/>
      <c r="U3082" s="12"/>
      <c r="V3082" s="12"/>
      <c r="W3082" s="12"/>
      <c r="X3082" s="12"/>
      <c r="Y3082" s="12"/>
      <c r="Z3082" s="12"/>
      <c r="AA3082" s="12"/>
    </row>
    <row r="3083" ht="26.25" customHeight="1">
      <c r="A3083" s="28" t="s">
        <v>6176</v>
      </c>
      <c r="B3083" s="29" t="s">
        <v>6177</v>
      </c>
      <c r="C3083" s="30">
        <v>3.0</v>
      </c>
      <c r="D3083" s="31">
        <v>346.0</v>
      </c>
      <c r="E3083" s="31">
        <v>13.0</v>
      </c>
      <c r="F3083" s="32" t="str">
        <f t="array" ref="F3083">"https://www.google.com/maps/search/?api=1&amp;query=" &amp; A3083 &amp; "," &amp; B3083</f>
        <v>https://www.google.com/maps/search/?api=1&amp;query=-30.90102710746960,-55.55188791790980</v>
      </c>
      <c r="G3083" s="33" t="str">
        <f t="array" ref="G3083">"https://earth.google.com/web/search/" &amp; A3083 &amp; "," &amp; B3083</f>
        <v>https://earth.google.com/web/search/-30.90102710746960,-55.55188791790980</v>
      </c>
      <c r="H3083" s="12"/>
      <c r="I3083" s="12"/>
      <c r="J3083" s="12"/>
      <c r="K3083" s="12"/>
      <c r="L3083" s="12"/>
      <c r="M3083" s="12"/>
      <c r="N3083" s="12"/>
      <c r="O3083" s="12"/>
      <c r="P3083" s="12"/>
      <c r="Q3083" s="12"/>
      <c r="R3083" s="12"/>
      <c r="S3083" s="12"/>
      <c r="T3083" s="12"/>
      <c r="U3083" s="12"/>
      <c r="V3083" s="12"/>
      <c r="W3083" s="12"/>
      <c r="X3083" s="12"/>
      <c r="Y3083" s="12"/>
      <c r="Z3083" s="12"/>
      <c r="AA3083" s="12"/>
    </row>
    <row r="3084" ht="26.25" customHeight="1">
      <c r="A3084" s="34" t="s">
        <v>6178</v>
      </c>
      <c r="B3084" s="35" t="s">
        <v>6179</v>
      </c>
      <c r="C3084" s="36">
        <v>3.0</v>
      </c>
      <c r="D3084" s="37">
        <v>347.0</v>
      </c>
      <c r="E3084" s="37">
        <v>1.0</v>
      </c>
      <c r="F3084" s="24" t="str">
        <f t="array" ref="F3084">"https://www.google.com/maps/search/?api=1&amp;query=" &amp; A3084 &amp; "," &amp; B3084</f>
        <v>https://www.google.com/maps/search/?api=1&amp;query=-30.90075184524190,-55.55264164296120</v>
      </c>
      <c r="G3084" s="25" t="str">
        <f t="array" ref="G3084">"https://earth.google.com/web/search/" &amp; A3084 &amp; "," &amp; B3084</f>
        <v>https://earth.google.com/web/search/-30.90075184524190,-55.55264164296120</v>
      </c>
      <c r="H3084" s="12"/>
      <c r="I3084" s="12"/>
      <c r="J3084" s="12"/>
      <c r="K3084" s="12"/>
      <c r="L3084" s="12"/>
      <c r="M3084" s="12"/>
      <c r="N3084" s="12"/>
      <c r="O3084" s="12"/>
      <c r="P3084" s="12"/>
      <c r="Q3084" s="12"/>
      <c r="R3084" s="12"/>
      <c r="S3084" s="12"/>
      <c r="T3084" s="12"/>
      <c r="U3084" s="12"/>
      <c r="V3084" s="12"/>
      <c r="W3084" s="12"/>
      <c r="X3084" s="12"/>
      <c r="Y3084" s="12"/>
      <c r="Z3084" s="12"/>
      <c r="AA3084" s="12"/>
    </row>
    <row r="3085" ht="26.25" customHeight="1">
      <c r="A3085" s="28" t="s">
        <v>6180</v>
      </c>
      <c r="B3085" s="29" t="s">
        <v>6181</v>
      </c>
      <c r="C3085" s="30">
        <v>3.0</v>
      </c>
      <c r="D3085" s="31">
        <v>347.0</v>
      </c>
      <c r="E3085" s="31">
        <v>2.0</v>
      </c>
      <c r="F3085" s="32" t="str">
        <f t="array" ref="F3085">"https://www.google.com/maps/search/?api=1&amp;query=" &amp; A3085 &amp; "," &amp; B3085</f>
        <v>https://www.google.com/maps/search/?api=1&amp;query=-30.90088647087030,-55.55221299344320</v>
      </c>
      <c r="G3085" s="33" t="str">
        <f t="array" ref="G3085">"https://earth.google.com/web/search/" &amp; A3085 &amp; "," &amp; B3085</f>
        <v>https://earth.google.com/web/search/-30.90088647087030,-55.55221299344320</v>
      </c>
      <c r="H3085" s="12"/>
      <c r="I3085" s="12"/>
      <c r="J3085" s="12"/>
      <c r="K3085" s="12"/>
      <c r="L3085" s="12"/>
      <c r="M3085" s="12"/>
      <c r="N3085" s="12"/>
      <c r="O3085" s="12"/>
      <c r="P3085" s="12"/>
      <c r="Q3085" s="12"/>
      <c r="R3085" s="12"/>
      <c r="S3085" s="12"/>
      <c r="T3085" s="12"/>
      <c r="U3085" s="12"/>
      <c r="V3085" s="12"/>
      <c r="W3085" s="12"/>
      <c r="X3085" s="12"/>
      <c r="Y3085" s="12"/>
      <c r="Z3085" s="12"/>
      <c r="AA3085" s="12"/>
    </row>
    <row r="3086" ht="26.25" customHeight="1">
      <c r="A3086" s="34" t="s">
        <v>6182</v>
      </c>
      <c r="B3086" s="35" t="s">
        <v>6183</v>
      </c>
      <c r="C3086" s="36">
        <v>3.0</v>
      </c>
      <c r="D3086" s="37">
        <v>347.0</v>
      </c>
      <c r="E3086" s="37">
        <v>3.0</v>
      </c>
      <c r="F3086" s="24" t="str">
        <f t="array" ref="F3086">"https://www.google.com/maps/search/?api=1&amp;query=" &amp; A3086 &amp; "," &amp; B3086</f>
        <v>https://www.google.com/maps/search/?api=1&amp;query=-30.90094246100260,-55.55211335674840</v>
      </c>
      <c r="G3086" s="25" t="str">
        <f t="array" ref="G3086">"https://earth.google.com/web/search/" &amp; A3086 &amp; "," &amp; B3086</f>
        <v>https://earth.google.com/web/search/-30.90094246100260,-55.55211335674840</v>
      </c>
      <c r="H3086" s="12"/>
      <c r="I3086" s="12"/>
      <c r="J3086" s="12"/>
      <c r="K3086" s="12"/>
      <c r="L3086" s="12"/>
      <c r="M3086" s="12"/>
      <c r="N3086" s="12"/>
      <c r="O3086" s="12"/>
      <c r="P3086" s="12"/>
      <c r="Q3086" s="12"/>
      <c r="R3086" s="12"/>
      <c r="S3086" s="12"/>
      <c r="T3086" s="12"/>
      <c r="U3086" s="12"/>
      <c r="V3086" s="12"/>
      <c r="W3086" s="12"/>
      <c r="X3086" s="12"/>
      <c r="Y3086" s="12"/>
      <c r="Z3086" s="12"/>
      <c r="AA3086" s="12"/>
    </row>
    <row r="3087" ht="26.25" customHeight="1">
      <c r="A3087" s="28" t="s">
        <v>6184</v>
      </c>
      <c r="B3087" s="29" t="s">
        <v>6185</v>
      </c>
      <c r="C3087" s="30">
        <v>3.0</v>
      </c>
      <c r="D3087" s="31">
        <v>347.0</v>
      </c>
      <c r="E3087" s="31">
        <v>4.0</v>
      </c>
      <c r="F3087" s="32" t="str">
        <f t="array" ref="F3087">"https://www.google.com/maps/search/?api=1&amp;query=" &amp; A3087 &amp; "," &amp; B3087</f>
        <v>https://www.google.com/maps/search/?api=1&amp;query=-30.90086194649450,-55.55191449559960</v>
      </c>
      <c r="G3087" s="33" t="str">
        <f t="array" ref="G3087">"https://earth.google.com/web/search/" &amp; A3087 &amp; "," &amp; B3087</f>
        <v>https://earth.google.com/web/search/-30.90086194649450,-55.55191449559960</v>
      </c>
      <c r="H3087" s="12"/>
      <c r="I3087" s="12"/>
      <c r="J3087" s="12"/>
      <c r="K3087" s="12"/>
      <c r="L3087" s="12"/>
      <c r="M3087" s="12"/>
      <c r="N3087" s="12"/>
      <c r="O3087" s="12"/>
      <c r="P3087" s="12"/>
      <c r="Q3087" s="12"/>
      <c r="R3087" s="12"/>
      <c r="S3087" s="12"/>
      <c r="T3087" s="12"/>
      <c r="U3087" s="12"/>
      <c r="V3087" s="12"/>
      <c r="W3087" s="12"/>
      <c r="X3087" s="12"/>
      <c r="Y3087" s="12"/>
      <c r="Z3087" s="12"/>
      <c r="AA3087" s="12"/>
    </row>
    <row r="3088" ht="26.25" customHeight="1">
      <c r="A3088" s="34" t="s">
        <v>6186</v>
      </c>
      <c r="B3088" s="35" t="s">
        <v>6187</v>
      </c>
      <c r="C3088" s="36">
        <v>3.0</v>
      </c>
      <c r="D3088" s="37">
        <v>347.0</v>
      </c>
      <c r="E3088" s="37">
        <v>5.0</v>
      </c>
      <c r="F3088" s="24" t="str">
        <f t="array" ref="F3088">"https://www.google.com/maps/search/?api=1&amp;query=" &amp; A3088 &amp; "," &amp; B3088</f>
        <v>https://www.google.com/maps/search/?api=1&amp;query=-30.90060291925830,-55.55173855257070</v>
      </c>
      <c r="G3088" s="25" t="str">
        <f t="array" ref="G3088">"https://earth.google.com/web/search/" &amp; A3088 &amp; "," &amp; B3088</f>
        <v>https://earth.google.com/web/search/-30.90060291925830,-55.55173855257070</v>
      </c>
      <c r="H3088" s="12"/>
      <c r="I3088" s="12"/>
      <c r="J3088" s="12"/>
      <c r="K3088" s="12"/>
      <c r="L3088" s="12"/>
      <c r="M3088" s="12"/>
      <c r="N3088" s="12"/>
      <c r="O3088" s="12"/>
      <c r="P3088" s="12"/>
      <c r="Q3088" s="12"/>
      <c r="R3088" s="12"/>
      <c r="S3088" s="12"/>
      <c r="T3088" s="12"/>
      <c r="U3088" s="12"/>
      <c r="V3088" s="12"/>
      <c r="W3088" s="12"/>
      <c r="X3088" s="12"/>
      <c r="Y3088" s="12"/>
      <c r="Z3088" s="12"/>
      <c r="AA3088" s="12"/>
    </row>
    <row r="3089" ht="26.25" customHeight="1">
      <c r="A3089" s="28" t="s">
        <v>6188</v>
      </c>
      <c r="B3089" s="29" t="s">
        <v>6189</v>
      </c>
      <c r="C3089" s="30">
        <v>3.0</v>
      </c>
      <c r="D3089" s="31">
        <v>347.0</v>
      </c>
      <c r="E3089" s="31">
        <v>6.0</v>
      </c>
      <c r="F3089" s="32" t="str">
        <f t="array" ref="F3089">"https://www.google.com/maps/search/?api=1&amp;query=" &amp; A3089 &amp; "," &amp; B3089</f>
        <v>https://www.google.com/maps/search/?api=1&amp;query=-30.90047134488900,-55.55274292838350</v>
      </c>
      <c r="G3089" s="33" t="str">
        <f t="array" ref="G3089">"https://earth.google.com/web/search/" &amp; A3089 &amp; "," &amp; B3089</f>
        <v>https://earth.google.com/web/search/-30.90047134488900,-55.55274292838350</v>
      </c>
      <c r="H3089" s="12"/>
      <c r="I3089" s="12"/>
      <c r="J3089" s="12"/>
      <c r="K3089" s="12"/>
      <c r="L3089" s="12"/>
      <c r="M3089" s="12"/>
      <c r="N3089" s="12"/>
      <c r="O3089" s="12"/>
      <c r="P3089" s="12"/>
      <c r="Q3089" s="12"/>
      <c r="R3089" s="12"/>
      <c r="S3089" s="12"/>
      <c r="T3089" s="12"/>
      <c r="U3089" s="12"/>
      <c r="V3089" s="12"/>
      <c r="W3089" s="12"/>
      <c r="X3089" s="12"/>
      <c r="Y3089" s="12"/>
      <c r="Z3089" s="12"/>
      <c r="AA3089" s="12"/>
    </row>
    <row r="3090" ht="26.25" customHeight="1">
      <c r="A3090" s="34" t="s">
        <v>6190</v>
      </c>
      <c r="B3090" s="35" t="s">
        <v>6191</v>
      </c>
      <c r="C3090" s="36">
        <v>3.0</v>
      </c>
      <c r="D3090" s="37">
        <v>348.0</v>
      </c>
      <c r="E3090" s="37">
        <v>1.0</v>
      </c>
      <c r="F3090" s="24" t="str">
        <f t="array" ref="F3090">"https://www.google.com/maps/search/?api=1&amp;query=" &amp; A3090 &amp; "," &amp; B3090</f>
        <v>https://www.google.com/maps/search/?api=1&amp;query=-30.90011393114010,-55.55266202812640</v>
      </c>
      <c r="G3090" s="25" t="str">
        <f t="array" ref="G3090">"https://earth.google.com/web/search/" &amp; A3090 &amp; "," &amp; B3090</f>
        <v>https://earth.google.com/web/search/-30.90011393114010,-55.55266202812640</v>
      </c>
      <c r="H3090" s="12"/>
      <c r="I3090" s="12"/>
      <c r="J3090" s="12"/>
      <c r="K3090" s="12"/>
      <c r="L3090" s="12"/>
      <c r="M3090" s="12"/>
      <c r="N3090" s="12"/>
      <c r="O3090" s="12"/>
      <c r="P3090" s="12"/>
      <c r="Q3090" s="12"/>
      <c r="R3090" s="12"/>
      <c r="S3090" s="12"/>
      <c r="T3090" s="12"/>
      <c r="U3090" s="12"/>
      <c r="V3090" s="12"/>
      <c r="W3090" s="12"/>
      <c r="X3090" s="12"/>
      <c r="Y3090" s="12"/>
      <c r="Z3090" s="12"/>
      <c r="AA3090" s="12"/>
    </row>
    <row r="3091" ht="26.25" customHeight="1">
      <c r="A3091" s="28" t="s">
        <v>6192</v>
      </c>
      <c r="B3091" s="29" t="s">
        <v>6193</v>
      </c>
      <c r="C3091" s="30">
        <v>3.0</v>
      </c>
      <c r="D3091" s="31">
        <v>348.0</v>
      </c>
      <c r="E3091" s="31">
        <v>2.0</v>
      </c>
      <c r="F3091" s="32" t="str">
        <f t="array" ref="F3091">"https://www.google.com/maps/search/?api=1&amp;query=" &amp; A3091 &amp; "," &amp; B3091</f>
        <v>https://www.google.com/maps/search/?api=1&amp;query=-30.89944098507050,-55.55308636386490</v>
      </c>
      <c r="G3091" s="33" t="str">
        <f t="array" ref="G3091">"https://earth.google.com/web/search/" &amp; A3091 &amp; "," &amp; B3091</f>
        <v>https://earth.google.com/web/search/-30.89944098507050,-55.55308636386490</v>
      </c>
      <c r="H3091" s="12"/>
      <c r="I3091" s="12"/>
      <c r="J3091" s="12"/>
      <c r="K3091" s="12"/>
      <c r="L3091" s="12"/>
      <c r="M3091" s="12"/>
      <c r="N3091" s="12"/>
      <c r="O3091" s="12"/>
      <c r="P3091" s="12"/>
      <c r="Q3091" s="12"/>
      <c r="R3091" s="12"/>
      <c r="S3091" s="12"/>
      <c r="T3091" s="12"/>
      <c r="U3091" s="12"/>
      <c r="V3091" s="12"/>
      <c r="W3091" s="12"/>
      <c r="X3091" s="12"/>
      <c r="Y3091" s="12"/>
      <c r="Z3091" s="12"/>
      <c r="AA3091" s="12"/>
    </row>
    <row r="3092" ht="26.25" customHeight="1">
      <c r="A3092" s="34" t="s">
        <v>6194</v>
      </c>
      <c r="B3092" s="35" t="s">
        <v>6195</v>
      </c>
      <c r="C3092" s="36">
        <v>3.0</v>
      </c>
      <c r="D3092" s="37">
        <v>348.0</v>
      </c>
      <c r="E3092" s="37">
        <v>3.0</v>
      </c>
      <c r="F3092" s="24" t="str">
        <f t="array" ref="F3092">"https://www.google.com/maps/search/?api=1&amp;query=" &amp; A3092 &amp; "," &amp; B3092</f>
        <v>https://www.google.com/maps/search/?api=1&amp;query=-30.89941180721150,-55.55314963457350</v>
      </c>
      <c r="G3092" s="25" t="str">
        <f t="array" ref="G3092">"https://earth.google.com/web/search/" &amp; A3092 &amp; "," &amp; B3092</f>
        <v>https://earth.google.com/web/search/-30.89941180721150,-55.55314963457350</v>
      </c>
      <c r="H3092" s="12"/>
      <c r="I3092" s="12"/>
      <c r="J3092" s="12"/>
      <c r="K3092" s="12"/>
      <c r="L3092" s="12"/>
      <c r="M3092" s="12"/>
      <c r="N3092" s="12"/>
      <c r="O3092" s="12"/>
      <c r="P3092" s="12"/>
      <c r="Q3092" s="12"/>
      <c r="R3092" s="12"/>
      <c r="S3092" s="12"/>
      <c r="T3092" s="12"/>
      <c r="U3092" s="12"/>
      <c r="V3092" s="12"/>
      <c r="W3092" s="12"/>
      <c r="X3092" s="12"/>
      <c r="Y3092" s="12"/>
      <c r="Z3092" s="12"/>
      <c r="AA3092" s="12"/>
    </row>
    <row r="3093" ht="26.25" customHeight="1">
      <c r="A3093" s="28" t="s">
        <v>6196</v>
      </c>
      <c r="B3093" s="29" t="s">
        <v>6197</v>
      </c>
      <c r="C3093" s="30">
        <v>3.0</v>
      </c>
      <c r="D3093" s="31">
        <v>348.0</v>
      </c>
      <c r="E3093" s="31">
        <v>4.0</v>
      </c>
      <c r="F3093" s="32" t="str">
        <f t="array" ref="F3093">"https://www.google.com/maps/search/?api=1&amp;query=" &amp; A3093 &amp; "," &amp; B3093</f>
        <v>https://www.google.com/maps/search/?api=1&amp;query=-30.89940514385890,-5.55532712072592</v>
      </c>
      <c r="G3093" s="33" t="str">
        <f t="array" ref="G3093">"https://earth.google.com/web/search/" &amp; A3093 &amp; "," &amp; B3093</f>
        <v>https://earth.google.com/web/search/-30.89940514385890,-5.55532712072592</v>
      </c>
      <c r="H3093" s="12"/>
      <c r="I3093" s="12"/>
      <c r="J3093" s="12"/>
      <c r="K3093" s="12"/>
      <c r="L3093" s="12"/>
      <c r="M3093" s="12"/>
      <c r="N3093" s="12"/>
      <c r="O3093" s="12"/>
      <c r="P3093" s="12"/>
      <c r="Q3093" s="12"/>
      <c r="R3093" s="12"/>
      <c r="S3093" s="12"/>
      <c r="T3093" s="12"/>
      <c r="U3093" s="12"/>
      <c r="V3093" s="12"/>
      <c r="W3093" s="12"/>
      <c r="X3093" s="12"/>
      <c r="Y3093" s="12"/>
      <c r="Z3093" s="12"/>
      <c r="AA3093" s="12"/>
    </row>
    <row r="3094" ht="26.25" customHeight="1">
      <c r="A3094" s="34" t="s">
        <v>6198</v>
      </c>
      <c r="B3094" s="35" t="s">
        <v>6199</v>
      </c>
      <c r="C3094" s="36">
        <v>3.0</v>
      </c>
      <c r="D3094" s="37">
        <v>348.0</v>
      </c>
      <c r="E3094" s="37">
        <v>5.0</v>
      </c>
      <c r="F3094" s="24" t="str">
        <f t="array" ref="F3094">"https://www.google.com/maps/search/?api=1&amp;query=" &amp; A3094 &amp; "," &amp; B3094</f>
        <v>https://www.google.com/maps/search/?api=1&amp;query=-30.89967004553970,-55.55343792196400</v>
      </c>
      <c r="G3094" s="25" t="str">
        <f t="array" ref="G3094">"https://earth.google.com/web/search/" &amp; A3094 &amp; "," &amp; B3094</f>
        <v>https://earth.google.com/web/search/-30.89967004553970,-55.55343792196400</v>
      </c>
      <c r="H3094" s="12"/>
      <c r="I3094" s="12"/>
      <c r="J3094" s="12"/>
      <c r="K3094" s="12"/>
      <c r="L3094" s="12"/>
      <c r="M3094" s="12"/>
      <c r="N3094" s="12"/>
      <c r="O3094" s="12"/>
      <c r="P3094" s="12"/>
      <c r="Q3094" s="12"/>
      <c r="R3094" s="12"/>
      <c r="S3094" s="12"/>
      <c r="T3094" s="12"/>
      <c r="U3094" s="12"/>
      <c r="V3094" s="12"/>
      <c r="W3094" s="12"/>
      <c r="X3094" s="12"/>
      <c r="Y3094" s="12"/>
      <c r="Z3094" s="12"/>
      <c r="AA3094" s="12"/>
    </row>
    <row r="3095" ht="26.25" customHeight="1">
      <c r="A3095" s="28" t="s">
        <v>6200</v>
      </c>
      <c r="B3095" s="29" t="s">
        <v>6201</v>
      </c>
      <c r="C3095" s="30">
        <v>3.0</v>
      </c>
      <c r="D3095" s="31">
        <v>348.0</v>
      </c>
      <c r="E3095" s="31">
        <v>6.0</v>
      </c>
      <c r="F3095" s="32" t="str">
        <f t="array" ref="F3095">"https://www.google.com/maps/search/?api=1&amp;query=" &amp; A3095 &amp; "," &amp; B3095</f>
        <v>https://www.google.com/maps/search/?api=1&amp;query=-30.89983401611100,-55.55358007884000</v>
      </c>
      <c r="G3095" s="33" t="str">
        <f t="array" ref="G3095">"https://earth.google.com/web/search/" &amp; A3095 &amp; "," &amp; B3095</f>
        <v>https://earth.google.com/web/search/-30.89983401611100,-55.55358007884000</v>
      </c>
      <c r="H3095" s="12"/>
      <c r="I3095" s="12"/>
      <c r="J3095" s="12"/>
      <c r="K3095" s="12"/>
      <c r="L3095" s="12"/>
      <c r="M3095" s="12"/>
      <c r="N3095" s="12"/>
      <c r="O3095" s="12"/>
      <c r="P3095" s="12"/>
      <c r="Q3095" s="12"/>
      <c r="R3095" s="12"/>
      <c r="S3095" s="12"/>
      <c r="T3095" s="12"/>
      <c r="U3095" s="12"/>
      <c r="V3095" s="12"/>
      <c r="W3095" s="12"/>
      <c r="X3095" s="12"/>
      <c r="Y3095" s="12"/>
      <c r="Z3095" s="12"/>
      <c r="AA3095" s="12"/>
    </row>
    <row r="3096" ht="26.25" customHeight="1">
      <c r="A3096" s="34" t="s">
        <v>6202</v>
      </c>
      <c r="B3096" s="35" t="s">
        <v>6203</v>
      </c>
      <c r="C3096" s="36">
        <v>3.0</v>
      </c>
      <c r="D3096" s="37">
        <v>348.0</v>
      </c>
      <c r="E3096" s="37">
        <v>7.0</v>
      </c>
      <c r="F3096" s="24" t="str">
        <f t="array" ref="F3096">"https://www.google.com/maps/search/?api=1&amp;query=" &amp; A3096 &amp; "," &amp; B3096</f>
        <v>https://www.google.com/maps/search/?api=1&amp;query=-30.89998957569180,-55.55369213433070</v>
      </c>
      <c r="G3096" s="25" t="str">
        <f t="array" ref="G3096">"https://earth.google.com/web/search/" &amp; A3096 &amp; "," &amp; B3096</f>
        <v>https://earth.google.com/web/search/-30.89998957569180,-55.55369213433070</v>
      </c>
      <c r="H3096" s="12"/>
      <c r="I3096" s="12"/>
      <c r="J3096" s="12"/>
      <c r="K3096" s="12"/>
      <c r="L3096" s="12"/>
      <c r="M3096" s="12"/>
      <c r="N3096" s="12"/>
      <c r="O3096" s="12"/>
      <c r="P3096" s="12"/>
      <c r="Q3096" s="12"/>
      <c r="R3096" s="12"/>
      <c r="S3096" s="12"/>
      <c r="T3096" s="12"/>
      <c r="U3096" s="12"/>
      <c r="V3096" s="12"/>
      <c r="W3096" s="12"/>
      <c r="X3096" s="12"/>
      <c r="Y3096" s="12"/>
      <c r="Z3096" s="12"/>
      <c r="AA3096" s="12"/>
    </row>
    <row r="3097" ht="26.25" customHeight="1">
      <c r="A3097" s="28" t="s">
        <v>6204</v>
      </c>
      <c r="B3097" s="29" t="s">
        <v>6205</v>
      </c>
      <c r="C3097" s="30">
        <v>3.0</v>
      </c>
      <c r="D3097" s="31">
        <v>348.0</v>
      </c>
      <c r="E3097" s="31">
        <v>8.0</v>
      </c>
      <c r="F3097" s="32" t="str">
        <f t="array" ref="F3097">"https://www.google.com/maps/search/?api=1&amp;query=" &amp; A3097 &amp; "," &amp; B3097</f>
        <v>https://www.google.com/maps/search/?api=1&amp;query=-30.90003898401260,-55.55372290737550</v>
      </c>
      <c r="G3097" s="33" t="str">
        <f t="array" ref="G3097">"https://earth.google.com/web/search/" &amp; A3097 &amp; "," &amp; B3097</f>
        <v>https://earth.google.com/web/search/-30.90003898401260,-55.55372290737550</v>
      </c>
      <c r="H3097" s="12"/>
      <c r="I3097" s="12"/>
      <c r="J3097" s="12"/>
      <c r="K3097" s="12"/>
      <c r="L3097" s="12"/>
      <c r="M3097" s="12"/>
      <c r="N3097" s="12"/>
      <c r="O3097" s="12"/>
      <c r="P3097" s="12"/>
      <c r="Q3097" s="12"/>
      <c r="R3097" s="12"/>
      <c r="S3097" s="12"/>
      <c r="T3097" s="12"/>
      <c r="U3097" s="12"/>
      <c r="V3097" s="12"/>
      <c r="W3097" s="12"/>
      <c r="X3097" s="12"/>
      <c r="Y3097" s="12"/>
      <c r="Z3097" s="12"/>
      <c r="AA3097" s="12"/>
    </row>
    <row r="3098" ht="26.25" customHeight="1">
      <c r="A3098" s="34" t="s">
        <v>6206</v>
      </c>
      <c r="B3098" s="35" t="s">
        <v>6207</v>
      </c>
      <c r="C3098" s="36">
        <v>3.0</v>
      </c>
      <c r="D3098" s="37">
        <v>348.0</v>
      </c>
      <c r="E3098" s="37">
        <v>9.0</v>
      </c>
      <c r="F3098" s="24" t="str">
        <f t="array" ref="F3098">"https://www.google.com/maps/search/?api=1&amp;query=" &amp; A3098 &amp; "," &amp; B3098</f>
        <v>https://www.google.com/maps/search/?api=1&amp;query=-30.90033949761340,-55.55321404294710</v>
      </c>
      <c r="G3098" s="25" t="str">
        <f t="array" ref="G3098">"https://earth.google.com/web/search/" &amp; A3098 &amp; "," &amp; B3098</f>
        <v>https://earth.google.com/web/search/-30.90033949761340,-55.55321404294710</v>
      </c>
      <c r="H3098" s="12"/>
      <c r="I3098" s="12"/>
      <c r="J3098" s="12"/>
      <c r="K3098" s="12"/>
      <c r="L3098" s="12"/>
      <c r="M3098" s="12"/>
      <c r="N3098" s="12"/>
      <c r="O3098" s="12"/>
      <c r="P3098" s="12"/>
      <c r="Q3098" s="12"/>
      <c r="R3098" s="12"/>
      <c r="S3098" s="12"/>
      <c r="T3098" s="12"/>
      <c r="U3098" s="12"/>
      <c r="V3098" s="12"/>
      <c r="W3098" s="12"/>
      <c r="X3098" s="12"/>
      <c r="Y3098" s="12"/>
      <c r="Z3098" s="12"/>
      <c r="AA3098" s="12"/>
    </row>
    <row r="3099" ht="26.25" customHeight="1">
      <c r="A3099" s="28" t="s">
        <v>6208</v>
      </c>
      <c r="B3099" s="29" t="s">
        <v>6209</v>
      </c>
      <c r="C3099" s="30">
        <v>3.0</v>
      </c>
      <c r="D3099" s="31">
        <v>348.0</v>
      </c>
      <c r="E3099" s="31">
        <v>10.0</v>
      </c>
      <c r="F3099" s="32" t="str">
        <f t="array" ref="F3099">"https://www.google.com/maps/search/?api=1&amp;query=" &amp; A3099 &amp; "," &amp; B3099</f>
        <v>https://www.google.com/maps/search/?api=1&amp;query=-30.90036875415520,-55.55316265225020</v>
      </c>
      <c r="G3099" s="33" t="str">
        <f t="array" ref="G3099">"https://earth.google.com/web/search/" &amp; A3099 &amp; "," &amp; B3099</f>
        <v>https://earth.google.com/web/search/-30.90036875415520,-55.55316265225020</v>
      </c>
      <c r="H3099" s="12"/>
      <c r="I3099" s="12"/>
      <c r="J3099" s="12"/>
      <c r="K3099" s="12"/>
      <c r="L3099" s="12"/>
      <c r="M3099" s="12"/>
      <c r="N3099" s="12"/>
      <c r="O3099" s="12"/>
      <c r="P3099" s="12"/>
      <c r="Q3099" s="12"/>
      <c r="R3099" s="12"/>
      <c r="S3099" s="12"/>
      <c r="T3099" s="12"/>
      <c r="U3099" s="12"/>
      <c r="V3099" s="12"/>
      <c r="W3099" s="12"/>
      <c r="X3099" s="12"/>
      <c r="Y3099" s="12"/>
      <c r="Z3099" s="12"/>
      <c r="AA3099" s="12"/>
    </row>
    <row r="3100" ht="26.25" customHeight="1">
      <c r="A3100" s="34" t="s">
        <v>6210</v>
      </c>
      <c r="B3100" s="35" t="s">
        <v>6211</v>
      </c>
      <c r="C3100" s="36">
        <v>3.0</v>
      </c>
      <c r="D3100" s="37">
        <v>364.0</v>
      </c>
      <c r="E3100" s="37">
        <v>1.0</v>
      </c>
      <c r="F3100" s="24" t="str">
        <f t="array" ref="F3100">"https://www.google.com/maps/search/?api=1&amp;query=" &amp; A3100 &amp; "," &amp; B3100</f>
        <v>https://www.google.com/maps/search/?api=1&amp;query=-30.90143642338610,-55.55323320078700</v>
      </c>
      <c r="G3100" s="25" t="str">
        <f t="array" ref="G3100">"https://earth.google.com/web/search/" &amp; A3100 &amp; "," &amp; B3100</f>
        <v>https://earth.google.com/web/search/-30.90143642338610,-55.55323320078700</v>
      </c>
      <c r="H3100" s="12"/>
      <c r="I3100" s="12"/>
      <c r="J3100" s="12"/>
      <c r="K3100" s="12"/>
      <c r="L3100" s="12"/>
      <c r="M3100" s="12"/>
      <c r="N3100" s="12"/>
      <c r="O3100" s="12"/>
      <c r="P3100" s="12"/>
      <c r="Q3100" s="12"/>
      <c r="R3100" s="12"/>
      <c r="S3100" s="12"/>
      <c r="T3100" s="12"/>
      <c r="U3100" s="12"/>
      <c r="V3100" s="12"/>
      <c r="W3100" s="12"/>
      <c r="X3100" s="12"/>
      <c r="Y3100" s="12"/>
      <c r="Z3100" s="12"/>
      <c r="AA3100" s="12"/>
    </row>
    <row r="3101" ht="26.25" customHeight="1">
      <c r="A3101" s="28" t="s">
        <v>6212</v>
      </c>
      <c r="B3101" s="29" t="s">
        <v>6213</v>
      </c>
      <c r="C3101" s="30">
        <v>3.0</v>
      </c>
      <c r="D3101" s="31">
        <v>364.0</v>
      </c>
      <c r="E3101" s="31">
        <v>2.0</v>
      </c>
      <c r="F3101" s="32" t="str">
        <f t="array" ref="F3101">"https://www.google.com/maps/search/?api=1&amp;query=" &amp; A3101 &amp; "," &amp; B3101</f>
        <v>https://www.google.com/maps/search/?api=1&amp;query=-30.90151924341140,-55.55301567648640</v>
      </c>
      <c r="G3101" s="33" t="str">
        <f t="array" ref="G3101">"https://earth.google.com/web/search/" &amp; A3101 &amp; "," &amp; B3101</f>
        <v>https://earth.google.com/web/search/-30.90151924341140,-55.55301567648640</v>
      </c>
      <c r="H3101" s="12"/>
      <c r="I3101" s="12"/>
      <c r="J3101" s="12"/>
      <c r="K3101" s="12"/>
      <c r="L3101" s="12"/>
      <c r="M3101" s="12"/>
      <c r="N3101" s="12"/>
      <c r="O3101" s="12"/>
      <c r="P3101" s="12"/>
      <c r="Q3101" s="12"/>
      <c r="R3101" s="12"/>
      <c r="S3101" s="12"/>
      <c r="T3101" s="12"/>
      <c r="U3101" s="12"/>
      <c r="V3101" s="12"/>
      <c r="W3101" s="12"/>
      <c r="X3101" s="12"/>
      <c r="Y3101" s="12"/>
      <c r="Z3101" s="12"/>
      <c r="AA3101" s="12"/>
    </row>
    <row r="3102" ht="26.25" customHeight="1">
      <c r="A3102" s="34" t="s">
        <v>6214</v>
      </c>
      <c r="B3102" s="35" t="s">
        <v>6215</v>
      </c>
      <c r="C3102" s="36">
        <v>3.0</v>
      </c>
      <c r="D3102" s="37">
        <v>364.0</v>
      </c>
      <c r="E3102" s="37">
        <v>3.0</v>
      </c>
      <c r="F3102" s="24" t="str">
        <f t="array" ref="F3102">"https://www.google.com/maps/search/?api=1&amp;query=" &amp; A3102 &amp; "," &amp; B3102</f>
        <v>https://www.google.com/maps/search/?api=1&amp;query=-30.90169346375740,-55.55251851697940</v>
      </c>
      <c r="G3102" s="25" t="str">
        <f t="array" ref="G3102">"https://earth.google.com/web/search/" &amp; A3102 &amp; "," &amp; B3102</f>
        <v>https://earth.google.com/web/search/-30.90169346375740,-55.55251851697940</v>
      </c>
      <c r="H3102" s="12"/>
      <c r="I3102" s="12"/>
      <c r="J3102" s="12"/>
      <c r="K3102" s="12"/>
      <c r="L3102" s="12"/>
      <c r="M3102" s="12"/>
      <c r="N3102" s="12"/>
      <c r="O3102" s="12"/>
      <c r="P3102" s="12"/>
      <c r="Q3102" s="12"/>
      <c r="R3102" s="12"/>
      <c r="S3102" s="12"/>
      <c r="T3102" s="12"/>
      <c r="U3102" s="12"/>
      <c r="V3102" s="12"/>
      <c r="W3102" s="12"/>
      <c r="X3102" s="12"/>
      <c r="Y3102" s="12"/>
      <c r="Z3102" s="12"/>
      <c r="AA3102" s="12"/>
    </row>
    <row r="3103" ht="26.25" customHeight="1">
      <c r="A3103" s="28" t="s">
        <v>6216</v>
      </c>
      <c r="B3103" s="29" t="s">
        <v>6217</v>
      </c>
      <c r="C3103" s="30">
        <v>3.0</v>
      </c>
      <c r="D3103" s="31">
        <v>364.0</v>
      </c>
      <c r="E3103" s="31">
        <v>4.0</v>
      </c>
      <c r="F3103" s="32" t="str">
        <f t="array" ref="F3103">"https://www.google.com/maps/search/?api=1&amp;query=" &amp; A3103 &amp; "," &amp; B3103</f>
        <v>https://www.google.com/maps/search/?api=1&amp;query=-30.90106098306900,-55.55318509965500</v>
      </c>
      <c r="G3103" s="33" t="str">
        <f t="array" ref="G3103">"https://earth.google.com/web/search/" &amp; A3103 &amp; "," &amp; B3103</f>
        <v>https://earth.google.com/web/search/-30.90106098306900,-55.55318509965500</v>
      </c>
      <c r="H3103" s="12"/>
      <c r="I3103" s="12"/>
      <c r="J3103" s="12"/>
      <c r="K3103" s="12"/>
      <c r="L3103" s="12"/>
      <c r="M3103" s="12"/>
      <c r="N3103" s="12"/>
      <c r="O3103" s="12"/>
      <c r="P3103" s="12"/>
      <c r="Q3103" s="12"/>
      <c r="R3103" s="12"/>
      <c r="S3103" s="12"/>
      <c r="T3103" s="12"/>
      <c r="U3103" s="12"/>
      <c r="V3103" s="12"/>
      <c r="W3103" s="12"/>
      <c r="X3103" s="12"/>
      <c r="Y3103" s="12"/>
      <c r="Z3103" s="12"/>
      <c r="AA3103" s="12"/>
    </row>
    <row r="3104" ht="26.25" customHeight="1">
      <c r="A3104" s="34" t="s">
        <v>6218</v>
      </c>
      <c r="B3104" s="35" t="s">
        <v>6219</v>
      </c>
      <c r="C3104" s="36">
        <v>3.0</v>
      </c>
      <c r="D3104" s="37">
        <v>364.0</v>
      </c>
      <c r="E3104" s="37">
        <v>5.0</v>
      </c>
      <c r="F3104" s="24" t="str">
        <f t="array" ref="F3104">"https://www.google.com/maps/search/?api=1&amp;query=" &amp; A3104 &amp; "," &amp; B3104</f>
        <v>https://www.google.com/maps/search/?api=1&amp;query=-30.90119992714600,-55.55327501331200</v>
      </c>
      <c r="G3104" s="25" t="str">
        <f t="array" ref="G3104">"https://earth.google.com/web/search/" &amp; A3104 &amp; "," &amp; B3104</f>
        <v>https://earth.google.com/web/search/-30.90119992714600,-55.55327501331200</v>
      </c>
      <c r="H3104" s="12"/>
      <c r="I3104" s="12"/>
      <c r="J3104" s="12"/>
      <c r="K3104" s="12"/>
      <c r="L3104" s="12"/>
      <c r="M3104" s="12"/>
      <c r="N3104" s="12"/>
      <c r="O3104" s="12"/>
      <c r="P3104" s="12"/>
      <c r="Q3104" s="12"/>
      <c r="R3104" s="12"/>
      <c r="S3104" s="12"/>
      <c r="T3104" s="12"/>
      <c r="U3104" s="12"/>
      <c r="V3104" s="12"/>
      <c r="W3104" s="12"/>
      <c r="X3104" s="12"/>
      <c r="Y3104" s="12"/>
      <c r="Z3104" s="12"/>
      <c r="AA3104" s="12"/>
    </row>
    <row r="3105" ht="26.25" customHeight="1">
      <c r="A3105" s="28" t="s">
        <v>6220</v>
      </c>
      <c r="B3105" s="29" t="s">
        <v>6221</v>
      </c>
      <c r="C3105" s="30">
        <v>3.0</v>
      </c>
      <c r="D3105" s="31">
        <v>364.0</v>
      </c>
      <c r="E3105" s="31">
        <v>6.0</v>
      </c>
      <c r="F3105" s="32" t="str">
        <f t="array" ref="F3105">"https://www.google.com/maps/search/?api=1&amp;query=" &amp; A3105 &amp; "," &amp; B3105</f>
        <v>https://www.google.com/maps/search/?api=1&amp;query=-30.90127959810730,-5.55533160182265</v>
      </c>
      <c r="G3105" s="33" t="str">
        <f t="array" ref="G3105">"https://earth.google.com/web/search/" &amp; A3105 &amp; "," &amp; B3105</f>
        <v>https://earth.google.com/web/search/-30.90127959810730,-5.55533160182265</v>
      </c>
      <c r="H3105" s="12"/>
      <c r="I3105" s="12"/>
      <c r="J3105" s="12"/>
      <c r="K3105" s="12"/>
      <c r="L3105" s="12"/>
      <c r="M3105" s="12"/>
      <c r="N3105" s="12"/>
      <c r="O3105" s="12"/>
      <c r="P3105" s="12"/>
      <c r="Q3105" s="12"/>
      <c r="R3105" s="12"/>
      <c r="S3105" s="12"/>
      <c r="T3105" s="12"/>
      <c r="U3105" s="12"/>
      <c r="V3105" s="12"/>
      <c r="W3105" s="12"/>
      <c r="X3105" s="12"/>
      <c r="Y3105" s="12"/>
      <c r="Z3105" s="12"/>
      <c r="AA3105" s="12"/>
    </row>
    <row r="3106" ht="26.25" customHeight="1">
      <c r="A3106" s="34" t="s">
        <v>6222</v>
      </c>
      <c r="B3106" s="35" t="s">
        <v>6223</v>
      </c>
      <c r="C3106" s="36">
        <v>3.0</v>
      </c>
      <c r="D3106" s="37">
        <v>365.0</v>
      </c>
      <c r="E3106" s="37">
        <v>1.0</v>
      </c>
      <c r="F3106" s="24" t="str">
        <f t="array" ref="F3106">"https://www.google.com/maps/search/?api=1&amp;query=" &amp; A3106 &amp; "," &amp; B3106</f>
        <v>https://www.google.com/maps/search/?api=1&amp;query=-3.09018569012807,-5.55524065739402</v>
      </c>
      <c r="G3106" s="25" t="str">
        <f t="array" ref="G3106">"https://earth.google.com/web/search/" &amp; A3106 &amp; "," &amp; B3106</f>
        <v>https://earth.google.com/web/search/-3.09018569012807,-5.55524065739402</v>
      </c>
      <c r="H3106" s="12"/>
      <c r="I3106" s="12"/>
      <c r="J3106" s="12"/>
      <c r="K3106" s="12"/>
      <c r="L3106" s="12"/>
      <c r="M3106" s="12"/>
      <c r="N3106" s="12"/>
      <c r="O3106" s="12"/>
      <c r="P3106" s="12"/>
      <c r="Q3106" s="12"/>
      <c r="R3106" s="12"/>
      <c r="S3106" s="12"/>
      <c r="T3106" s="12"/>
      <c r="U3106" s="12"/>
      <c r="V3106" s="12"/>
      <c r="W3106" s="12"/>
      <c r="X3106" s="12"/>
      <c r="Y3106" s="12"/>
      <c r="Z3106" s="12"/>
      <c r="AA3106" s="12"/>
    </row>
    <row r="3107" ht="26.25" customHeight="1">
      <c r="A3107" s="28" t="s">
        <v>6224</v>
      </c>
      <c r="B3107" s="29" t="s">
        <v>6225</v>
      </c>
      <c r="C3107" s="30">
        <v>3.0</v>
      </c>
      <c r="D3107" s="31">
        <v>365.0</v>
      </c>
      <c r="E3107" s="31">
        <v>2.0</v>
      </c>
      <c r="F3107" s="32" t="str">
        <f t="array" ref="F3107">"https://www.google.com/maps/search/?api=1&amp;query=" &amp; A3107 &amp; "," &amp; B3107</f>
        <v>https://www.google.com/maps/search/?api=1&amp;query=-30.90199486163390,-55.55214521904170</v>
      </c>
      <c r="G3107" s="33" t="str">
        <f t="array" ref="G3107">"https://earth.google.com/web/search/" &amp; A3107 &amp; "," &amp; B3107</f>
        <v>https://earth.google.com/web/search/-30.90199486163390,-55.55214521904170</v>
      </c>
      <c r="H3107" s="12"/>
      <c r="I3107" s="12"/>
      <c r="J3107" s="12"/>
      <c r="K3107" s="12"/>
      <c r="L3107" s="12"/>
      <c r="M3107" s="12"/>
      <c r="N3107" s="12"/>
      <c r="O3107" s="12"/>
      <c r="P3107" s="12"/>
      <c r="Q3107" s="12"/>
      <c r="R3107" s="12"/>
      <c r="S3107" s="12"/>
      <c r="T3107" s="12"/>
      <c r="U3107" s="12"/>
      <c r="V3107" s="12"/>
      <c r="W3107" s="12"/>
      <c r="X3107" s="12"/>
      <c r="Y3107" s="12"/>
      <c r="Z3107" s="12"/>
      <c r="AA3107" s="12"/>
    </row>
    <row r="3108" ht="26.25" customHeight="1">
      <c r="A3108" s="34" t="s">
        <v>6226</v>
      </c>
      <c r="B3108" s="35" t="s">
        <v>6227</v>
      </c>
      <c r="C3108" s="36">
        <v>3.0</v>
      </c>
      <c r="D3108" s="37">
        <v>365.0</v>
      </c>
      <c r="E3108" s="37">
        <v>3.0</v>
      </c>
      <c r="F3108" s="24" t="str">
        <f t="array" ref="F3108">"https://www.google.com/maps/search/?api=1&amp;query=" &amp; A3108 &amp; "," &amp; B3108</f>
        <v>https://www.google.com/maps/search/?api=1&amp;query=-3.09021213556524,-55.55158576226200</v>
      </c>
      <c r="G3108" s="25" t="str">
        <f t="array" ref="G3108">"https://earth.google.com/web/search/" &amp; A3108 &amp; "," &amp; B3108</f>
        <v>https://earth.google.com/web/search/-3.09021213556524,-55.55158576226200</v>
      </c>
      <c r="H3108" s="12"/>
      <c r="I3108" s="12"/>
      <c r="J3108" s="12"/>
      <c r="K3108" s="12"/>
      <c r="L3108" s="12"/>
      <c r="M3108" s="12"/>
      <c r="N3108" s="12"/>
      <c r="O3108" s="12"/>
      <c r="P3108" s="12"/>
      <c r="Q3108" s="12"/>
      <c r="R3108" s="12"/>
      <c r="S3108" s="12"/>
      <c r="T3108" s="12"/>
      <c r="U3108" s="12"/>
      <c r="V3108" s="12"/>
      <c r="W3108" s="12"/>
      <c r="X3108" s="12"/>
      <c r="Y3108" s="12"/>
      <c r="Z3108" s="12"/>
      <c r="AA3108" s="12"/>
    </row>
    <row r="3109" ht="26.25" customHeight="1">
      <c r="A3109" s="28" t="s">
        <v>6228</v>
      </c>
      <c r="B3109" s="29" t="s">
        <v>6229</v>
      </c>
      <c r="C3109" s="30">
        <v>3.0</v>
      </c>
      <c r="D3109" s="31">
        <v>366.0</v>
      </c>
      <c r="E3109" s="31">
        <v>1.0</v>
      </c>
      <c r="F3109" s="32" t="str">
        <f t="array" ref="F3109">"https://www.google.com/maps/search/?api=1&amp;query=" &amp; A3109 &amp; "," &amp; B3109</f>
        <v>https://www.google.com/maps/search/?api=1&amp;query=-30.90229770920330,-55.55156848766790</v>
      </c>
      <c r="G3109" s="33" t="str">
        <f t="array" ref="G3109">"https://earth.google.com/web/search/" &amp; A3109 &amp; "," &amp; B3109</f>
        <v>https://earth.google.com/web/search/-30.90229770920330,-55.55156848766790</v>
      </c>
      <c r="H3109" s="12"/>
      <c r="I3109" s="12"/>
      <c r="J3109" s="12"/>
      <c r="K3109" s="12"/>
      <c r="L3109" s="12"/>
      <c r="M3109" s="12"/>
      <c r="N3109" s="12"/>
      <c r="O3109" s="12"/>
      <c r="P3109" s="12"/>
      <c r="Q3109" s="12"/>
      <c r="R3109" s="12"/>
      <c r="S3109" s="12"/>
      <c r="T3109" s="12"/>
      <c r="U3109" s="12"/>
      <c r="V3109" s="12"/>
      <c r="W3109" s="12"/>
      <c r="X3109" s="12"/>
      <c r="Y3109" s="12"/>
      <c r="Z3109" s="12"/>
      <c r="AA3109" s="12"/>
    </row>
    <row r="3110" ht="26.25" customHeight="1">
      <c r="A3110" s="34" t="s">
        <v>6230</v>
      </c>
      <c r="B3110" s="35" t="s">
        <v>6231</v>
      </c>
      <c r="C3110" s="36">
        <v>3.0</v>
      </c>
      <c r="D3110" s="37">
        <v>366.0</v>
      </c>
      <c r="E3110" s="37">
        <v>2.0</v>
      </c>
      <c r="F3110" s="24" t="str">
        <f t="array" ref="F3110">"https://www.google.com/maps/search/?api=1&amp;query=" &amp; A3110 &amp; "," &amp; B3110</f>
        <v>https://www.google.com/maps/search/?api=1&amp;query=-30.90237516604060,-55.55146590523220</v>
      </c>
      <c r="G3110" s="25" t="str">
        <f t="array" ref="G3110">"https://earth.google.com/web/search/" &amp; A3110 &amp; "," &amp; B3110</f>
        <v>https://earth.google.com/web/search/-30.90237516604060,-55.55146590523220</v>
      </c>
      <c r="H3110" s="12"/>
      <c r="I3110" s="12"/>
      <c r="J3110" s="12"/>
      <c r="K3110" s="12"/>
      <c r="L3110" s="12"/>
      <c r="M3110" s="12"/>
      <c r="N3110" s="12"/>
      <c r="O3110" s="12"/>
      <c r="P3110" s="12"/>
      <c r="Q3110" s="12"/>
      <c r="R3110" s="12"/>
      <c r="S3110" s="12"/>
      <c r="T3110" s="12"/>
      <c r="U3110" s="12"/>
      <c r="V3110" s="12"/>
      <c r="W3110" s="12"/>
      <c r="X3110" s="12"/>
      <c r="Y3110" s="12"/>
      <c r="Z3110" s="12"/>
      <c r="AA3110" s="12"/>
    </row>
    <row r="3111" ht="26.25" customHeight="1">
      <c r="A3111" s="28" t="s">
        <v>6232</v>
      </c>
      <c r="B3111" s="29" t="s">
        <v>6233</v>
      </c>
      <c r="C3111" s="30">
        <v>3.0</v>
      </c>
      <c r="D3111" s="31">
        <v>366.0</v>
      </c>
      <c r="E3111" s="31">
        <v>3.0</v>
      </c>
      <c r="F3111" s="32" t="str">
        <f t="array" ref="F3111">"https://www.google.com/maps/search/?api=1&amp;query=" &amp; A3111 &amp; "," &amp; B3111</f>
        <v>https://www.google.com/maps/search/?api=1&amp;query=-30.90269647674200,-55.55083296690720</v>
      </c>
      <c r="G3111" s="33" t="str">
        <f t="array" ref="G3111">"https://earth.google.com/web/search/" &amp; A3111 &amp; "," &amp; B3111</f>
        <v>https://earth.google.com/web/search/-30.90269647674200,-55.55083296690720</v>
      </c>
      <c r="H3111" s="12"/>
      <c r="I3111" s="12"/>
      <c r="J3111" s="12"/>
      <c r="K3111" s="12"/>
      <c r="L3111" s="12"/>
      <c r="M3111" s="12"/>
      <c r="N3111" s="12"/>
      <c r="O3111" s="12"/>
      <c r="P3111" s="12"/>
      <c r="Q3111" s="12"/>
      <c r="R3111" s="12"/>
      <c r="S3111" s="12"/>
      <c r="T3111" s="12"/>
      <c r="U3111" s="12"/>
      <c r="V3111" s="12"/>
      <c r="W3111" s="12"/>
      <c r="X3111" s="12"/>
      <c r="Y3111" s="12"/>
      <c r="Z3111" s="12"/>
      <c r="AA3111" s="12"/>
    </row>
    <row r="3112" ht="26.25" customHeight="1">
      <c r="A3112" s="34" t="s">
        <v>6234</v>
      </c>
      <c r="B3112" s="35" t="s">
        <v>6235</v>
      </c>
      <c r="C3112" s="36">
        <v>3.0</v>
      </c>
      <c r="D3112" s="37">
        <v>366.0</v>
      </c>
      <c r="E3112" s="37">
        <v>4.0</v>
      </c>
      <c r="F3112" s="24" t="str">
        <f t="array" ref="F3112">"https://www.google.com/maps/search/?api=1&amp;query=" &amp; A3112 &amp; "," &amp; B3112</f>
        <v>https://www.google.com/maps/search/?api=1&amp;query=-30.90268211339290,-55.55072263097600</v>
      </c>
      <c r="G3112" s="25" t="str">
        <f t="array" ref="G3112">"https://earth.google.com/web/search/" &amp; A3112 &amp; "," &amp; B3112</f>
        <v>https://earth.google.com/web/search/-30.90268211339290,-55.55072263097600</v>
      </c>
      <c r="H3112" s="12"/>
      <c r="I3112" s="12"/>
      <c r="J3112" s="12"/>
      <c r="K3112" s="12"/>
      <c r="L3112" s="12"/>
      <c r="M3112" s="12"/>
      <c r="N3112" s="12"/>
      <c r="O3112" s="12"/>
      <c r="P3112" s="12"/>
      <c r="Q3112" s="12"/>
      <c r="R3112" s="12"/>
      <c r="S3112" s="12"/>
      <c r="T3112" s="12"/>
      <c r="U3112" s="12"/>
      <c r="V3112" s="12"/>
      <c r="W3112" s="12"/>
      <c r="X3112" s="12"/>
      <c r="Y3112" s="12"/>
      <c r="Z3112" s="12"/>
      <c r="AA3112" s="12"/>
    </row>
    <row r="3113" ht="26.25" customHeight="1">
      <c r="A3113" s="28" t="s">
        <v>6236</v>
      </c>
      <c r="B3113" s="29" t="s">
        <v>6237</v>
      </c>
      <c r="C3113" s="30">
        <v>3.0</v>
      </c>
      <c r="D3113" s="31">
        <v>366.0</v>
      </c>
      <c r="E3113" s="31">
        <v>5.0</v>
      </c>
      <c r="F3113" s="32" t="str">
        <f t="array" ref="F3113">"https://www.google.com/maps/search/?api=1&amp;query=" &amp; A3113 &amp; "," &amp; B3113</f>
        <v>https://www.google.com/maps/search/?api=1&amp;query=-30.90246268769230,-55.55053884277720</v>
      </c>
      <c r="G3113" s="33" t="str">
        <f t="array" ref="G3113">"https://earth.google.com/web/search/" &amp; A3113 &amp; "," &amp; B3113</f>
        <v>https://earth.google.com/web/search/-30.90246268769230,-55.55053884277720</v>
      </c>
      <c r="H3113" s="12"/>
      <c r="I3113" s="12"/>
      <c r="J3113" s="12"/>
      <c r="K3113" s="12"/>
      <c r="L3113" s="12"/>
      <c r="M3113" s="12"/>
      <c r="N3113" s="12"/>
      <c r="O3113" s="12"/>
      <c r="P3113" s="12"/>
      <c r="Q3113" s="12"/>
      <c r="R3113" s="12"/>
      <c r="S3113" s="12"/>
      <c r="T3113" s="12"/>
      <c r="U3113" s="12"/>
      <c r="V3113" s="12"/>
      <c r="W3113" s="12"/>
      <c r="X3113" s="12"/>
      <c r="Y3113" s="12"/>
      <c r="Z3113" s="12"/>
      <c r="AA3113" s="12"/>
    </row>
    <row r="3114" ht="26.25" customHeight="1">
      <c r="A3114" s="34" t="s">
        <v>6238</v>
      </c>
      <c r="B3114" s="35" t="s">
        <v>6239</v>
      </c>
      <c r="C3114" s="36">
        <v>3.0</v>
      </c>
      <c r="D3114" s="37">
        <v>366.0</v>
      </c>
      <c r="E3114" s="37">
        <v>6.0</v>
      </c>
      <c r="F3114" s="24" t="str">
        <f t="array" ref="F3114">"https://www.google.com/maps/search/?api=1&amp;query=" &amp; A3114 &amp; "," &amp; B3114</f>
        <v>https://www.google.com/maps/search/?api=1&amp;query=-30.90224718683800,-55.55040661935700</v>
      </c>
      <c r="G3114" s="25" t="str">
        <f t="array" ref="G3114">"https://earth.google.com/web/search/" &amp; A3114 &amp; "," &amp; B3114</f>
        <v>https://earth.google.com/web/search/-30.90224718683800,-55.55040661935700</v>
      </c>
      <c r="H3114" s="12"/>
      <c r="I3114" s="12"/>
      <c r="J3114" s="12"/>
      <c r="K3114" s="12"/>
      <c r="L3114" s="12"/>
      <c r="M3114" s="12"/>
      <c r="N3114" s="12"/>
      <c r="O3114" s="12"/>
      <c r="P3114" s="12"/>
      <c r="Q3114" s="12"/>
      <c r="R3114" s="12"/>
      <c r="S3114" s="12"/>
      <c r="T3114" s="12"/>
      <c r="U3114" s="12"/>
      <c r="V3114" s="12"/>
      <c r="W3114" s="12"/>
      <c r="X3114" s="12"/>
      <c r="Y3114" s="12"/>
      <c r="Z3114" s="12"/>
      <c r="AA3114" s="12"/>
    </row>
    <row r="3115" ht="26.25" customHeight="1">
      <c r="A3115" s="28" t="s">
        <v>6240</v>
      </c>
      <c r="B3115" s="29" t="s">
        <v>6241</v>
      </c>
      <c r="C3115" s="30">
        <v>3.0</v>
      </c>
      <c r="D3115" s="31">
        <v>366.0</v>
      </c>
      <c r="E3115" s="31">
        <v>7.0</v>
      </c>
      <c r="F3115" s="32" t="str">
        <f t="array" ref="F3115">"https://www.google.com/maps/search/?api=1&amp;query=" &amp; A3115 &amp; "," &amp; B3115</f>
        <v>https://www.google.com/maps/search/?api=1&amp;query=-30.90217342947120,-55.55035033199250</v>
      </c>
      <c r="G3115" s="33" t="str">
        <f t="array" ref="G3115">"https://earth.google.com/web/search/" &amp; A3115 &amp; "," &amp; B3115</f>
        <v>https://earth.google.com/web/search/-30.90217342947120,-55.55035033199250</v>
      </c>
      <c r="H3115" s="12"/>
      <c r="I3115" s="12"/>
      <c r="J3115" s="12"/>
      <c r="K3115" s="12"/>
      <c r="L3115" s="12"/>
      <c r="M3115" s="12"/>
      <c r="N3115" s="12"/>
      <c r="O3115" s="12"/>
      <c r="P3115" s="12"/>
      <c r="Q3115" s="12"/>
      <c r="R3115" s="12"/>
      <c r="S3115" s="12"/>
      <c r="T3115" s="12"/>
      <c r="U3115" s="12"/>
      <c r="V3115" s="12"/>
      <c r="W3115" s="12"/>
      <c r="X3115" s="12"/>
      <c r="Y3115" s="12"/>
      <c r="Z3115" s="12"/>
      <c r="AA3115" s="12"/>
    </row>
    <row r="3116" ht="26.25" customHeight="1">
      <c r="A3116" s="34" t="s">
        <v>6242</v>
      </c>
      <c r="B3116" s="35" t="s">
        <v>6243</v>
      </c>
      <c r="C3116" s="36">
        <v>3.0</v>
      </c>
      <c r="D3116" s="37">
        <v>366.0</v>
      </c>
      <c r="E3116" s="37">
        <v>8.0</v>
      </c>
      <c r="F3116" s="24" t="str">
        <f t="array" ref="F3116">"https://www.google.com/maps/search/?api=1&amp;query=" &amp; A3116 &amp; "," &amp; B3116</f>
        <v>https://www.google.com/maps/search/?api=1&amp;query=-30.90205981384240,-55.55026623947350</v>
      </c>
      <c r="G3116" s="25" t="str">
        <f t="array" ref="G3116">"https://earth.google.com/web/search/" &amp; A3116 &amp; "," &amp; B3116</f>
        <v>https://earth.google.com/web/search/-30.90205981384240,-55.55026623947350</v>
      </c>
      <c r="H3116" s="12"/>
      <c r="I3116" s="12"/>
      <c r="J3116" s="12"/>
      <c r="K3116" s="12"/>
      <c r="L3116" s="12"/>
      <c r="M3116" s="12"/>
      <c r="N3116" s="12"/>
      <c r="O3116" s="12"/>
      <c r="P3116" s="12"/>
      <c r="Q3116" s="12"/>
      <c r="R3116" s="12"/>
      <c r="S3116" s="12"/>
      <c r="T3116" s="12"/>
      <c r="U3116" s="12"/>
      <c r="V3116" s="12"/>
      <c r="W3116" s="12"/>
      <c r="X3116" s="12"/>
      <c r="Y3116" s="12"/>
      <c r="Z3116" s="12"/>
      <c r="AA3116" s="12"/>
    </row>
    <row r="3117" ht="26.25" customHeight="1">
      <c r="A3117" s="28" t="s">
        <v>6244</v>
      </c>
      <c r="B3117" s="29" t="s">
        <v>6245</v>
      </c>
      <c r="C3117" s="30">
        <v>3.0</v>
      </c>
      <c r="D3117" s="31">
        <v>366.0</v>
      </c>
      <c r="E3117" s="31">
        <v>9.0</v>
      </c>
      <c r="F3117" s="32" t="str">
        <f t="array" ref="F3117">"https://www.google.com/maps/search/?api=1&amp;query=" &amp; A3117 &amp; "," &amp; B3117</f>
        <v>https://www.google.com/maps/search/?api=1&amp;query=-30.90200772109760,-55.55032914530080</v>
      </c>
      <c r="G3117" s="33" t="str">
        <f t="array" ref="G3117">"https://earth.google.com/web/search/" &amp; A3117 &amp; "," &amp; B3117</f>
        <v>https://earth.google.com/web/search/-30.90200772109760,-55.55032914530080</v>
      </c>
      <c r="H3117" s="12"/>
      <c r="I3117" s="12"/>
      <c r="J3117" s="12"/>
      <c r="K3117" s="12"/>
      <c r="L3117" s="12"/>
      <c r="M3117" s="12"/>
      <c r="N3117" s="12"/>
      <c r="O3117" s="12"/>
      <c r="P3117" s="12"/>
      <c r="Q3117" s="12"/>
      <c r="R3117" s="12"/>
      <c r="S3117" s="12"/>
      <c r="T3117" s="12"/>
      <c r="U3117" s="12"/>
      <c r="V3117" s="12"/>
      <c r="W3117" s="12"/>
      <c r="X3117" s="12"/>
      <c r="Y3117" s="12"/>
      <c r="Z3117" s="12"/>
      <c r="AA3117" s="12"/>
    </row>
    <row r="3118" ht="26.25" customHeight="1">
      <c r="A3118" s="34" t="s">
        <v>6246</v>
      </c>
      <c r="B3118" s="35" t="s">
        <v>6247</v>
      </c>
      <c r="C3118" s="36">
        <v>3.0</v>
      </c>
      <c r="D3118" s="37">
        <v>366.0</v>
      </c>
      <c r="E3118" s="37">
        <v>10.0</v>
      </c>
      <c r="F3118" s="24" t="str">
        <f t="array" ref="F3118">"https://www.google.com/maps/search/?api=1&amp;query=" &amp; A3118 &amp; "," &amp; B3118</f>
        <v>https://www.google.com/maps/search/?api=1&amp;query=-30.90191480397870,-55.55050198878560</v>
      </c>
      <c r="G3118" s="25" t="str">
        <f t="array" ref="G3118">"https://earth.google.com/web/search/" &amp; A3118 &amp; "," &amp; B3118</f>
        <v>https://earth.google.com/web/search/-30.90191480397870,-55.55050198878560</v>
      </c>
      <c r="H3118" s="12"/>
      <c r="I3118" s="12"/>
      <c r="J3118" s="12"/>
      <c r="K3118" s="12"/>
      <c r="L3118" s="12"/>
      <c r="M3118" s="12"/>
      <c r="N3118" s="12"/>
      <c r="O3118" s="12"/>
      <c r="P3118" s="12"/>
      <c r="Q3118" s="12"/>
      <c r="R3118" s="12"/>
      <c r="S3118" s="12"/>
      <c r="T3118" s="12"/>
      <c r="U3118" s="12"/>
      <c r="V3118" s="12"/>
      <c r="W3118" s="12"/>
      <c r="X3118" s="12"/>
      <c r="Y3118" s="12"/>
      <c r="Z3118" s="12"/>
      <c r="AA3118" s="12"/>
    </row>
    <row r="3119" ht="26.25" customHeight="1">
      <c r="A3119" s="28" t="s">
        <v>6248</v>
      </c>
      <c r="B3119" s="29" t="s">
        <v>6249</v>
      </c>
      <c r="C3119" s="30">
        <v>3.0</v>
      </c>
      <c r="D3119" s="31">
        <v>367.0</v>
      </c>
      <c r="E3119" s="31">
        <v>1.0</v>
      </c>
      <c r="F3119" s="32" t="str">
        <f t="array" ref="F3119">"https://www.google.com/maps/search/?api=1&amp;query=" &amp; A3119 &amp; "," &amp; B3119</f>
        <v>https://www.google.com/maps/search/?api=1&amp;query=-30.90296086054370,-55.55035772193680</v>
      </c>
      <c r="G3119" s="33" t="str">
        <f t="array" ref="G3119">"https://earth.google.com/web/search/" &amp; A3119 &amp; "," &amp; B3119</f>
        <v>https://earth.google.com/web/search/-30.90296086054370,-55.55035772193680</v>
      </c>
      <c r="H3119" s="12"/>
      <c r="I3119" s="12"/>
      <c r="J3119" s="12"/>
      <c r="K3119" s="12"/>
      <c r="L3119" s="12"/>
      <c r="M3119" s="12"/>
      <c r="N3119" s="12"/>
      <c r="O3119" s="12"/>
      <c r="P3119" s="12"/>
      <c r="Q3119" s="12"/>
      <c r="R3119" s="12"/>
      <c r="S3119" s="12"/>
      <c r="T3119" s="12"/>
      <c r="U3119" s="12"/>
      <c r="V3119" s="12"/>
      <c r="W3119" s="12"/>
      <c r="X3119" s="12"/>
      <c r="Y3119" s="12"/>
      <c r="Z3119" s="12"/>
      <c r="AA3119" s="12"/>
    </row>
    <row r="3120" ht="26.25" customHeight="1">
      <c r="A3120" s="34" t="s">
        <v>6250</v>
      </c>
      <c r="B3120" s="35" t="s">
        <v>6251</v>
      </c>
      <c r="C3120" s="36">
        <v>3.0</v>
      </c>
      <c r="D3120" s="37">
        <v>367.0</v>
      </c>
      <c r="E3120" s="37">
        <v>2.0</v>
      </c>
      <c r="F3120" s="24" t="str">
        <f t="array" ref="F3120">"https://www.google.com/maps/search/?api=1&amp;query=" &amp; A3120 &amp; "," &amp; B3120</f>
        <v>https://www.google.com/maps/search/?api=1&amp;query=-30.90293465363670,-55.54963915786850</v>
      </c>
      <c r="G3120" s="25" t="str">
        <f t="array" ref="G3120">"https://earth.google.com/web/search/" &amp; A3120 &amp; "," &amp; B3120</f>
        <v>https://earth.google.com/web/search/-30.90293465363670,-55.54963915786850</v>
      </c>
      <c r="H3120" s="12"/>
      <c r="I3120" s="12"/>
      <c r="J3120" s="12"/>
      <c r="K3120" s="12"/>
      <c r="L3120" s="12"/>
      <c r="M3120" s="12"/>
      <c r="N3120" s="12"/>
      <c r="O3120" s="12"/>
      <c r="P3120" s="12"/>
      <c r="Q3120" s="12"/>
      <c r="R3120" s="12"/>
      <c r="S3120" s="12"/>
      <c r="T3120" s="12"/>
      <c r="U3120" s="12"/>
      <c r="V3120" s="12"/>
      <c r="W3120" s="12"/>
      <c r="X3120" s="12"/>
      <c r="Y3120" s="12"/>
      <c r="Z3120" s="12"/>
      <c r="AA3120" s="12"/>
    </row>
    <row r="3121" ht="26.25" customHeight="1">
      <c r="A3121" s="28" t="s">
        <v>6252</v>
      </c>
      <c r="B3121" s="29" t="s">
        <v>6253</v>
      </c>
      <c r="C3121" s="30">
        <v>3.0</v>
      </c>
      <c r="D3121" s="31">
        <v>367.0</v>
      </c>
      <c r="E3121" s="31">
        <v>3.0</v>
      </c>
      <c r="F3121" s="32" t="str">
        <f t="array" ref="F3121">"https://www.google.com/maps/search/?api=1&amp;query=" &amp; A3121 &amp; "," &amp; B3121</f>
        <v>https://www.google.com/maps/search/?api=1&amp;query=-30.90269818403370,-55.54948218089720</v>
      </c>
      <c r="G3121" s="33" t="str">
        <f t="array" ref="G3121">"https://earth.google.com/web/search/" &amp; A3121 &amp; "," &amp; B3121</f>
        <v>https://earth.google.com/web/search/-30.90269818403370,-55.54948218089720</v>
      </c>
      <c r="H3121" s="12"/>
      <c r="I3121" s="12"/>
      <c r="J3121" s="12"/>
      <c r="K3121" s="12"/>
      <c r="L3121" s="12"/>
      <c r="M3121" s="12"/>
      <c r="N3121" s="12"/>
      <c r="O3121" s="12"/>
      <c r="P3121" s="12"/>
      <c r="Q3121" s="12"/>
      <c r="R3121" s="12"/>
      <c r="S3121" s="12"/>
      <c r="T3121" s="12"/>
      <c r="U3121" s="12"/>
      <c r="V3121" s="12"/>
      <c r="W3121" s="12"/>
      <c r="X3121" s="12"/>
      <c r="Y3121" s="12"/>
      <c r="Z3121" s="12"/>
      <c r="AA3121" s="12"/>
    </row>
    <row r="3122" ht="26.25" customHeight="1">
      <c r="A3122" s="34" t="s">
        <v>6254</v>
      </c>
      <c r="B3122" s="35" t="s">
        <v>6255</v>
      </c>
      <c r="C3122" s="36">
        <v>3.0</v>
      </c>
      <c r="D3122" s="37">
        <v>367.0</v>
      </c>
      <c r="E3122" s="37">
        <v>4.0</v>
      </c>
      <c r="F3122" s="24" t="str">
        <f t="array" ref="F3122">"https://www.google.com/maps/search/?api=1&amp;query=" &amp; A3122 &amp; "," &amp; B3122</f>
        <v>https://www.google.com/maps/search/?api=1&amp;query=-30.90255675080240,-55.54939596474780</v>
      </c>
      <c r="G3122" s="25" t="str">
        <f t="array" ref="G3122">"https://earth.google.com/web/search/" &amp; A3122 &amp; "," &amp; B3122</f>
        <v>https://earth.google.com/web/search/-30.90255675080240,-55.54939596474780</v>
      </c>
      <c r="H3122" s="12"/>
      <c r="I3122" s="12"/>
      <c r="J3122" s="12"/>
      <c r="K3122" s="12"/>
      <c r="L3122" s="12"/>
      <c r="M3122" s="12"/>
      <c r="N3122" s="12"/>
      <c r="O3122" s="12"/>
      <c r="P3122" s="12"/>
      <c r="Q3122" s="12"/>
      <c r="R3122" s="12"/>
      <c r="S3122" s="12"/>
      <c r="T3122" s="12"/>
      <c r="U3122" s="12"/>
      <c r="V3122" s="12"/>
      <c r="W3122" s="12"/>
      <c r="X3122" s="12"/>
      <c r="Y3122" s="12"/>
      <c r="Z3122" s="12"/>
      <c r="AA3122" s="12"/>
    </row>
    <row r="3123" ht="26.25" customHeight="1">
      <c r="A3123" s="28" t="s">
        <v>6256</v>
      </c>
      <c r="B3123" s="29" t="s">
        <v>6257</v>
      </c>
      <c r="C3123" s="30">
        <v>3.0</v>
      </c>
      <c r="D3123" s="31">
        <v>367.0</v>
      </c>
      <c r="E3123" s="31">
        <v>5.0</v>
      </c>
      <c r="F3123" s="32" t="str">
        <f t="array" ref="F3123">"https://www.google.com/maps/search/?api=1&amp;query=" &amp; A3123 &amp; "," &amp; B3123</f>
        <v>https://www.google.com/maps/search/?api=1&amp;query=-30.90243265070940,-55.54952688731710</v>
      </c>
      <c r="G3123" s="33" t="str">
        <f t="array" ref="G3123">"https://earth.google.com/web/search/" &amp; A3123 &amp; "," &amp; B3123</f>
        <v>https://earth.google.com/web/search/-30.90243265070940,-55.54952688731710</v>
      </c>
      <c r="H3123" s="12"/>
      <c r="I3123" s="12"/>
      <c r="J3123" s="12"/>
      <c r="K3123" s="12"/>
      <c r="L3123" s="12"/>
      <c r="M3123" s="12"/>
      <c r="N3123" s="12"/>
      <c r="O3123" s="12"/>
      <c r="P3123" s="12"/>
      <c r="Q3123" s="12"/>
      <c r="R3123" s="12"/>
      <c r="S3123" s="12"/>
      <c r="T3123" s="12"/>
      <c r="U3123" s="12"/>
      <c r="V3123" s="12"/>
      <c r="W3123" s="12"/>
      <c r="X3123" s="12"/>
      <c r="Y3123" s="12"/>
      <c r="Z3123" s="12"/>
      <c r="AA3123" s="12"/>
    </row>
    <row r="3124" ht="26.25" customHeight="1">
      <c r="A3124" s="34" t="s">
        <v>6258</v>
      </c>
      <c r="B3124" s="35" t="s">
        <v>6259</v>
      </c>
      <c r="C3124" s="36">
        <v>3.0</v>
      </c>
      <c r="D3124" s="37">
        <v>367.0</v>
      </c>
      <c r="E3124" s="37">
        <v>6.0</v>
      </c>
      <c r="F3124" s="24" t="str">
        <f t="array" ref="F3124">"https://www.google.com/maps/search/?api=1&amp;query=" &amp; A3124 &amp; "," &amp; B3124</f>
        <v>https://www.google.com/maps/search/?api=1&amp;query=-30.90231529642920,-55.54970972128700</v>
      </c>
      <c r="G3124" s="25" t="str">
        <f t="array" ref="G3124">"https://earth.google.com/web/search/" &amp; A3124 &amp; "," &amp; B3124</f>
        <v>https://earth.google.com/web/search/-30.90231529642920,-55.54970972128700</v>
      </c>
      <c r="H3124" s="12"/>
      <c r="I3124" s="12"/>
      <c r="J3124" s="12"/>
      <c r="K3124" s="12"/>
      <c r="L3124" s="12"/>
      <c r="M3124" s="12"/>
      <c r="N3124" s="12"/>
      <c r="O3124" s="12"/>
      <c r="P3124" s="12"/>
      <c r="Q3124" s="12"/>
      <c r="R3124" s="12"/>
      <c r="S3124" s="12"/>
      <c r="T3124" s="12"/>
      <c r="U3124" s="12"/>
      <c r="V3124" s="12"/>
      <c r="W3124" s="12"/>
      <c r="X3124" s="12"/>
      <c r="Y3124" s="12"/>
      <c r="Z3124" s="12"/>
      <c r="AA3124" s="12"/>
    </row>
    <row r="3125" ht="26.25" customHeight="1">
      <c r="A3125" s="28" t="s">
        <v>6260</v>
      </c>
      <c r="B3125" s="29" t="s">
        <v>6261</v>
      </c>
      <c r="C3125" s="30">
        <v>3.0</v>
      </c>
      <c r="D3125" s="31">
        <v>367.0</v>
      </c>
      <c r="E3125" s="31">
        <v>7.0</v>
      </c>
      <c r="F3125" s="32" t="str">
        <f t="array" ref="F3125">"https://www.google.com/maps/search/?api=1&amp;query=" &amp; A3125 &amp; "," &amp; B3125</f>
        <v>https://www.google.com/maps/search/?api=1&amp;query=-3.09021314795822,-55.55006531663670</v>
      </c>
      <c r="G3125" s="33" t="str">
        <f t="array" ref="G3125">"https://earth.google.com/web/search/" &amp; A3125 &amp; "," &amp; B3125</f>
        <v>https://earth.google.com/web/search/-3.09021314795822,-55.55006531663670</v>
      </c>
      <c r="H3125" s="12"/>
      <c r="I3125" s="12"/>
      <c r="J3125" s="12"/>
      <c r="K3125" s="12"/>
      <c r="L3125" s="12"/>
      <c r="M3125" s="12"/>
      <c r="N3125" s="12"/>
      <c r="O3125" s="12"/>
      <c r="P3125" s="12"/>
      <c r="Q3125" s="12"/>
      <c r="R3125" s="12"/>
      <c r="S3125" s="12"/>
      <c r="T3125" s="12"/>
      <c r="U3125" s="12"/>
      <c r="V3125" s="12"/>
      <c r="W3125" s="12"/>
      <c r="X3125" s="12"/>
      <c r="Y3125" s="12"/>
      <c r="Z3125" s="12"/>
      <c r="AA3125" s="12"/>
    </row>
    <row r="3126" ht="26.25" customHeight="1">
      <c r="A3126" s="34" t="s">
        <v>6262</v>
      </c>
      <c r="B3126" s="35" t="s">
        <v>6263</v>
      </c>
      <c r="C3126" s="36">
        <v>3.0</v>
      </c>
      <c r="D3126" s="37">
        <v>367.0</v>
      </c>
      <c r="E3126" s="37">
        <v>8.0</v>
      </c>
      <c r="F3126" s="24" t="str">
        <f t="array" ref="F3126">"https://www.google.com/maps/search/?api=1&amp;query=" &amp; A3126 &amp; "," &amp; B3126</f>
        <v>https://www.google.com/maps/search/?api=1&amp;query=-30.90239372782370,-55.55037932136590</v>
      </c>
      <c r="G3126" s="25" t="str">
        <f t="array" ref="G3126">"https://earth.google.com/web/search/" &amp; A3126 &amp; "," &amp; B3126</f>
        <v>https://earth.google.com/web/search/-30.90239372782370,-55.55037932136590</v>
      </c>
      <c r="H3126" s="12"/>
      <c r="I3126" s="12"/>
      <c r="J3126" s="12"/>
      <c r="K3126" s="12"/>
      <c r="L3126" s="12"/>
      <c r="M3126" s="12"/>
      <c r="N3126" s="12"/>
      <c r="O3126" s="12"/>
      <c r="P3126" s="12"/>
      <c r="Q3126" s="12"/>
      <c r="R3126" s="12"/>
      <c r="S3126" s="12"/>
      <c r="T3126" s="12"/>
      <c r="U3126" s="12"/>
      <c r="V3126" s="12"/>
      <c r="W3126" s="12"/>
      <c r="X3126" s="12"/>
      <c r="Y3126" s="12"/>
      <c r="Z3126" s="12"/>
      <c r="AA3126" s="12"/>
    </row>
    <row r="3127" ht="26.25" customHeight="1">
      <c r="A3127" s="28" t="s">
        <v>6264</v>
      </c>
      <c r="B3127" s="29" t="s">
        <v>6265</v>
      </c>
      <c r="C3127" s="30">
        <v>3.0</v>
      </c>
      <c r="D3127" s="31">
        <v>367.0</v>
      </c>
      <c r="E3127" s="31">
        <v>9.0</v>
      </c>
      <c r="F3127" s="32" t="str">
        <f t="array" ref="F3127">"https://www.google.com/maps/search/?api=1&amp;query=" &amp; A3127 &amp; "," &amp; B3127</f>
        <v>https://www.google.com/maps/search/?api=1&amp;query=-30.90269611142740,-55.55061492881090</v>
      </c>
      <c r="G3127" s="33" t="str">
        <f t="array" ref="G3127">"https://earth.google.com/web/search/" &amp; A3127 &amp; "," &amp; B3127</f>
        <v>https://earth.google.com/web/search/-30.90269611142740,-55.55061492881090</v>
      </c>
      <c r="H3127" s="12"/>
      <c r="I3127" s="12"/>
      <c r="J3127" s="12"/>
      <c r="K3127" s="12"/>
      <c r="L3127" s="12"/>
      <c r="M3127" s="12"/>
      <c r="N3127" s="12"/>
      <c r="O3127" s="12"/>
      <c r="P3127" s="12"/>
      <c r="Q3127" s="12"/>
      <c r="R3127" s="12"/>
      <c r="S3127" s="12"/>
      <c r="T3127" s="12"/>
      <c r="U3127" s="12"/>
      <c r="V3127" s="12"/>
      <c r="W3127" s="12"/>
      <c r="X3127" s="12"/>
      <c r="Y3127" s="12"/>
      <c r="Z3127" s="12"/>
      <c r="AA3127" s="12"/>
    </row>
    <row r="3128" ht="26.25" customHeight="1">
      <c r="A3128" s="34" t="s">
        <v>6266</v>
      </c>
      <c r="B3128" s="35" t="s">
        <v>6267</v>
      </c>
      <c r="C3128" s="36">
        <v>3.0</v>
      </c>
      <c r="D3128" s="37">
        <v>368.0</v>
      </c>
      <c r="E3128" s="37">
        <v>1.0</v>
      </c>
      <c r="F3128" s="24" t="str">
        <f t="array" ref="F3128">"https://www.google.com/maps/search/?api=1&amp;query=" &amp; A3128 &amp; "," &amp; B3128</f>
        <v>https://www.google.com/maps/search/?api=1&amp;query=-30.90342321814430,-55.54948168126390</v>
      </c>
      <c r="G3128" s="25" t="str">
        <f t="array" ref="G3128">"https://earth.google.com/web/search/" &amp; A3128 &amp; "," &amp; B3128</f>
        <v>https://earth.google.com/web/search/-30.90342321814430,-55.54948168126390</v>
      </c>
      <c r="H3128" s="12"/>
      <c r="I3128" s="12"/>
      <c r="J3128" s="12"/>
      <c r="K3128" s="12"/>
      <c r="L3128" s="12"/>
      <c r="M3128" s="12"/>
      <c r="N3128" s="12"/>
      <c r="O3128" s="12"/>
      <c r="P3128" s="12"/>
      <c r="Q3128" s="12"/>
      <c r="R3128" s="12"/>
      <c r="S3128" s="12"/>
      <c r="T3128" s="12"/>
      <c r="U3128" s="12"/>
      <c r="V3128" s="12"/>
      <c r="W3128" s="12"/>
      <c r="X3128" s="12"/>
      <c r="Y3128" s="12"/>
      <c r="Z3128" s="12"/>
      <c r="AA3128" s="12"/>
    </row>
    <row r="3129" ht="26.25" customHeight="1">
      <c r="A3129" s="28" t="s">
        <v>6268</v>
      </c>
      <c r="B3129" s="29" t="s">
        <v>6269</v>
      </c>
      <c r="C3129" s="30">
        <v>3.0</v>
      </c>
      <c r="D3129" s="31">
        <v>368.0</v>
      </c>
      <c r="E3129" s="31">
        <v>2.0</v>
      </c>
      <c r="F3129" s="32" t="str">
        <f t="array" ref="F3129">"https://www.google.com/maps/search/?api=1&amp;query=" &amp; A3129 &amp; "," &amp; B3129</f>
        <v>https://www.google.com/maps/search/?api=1&amp;query=-30.90351440575250,-55.54927796358970</v>
      </c>
      <c r="G3129" s="33" t="str">
        <f t="array" ref="G3129">"https://earth.google.com/web/search/" &amp; A3129 &amp; "," &amp; B3129</f>
        <v>https://earth.google.com/web/search/-30.90351440575250,-55.54927796358970</v>
      </c>
      <c r="H3129" s="12"/>
      <c r="I3129" s="12"/>
      <c r="J3129" s="12"/>
      <c r="K3129" s="12"/>
      <c r="L3129" s="12"/>
      <c r="M3129" s="12"/>
      <c r="N3129" s="12"/>
      <c r="O3129" s="12"/>
      <c r="P3129" s="12"/>
      <c r="Q3129" s="12"/>
      <c r="R3129" s="12"/>
      <c r="S3129" s="12"/>
      <c r="T3129" s="12"/>
      <c r="U3129" s="12"/>
      <c r="V3129" s="12"/>
      <c r="W3129" s="12"/>
      <c r="X3129" s="12"/>
      <c r="Y3129" s="12"/>
      <c r="Z3129" s="12"/>
      <c r="AA3129" s="12"/>
    </row>
    <row r="3130" ht="26.25" customHeight="1">
      <c r="A3130" s="34" t="s">
        <v>6270</v>
      </c>
      <c r="B3130" s="35" t="s">
        <v>6271</v>
      </c>
      <c r="C3130" s="36">
        <v>3.0</v>
      </c>
      <c r="D3130" s="37">
        <v>368.0</v>
      </c>
      <c r="E3130" s="37">
        <v>3.0</v>
      </c>
      <c r="F3130" s="24" t="str">
        <f t="array" ref="F3130">"https://www.google.com/maps/search/?api=1&amp;query=" &amp; A3130 &amp; "," &amp; B3130</f>
        <v>https://www.google.com/maps/search/?api=1&amp;query=-30.90285275547350,-55.54873483162430</v>
      </c>
      <c r="G3130" s="25" t="str">
        <f t="array" ref="G3130">"https://earth.google.com/web/search/" &amp; A3130 &amp; "," &amp; B3130</f>
        <v>https://earth.google.com/web/search/-30.90285275547350,-55.54873483162430</v>
      </c>
      <c r="H3130" s="12"/>
      <c r="I3130" s="12"/>
      <c r="J3130" s="12"/>
      <c r="K3130" s="12"/>
      <c r="L3130" s="12"/>
      <c r="M3130" s="12"/>
      <c r="N3130" s="12"/>
      <c r="O3130" s="12"/>
      <c r="P3130" s="12"/>
      <c r="Q3130" s="12"/>
      <c r="R3130" s="12"/>
      <c r="S3130" s="12"/>
      <c r="T3130" s="12"/>
      <c r="U3130" s="12"/>
      <c r="V3130" s="12"/>
      <c r="W3130" s="12"/>
      <c r="X3130" s="12"/>
      <c r="Y3130" s="12"/>
      <c r="Z3130" s="12"/>
      <c r="AA3130" s="12"/>
    </row>
    <row r="3131" ht="26.25" customHeight="1">
      <c r="A3131" s="28" t="s">
        <v>6272</v>
      </c>
      <c r="B3131" s="29" t="s">
        <v>6273</v>
      </c>
      <c r="C3131" s="30">
        <v>3.0</v>
      </c>
      <c r="D3131" s="31">
        <v>368.0</v>
      </c>
      <c r="E3131" s="31">
        <v>4.0</v>
      </c>
      <c r="F3131" s="32" t="str">
        <f t="array" ref="F3131">"https://www.google.com/maps/search/?api=1&amp;query=" &amp; A3131 &amp; "," &amp; B3131</f>
        <v>https://www.google.com/maps/search/?api=1&amp;query=-30.90271075669360,-55.54898628333470</v>
      </c>
      <c r="G3131" s="33" t="str">
        <f t="array" ref="G3131">"https://earth.google.com/web/search/" &amp; A3131 &amp; "," &amp; B3131</f>
        <v>https://earth.google.com/web/search/-30.90271075669360,-55.54898628333470</v>
      </c>
      <c r="H3131" s="12"/>
      <c r="I3131" s="12"/>
      <c r="J3131" s="12"/>
      <c r="K3131" s="12"/>
      <c r="L3131" s="12"/>
      <c r="M3131" s="12"/>
      <c r="N3131" s="12"/>
      <c r="O3131" s="12"/>
      <c r="P3131" s="12"/>
      <c r="Q3131" s="12"/>
      <c r="R3131" s="12"/>
      <c r="S3131" s="12"/>
      <c r="T3131" s="12"/>
      <c r="U3131" s="12"/>
      <c r="V3131" s="12"/>
      <c r="W3131" s="12"/>
      <c r="X3131" s="12"/>
      <c r="Y3131" s="12"/>
      <c r="Z3131" s="12"/>
      <c r="AA3131" s="12"/>
    </row>
    <row r="3132" ht="26.25" customHeight="1">
      <c r="A3132" s="34" t="s">
        <v>6274</v>
      </c>
      <c r="B3132" s="35" t="s">
        <v>6275</v>
      </c>
      <c r="C3132" s="36">
        <v>3.0</v>
      </c>
      <c r="D3132" s="37">
        <v>368.0</v>
      </c>
      <c r="E3132" s="37">
        <v>5.0</v>
      </c>
      <c r="F3132" s="24" t="str">
        <f t="array" ref="F3132">"https://www.google.com/maps/search/?api=1&amp;query=" &amp; A3132 &amp; "," &amp; B3132</f>
        <v>https://www.google.com/maps/search/?api=1&amp;query=-30.90256694547470,-55.54922067981840</v>
      </c>
      <c r="G3132" s="25" t="str">
        <f t="array" ref="G3132">"https://earth.google.com/web/search/" &amp; A3132 &amp; "," &amp; B3132</f>
        <v>https://earth.google.com/web/search/-30.90256694547470,-55.54922067981840</v>
      </c>
      <c r="H3132" s="12"/>
      <c r="I3132" s="12"/>
      <c r="J3132" s="12"/>
      <c r="K3132" s="12"/>
      <c r="L3132" s="12"/>
      <c r="M3132" s="12"/>
      <c r="N3132" s="12"/>
      <c r="O3132" s="12"/>
      <c r="P3132" s="12"/>
      <c r="Q3132" s="12"/>
      <c r="R3132" s="12"/>
      <c r="S3132" s="12"/>
      <c r="T3132" s="12"/>
      <c r="U3132" s="12"/>
      <c r="V3132" s="12"/>
      <c r="W3132" s="12"/>
      <c r="X3132" s="12"/>
      <c r="Y3132" s="12"/>
      <c r="Z3132" s="12"/>
      <c r="AA3132" s="12"/>
    </row>
    <row r="3133" ht="26.25" customHeight="1">
      <c r="A3133" s="28" t="s">
        <v>6276</v>
      </c>
      <c r="B3133" s="29" t="s">
        <v>6277</v>
      </c>
      <c r="C3133" s="30">
        <v>3.0</v>
      </c>
      <c r="D3133" s="31">
        <v>368.0</v>
      </c>
      <c r="E3133" s="31">
        <v>6.0</v>
      </c>
      <c r="F3133" s="32" t="str">
        <f t="array" ref="F3133">"https://www.google.com/maps/search/?api=1&amp;query=" &amp; A3133 &amp; "," &amp; B3133</f>
        <v>https://www.google.com/maps/search/?api=1&amp;query=-30.90264472942620,-55.54931774615630</v>
      </c>
      <c r="G3133" s="33" t="str">
        <f t="array" ref="G3133">"https://earth.google.com/web/search/" &amp; A3133 &amp; "," &amp; B3133</f>
        <v>https://earth.google.com/web/search/-30.90264472942620,-55.54931774615630</v>
      </c>
      <c r="H3133" s="12"/>
      <c r="I3133" s="12"/>
      <c r="J3133" s="12"/>
      <c r="K3133" s="12"/>
      <c r="L3133" s="12"/>
      <c r="M3133" s="12"/>
      <c r="N3133" s="12"/>
      <c r="O3133" s="12"/>
      <c r="P3133" s="12"/>
      <c r="Q3133" s="12"/>
      <c r="R3133" s="12"/>
      <c r="S3133" s="12"/>
      <c r="T3133" s="12"/>
      <c r="U3133" s="12"/>
      <c r="V3133" s="12"/>
      <c r="W3133" s="12"/>
      <c r="X3133" s="12"/>
      <c r="Y3133" s="12"/>
      <c r="Z3133" s="12"/>
      <c r="AA3133" s="12"/>
    </row>
    <row r="3134" ht="26.25" customHeight="1">
      <c r="A3134" s="34" t="s">
        <v>6278</v>
      </c>
      <c r="B3134" s="35" t="s">
        <v>6279</v>
      </c>
      <c r="C3134" s="36">
        <v>3.0</v>
      </c>
      <c r="D3134" s="37">
        <v>368.0</v>
      </c>
      <c r="E3134" s="37">
        <v>7.0</v>
      </c>
      <c r="F3134" s="24" t="str">
        <f t="array" ref="F3134">"https://www.google.com/maps/search/?api=1&amp;query=" &amp; A3134 &amp; "," &amp; B3134</f>
        <v>https://www.google.com/maps/search/?api=1&amp;query=-30.90289229101850,-55.54950992195060</v>
      </c>
      <c r="G3134" s="25" t="str">
        <f t="array" ref="G3134">"https://earth.google.com/web/search/" &amp; A3134 &amp; "," &amp; B3134</f>
        <v>https://earth.google.com/web/search/-30.90289229101850,-55.54950992195060</v>
      </c>
      <c r="H3134" s="12"/>
      <c r="I3134" s="12"/>
      <c r="J3134" s="12"/>
      <c r="K3134" s="12"/>
      <c r="L3134" s="12"/>
      <c r="M3134" s="12"/>
      <c r="N3134" s="12"/>
      <c r="O3134" s="12"/>
      <c r="P3134" s="12"/>
      <c r="Q3134" s="12"/>
      <c r="R3134" s="12"/>
      <c r="S3134" s="12"/>
      <c r="T3134" s="12"/>
      <c r="U3134" s="12"/>
      <c r="V3134" s="12"/>
      <c r="W3134" s="12"/>
      <c r="X3134" s="12"/>
      <c r="Y3134" s="12"/>
      <c r="Z3134" s="12"/>
      <c r="AA3134" s="12"/>
    </row>
    <row r="3135" ht="26.25" customHeight="1">
      <c r="A3135" s="28" t="s">
        <v>6280</v>
      </c>
      <c r="B3135" s="29" t="s">
        <v>6281</v>
      </c>
      <c r="C3135" s="30">
        <v>3.0</v>
      </c>
      <c r="D3135" s="31">
        <v>368.0</v>
      </c>
      <c r="E3135" s="31">
        <v>8.0</v>
      </c>
      <c r="F3135" s="32" t="str">
        <f t="array" ref="F3135">"https://www.google.com/maps/search/?api=1&amp;query=" &amp; A3135 &amp; "," &amp; B3135</f>
        <v>https://www.google.com/maps/search/?api=1&amp;query=-30.90308178779910,-5.55496345545382</v>
      </c>
      <c r="G3135" s="33" t="str">
        <f t="array" ref="G3135">"https://earth.google.com/web/search/" &amp; A3135 &amp; "," &amp; B3135</f>
        <v>https://earth.google.com/web/search/-30.90308178779910,-5.55496345545382</v>
      </c>
      <c r="H3135" s="12"/>
      <c r="I3135" s="12"/>
      <c r="J3135" s="12"/>
      <c r="K3135" s="12"/>
      <c r="L3135" s="12"/>
      <c r="M3135" s="12"/>
      <c r="N3135" s="12"/>
      <c r="O3135" s="12"/>
      <c r="P3135" s="12"/>
      <c r="Q3135" s="12"/>
      <c r="R3135" s="12"/>
      <c r="S3135" s="12"/>
      <c r="T3135" s="12"/>
      <c r="U3135" s="12"/>
      <c r="V3135" s="12"/>
      <c r="W3135" s="12"/>
      <c r="X3135" s="12"/>
      <c r="Y3135" s="12"/>
      <c r="Z3135" s="12"/>
      <c r="AA3135" s="12"/>
    </row>
    <row r="3136" ht="26.25" customHeight="1">
      <c r="A3136" s="34" t="s">
        <v>6282</v>
      </c>
      <c r="B3136" s="35" t="s">
        <v>6283</v>
      </c>
      <c r="C3136" s="36">
        <v>3.0</v>
      </c>
      <c r="D3136" s="37">
        <v>368.0</v>
      </c>
      <c r="E3136" s="37">
        <v>9.0</v>
      </c>
      <c r="F3136" s="24" t="str">
        <f t="array" ref="F3136">"https://www.google.com/maps/search/?api=1&amp;query=" &amp; A3136 &amp; "," &amp; B3136</f>
        <v>https://www.google.com/maps/search/?api=1&amp;query=-30.90315000012050,-55.54968447048780</v>
      </c>
      <c r="G3136" s="25" t="str">
        <f t="array" ref="G3136">"https://earth.google.com/web/search/" &amp; A3136 &amp; "," &amp; B3136</f>
        <v>https://earth.google.com/web/search/-30.90315000012050,-55.54968447048780</v>
      </c>
      <c r="H3136" s="12"/>
      <c r="I3136" s="12"/>
      <c r="J3136" s="12"/>
      <c r="K3136" s="12"/>
      <c r="L3136" s="12"/>
      <c r="M3136" s="12"/>
      <c r="N3136" s="12"/>
      <c r="O3136" s="12"/>
      <c r="P3136" s="12"/>
      <c r="Q3136" s="12"/>
      <c r="R3136" s="12"/>
      <c r="S3136" s="12"/>
      <c r="T3136" s="12"/>
      <c r="U3136" s="12"/>
      <c r="V3136" s="12"/>
      <c r="W3136" s="12"/>
      <c r="X3136" s="12"/>
      <c r="Y3136" s="12"/>
      <c r="Z3136" s="12"/>
      <c r="AA3136" s="12"/>
    </row>
    <row r="3137" ht="26.25" customHeight="1">
      <c r="A3137" s="28" t="s">
        <v>6284</v>
      </c>
      <c r="B3137" s="29" t="s">
        <v>6285</v>
      </c>
      <c r="C3137" s="30">
        <v>3.0</v>
      </c>
      <c r="D3137" s="31">
        <v>368.0</v>
      </c>
      <c r="E3137" s="31">
        <v>10.0</v>
      </c>
      <c r="F3137" s="32" t="str">
        <f t="array" ref="F3137">"https://www.google.com/maps/search/?api=1&amp;query=" &amp; A3137 &amp; "," &amp; B3137</f>
        <v>https://www.google.com/maps/search/?api=1&amp;query=-3.09032230602098,-55.54973980178520</v>
      </c>
      <c r="G3137" s="33" t="str">
        <f t="array" ref="G3137">"https://earth.google.com/web/search/" &amp; A3137 &amp; "," &amp; B3137</f>
        <v>https://earth.google.com/web/search/-3.09032230602098,-55.54973980178520</v>
      </c>
      <c r="H3137" s="12"/>
      <c r="I3137" s="12"/>
      <c r="J3137" s="12"/>
      <c r="K3137" s="12"/>
      <c r="L3137" s="12"/>
      <c r="M3137" s="12"/>
      <c r="N3137" s="12"/>
      <c r="O3137" s="12"/>
      <c r="P3137" s="12"/>
      <c r="Q3137" s="12"/>
      <c r="R3137" s="12"/>
      <c r="S3137" s="12"/>
      <c r="T3137" s="12"/>
      <c r="U3137" s="12"/>
      <c r="V3137" s="12"/>
      <c r="W3137" s="12"/>
      <c r="X3137" s="12"/>
      <c r="Y3137" s="12"/>
      <c r="Z3137" s="12"/>
      <c r="AA3137" s="12"/>
    </row>
    <row r="3138" ht="26.25" customHeight="1">
      <c r="A3138" s="34" t="s">
        <v>6286</v>
      </c>
      <c r="B3138" s="35" t="s">
        <v>6287</v>
      </c>
      <c r="C3138" s="36">
        <v>3.0</v>
      </c>
      <c r="D3138" s="37">
        <v>370.0</v>
      </c>
      <c r="E3138" s="37">
        <v>5.0</v>
      </c>
      <c r="F3138" s="24" t="str">
        <f t="array" ref="F3138">"https://www.google.com/maps/search/?api=1&amp;query=" &amp; A3138 &amp; "," &amp; B3138</f>
        <v>https://www.google.com/maps/search/?api=1&amp;query=-30.90387997805300,-55.54697956192270</v>
      </c>
      <c r="G3138" s="25" t="str">
        <f t="array" ref="G3138">"https://earth.google.com/web/search/" &amp; A3138 &amp; "," &amp; B3138</f>
        <v>https://earth.google.com/web/search/-30.90387997805300,-55.54697956192270</v>
      </c>
      <c r="H3138" s="12"/>
      <c r="I3138" s="12"/>
      <c r="J3138" s="12"/>
      <c r="K3138" s="12"/>
      <c r="L3138" s="12"/>
      <c r="M3138" s="12"/>
      <c r="N3138" s="12"/>
      <c r="O3138" s="12"/>
      <c r="P3138" s="12"/>
      <c r="Q3138" s="12"/>
      <c r="R3138" s="12"/>
      <c r="S3138" s="12"/>
      <c r="T3138" s="12"/>
      <c r="U3138" s="12"/>
      <c r="V3138" s="12"/>
      <c r="W3138" s="12"/>
      <c r="X3138" s="12"/>
      <c r="Y3138" s="12"/>
      <c r="Z3138" s="12"/>
      <c r="AA3138" s="12"/>
    </row>
    <row r="3139" ht="26.25" customHeight="1">
      <c r="A3139" s="28" t="s">
        <v>6288</v>
      </c>
      <c r="B3139" s="29" t="s">
        <v>6289</v>
      </c>
      <c r="C3139" s="30">
        <v>3.0</v>
      </c>
      <c r="D3139" s="31">
        <v>370.0</v>
      </c>
      <c r="E3139" s="31">
        <v>1.0</v>
      </c>
      <c r="F3139" s="32" t="str">
        <f t="array" ref="F3139">"https://www.google.com/maps/search/?api=1&amp;query=" &amp; A3139 &amp; "," &amp; B3139</f>
        <v>https://www.google.com/maps/search/?api=1&amp;query=-30.90423265316450,-55.54794421302880</v>
      </c>
      <c r="G3139" s="33" t="str">
        <f t="array" ref="G3139">"https://earth.google.com/web/search/" &amp; A3139 &amp; "," &amp; B3139</f>
        <v>https://earth.google.com/web/search/-30.90423265316450,-55.54794421302880</v>
      </c>
      <c r="H3139" s="12"/>
      <c r="I3139" s="12"/>
      <c r="J3139" s="12"/>
      <c r="K3139" s="12"/>
      <c r="L3139" s="12"/>
      <c r="M3139" s="12"/>
      <c r="N3139" s="12"/>
      <c r="O3139" s="12"/>
      <c r="P3139" s="12"/>
      <c r="Q3139" s="12"/>
      <c r="R3139" s="12"/>
      <c r="S3139" s="12"/>
      <c r="T3139" s="12"/>
      <c r="U3139" s="12"/>
      <c r="V3139" s="12"/>
      <c r="W3139" s="12"/>
      <c r="X3139" s="12"/>
      <c r="Y3139" s="12"/>
      <c r="Z3139" s="12"/>
      <c r="AA3139" s="12"/>
    </row>
    <row r="3140" ht="26.25" customHeight="1">
      <c r="A3140" s="34" t="s">
        <v>6290</v>
      </c>
      <c r="B3140" s="35" t="s">
        <v>6291</v>
      </c>
      <c r="C3140" s="36">
        <v>3.0</v>
      </c>
      <c r="D3140" s="37">
        <v>370.0</v>
      </c>
      <c r="E3140" s="37">
        <v>2.0</v>
      </c>
      <c r="F3140" s="24" t="str">
        <f t="array" ref="F3140">"https://www.google.com/maps/search/?api=1&amp;query=" &amp; A3140 &amp; "," &amp; B3140</f>
        <v>https://www.google.com/maps/search/?api=1&amp;query=-30.90409117687330,-55.54785463513230</v>
      </c>
      <c r="G3140" s="25" t="str">
        <f t="array" ref="G3140">"https://earth.google.com/web/search/" &amp; A3140 &amp; "," &amp; B3140</f>
        <v>https://earth.google.com/web/search/-30.90409117687330,-55.54785463513230</v>
      </c>
      <c r="H3140" s="12"/>
      <c r="I3140" s="12"/>
      <c r="J3140" s="12"/>
      <c r="K3140" s="12"/>
      <c r="L3140" s="12"/>
      <c r="M3140" s="12"/>
      <c r="N3140" s="12"/>
      <c r="O3140" s="12"/>
      <c r="P3140" s="12"/>
      <c r="Q3140" s="12"/>
      <c r="R3140" s="12"/>
      <c r="S3140" s="12"/>
      <c r="T3140" s="12"/>
      <c r="U3140" s="12"/>
      <c r="V3140" s="12"/>
      <c r="W3140" s="12"/>
      <c r="X3140" s="12"/>
      <c r="Y3140" s="12"/>
      <c r="Z3140" s="12"/>
      <c r="AA3140" s="12"/>
    </row>
    <row r="3141" ht="26.25" customHeight="1">
      <c r="A3141" s="28" t="s">
        <v>6292</v>
      </c>
      <c r="B3141" s="29" t="s">
        <v>6293</v>
      </c>
      <c r="C3141" s="30">
        <v>3.0</v>
      </c>
      <c r="D3141" s="31">
        <v>370.0</v>
      </c>
      <c r="E3141" s="31">
        <v>3.0</v>
      </c>
      <c r="F3141" s="32" t="str">
        <f t="array" ref="F3141">"https://www.google.com/maps/search/?api=1&amp;query=" &amp; A3141 &amp; "," &amp; B3141</f>
        <v>https://www.google.com/maps/search/?api=1&amp;query=-30.90399438180580,-55.54778796113720</v>
      </c>
      <c r="G3141" s="33" t="str">
        <f t="array" ref="G3141">"https://earth.google.com/web/search/" &amp; A3141 &amp; "," &amp; B3141</f>
        <v>https://earth.google.com/web/search/-30.90399438180580,-55.54778796113720</v>
      </c>
      <c r="H3141" s="12"/>
      <c r="I3141" s="12"/>
      <c r="J3141" s="12"/>
      <c r="K3141" s="12"/>
      <c r="L3141" s="12"/>
      <c r="M3141" s="12"/>
      <c r="N3141" s="12"/>
      <c r="O3141" s="12"/>
      <c r="P3141" s="12"/>
      <c r="Q3141" s="12"/>
      <c r="R3141" s="12"/>
      <c r="S3141" s="12"/>
      <c r="T3141" s="12"/>
      <c r="U3141" s="12"/>
      <c r="V3141" s="12"/>
      <c r="W3141" s="12"/>
      <c r="X3141" s="12"/>
      <c r="Y3141" s="12"/>
      <c r="Z3141" s="12"/>
      <c r="AA3141" s="12"/>
    </row>
    <row r="3142" ht="26.25" customHeight="1">
      <c r="A3142" s="34" t="s">
        <v>6294</v>
      </c>
      <c r="B3142" s="35" t="s">
        <v>6295</v>
      </c>
      <c r="C3142" s="36">
        <v>3.0</v>
      </c>
      <c r="D3142" s="37">
        <v>370.0</v>
      </c>
      <c r="E3142" s="37">
        <v>4.0</v>
      </c>
      <c r="F3142" s="24" t="str">
        <f t="array" ref="F3142">"https://www.google.com/maps/search/?api=1&amp;query=" &amp; A3142 &amp; "," &amp; B3142</f>
        <v>https://www.google.com/maps/search/?api=1&amp;query=-3.09037733322199,-55.54761995223320</v>
      </c>
      <c r="G3142" s="25" t="str">
        <f t="array" ref="G3142">"https://earth.google.com/web/search/" &amp; A3142 &amp; "," &amp; B3142</f>
        <v>https://earth.google.com/web/search/-3.09037733322199,-55.54761995223320</v>
      </c>
      <c r="H3142" s="12"/>
      <c r="I3142" s="12"/>
      <c r="J3142" s="12"/>
      <c r="K3142" s="12"/>
      <c r="L3142" s="12"/>
      <c r="M3142" s="12"/>
      <c r="N3142" s="12"/>
      <c r="O3142" s="12"/>
      <c r="P3142" s="12"/>
      <c r="Q3142" s="12"/>
      <c r="R3142" s="12"/>
      <c r="S3142" s="12"/>
      <c r="T3142" s="12"/>
      <c r="U3142" s="12"/>
      <c r="V3142" s="12"/>
      <c r="W3142" s="12"/>
      <c r="X3142" s="12"/>
      <c r="Y3142" s="12"/>
      <c r="Z3142" s="12"/>
      <c r="AA3142" s="12"/>
    </row>
    <row r="3143" ht="26.25" customHeight="1">
      <c r="A3143" s="28" t="s">
        <v>6296</v>
      </c>
      <c r="B3143" s="29" t="s">
        <v>6297</v>
      </c>
      <c r="C3143" s="30">
        <v>3.0</v>
      </c>
      <c r="D3143" s="31">
        <v>370.0</v>
      </c>
      <c r="E3143" s="31">
        <v>6.0</v>
      </c>
      <c r="F3143" s="32" t="str">
        <f t="array" ref="F3143">"https://www.google.com/maps/search/?api=1&amp;query=" &amp; A3143 &amp; "," &amp; B3143</f>
        <v>https://www.google.com/maps/search/?api=1&amp;query=-30.90446335954460,-55.54744676332840</v>
      </c>
      <c r="G3143" s="33" t="str">
        <f t="array" ref="G3143">"https://earth.google.com/web/search/" &amp; A3143 &amp; "," &amp; B3143</f>
        <v>https://earth.google.com/web/search/-30.90446335954460,-55.54744676332840</v>
      </c>
      <c r="H3143" s="12"/>
      <c r="I3143" s="12"/>
      <c r="J3143" s="12"/>
      <c r="K3143" s="12"/>
      <c r="L3143" s="12"/>
      <c r="M3143" s="12"/>
      <c r="N3143" s="12"/>
      <c r="O3143" s="12"/>
      <c r="P3143" s="12"/>
      <c r="Q3143" s="12"/>
      <c r="R3143" s="12"/>
      <c r="S3143" s="12"/>
      <c r="T3143" s="12"/>
      <c r="U3143" s="12"/>
      <c r="V3143" s="12"/>
      <c r="W3143" s="12"/>
      <c r="X3143" s="12"/>
      <c r="Y3143" s="12"/>
      <c r="Z3143" s="12"/>
      <c r="AA3143" s="12"/>
    </row>
    <row r="3144" ht="26.25" customHeight="1">
      <c r="A3144" s="34" t="s">
        <v>6298</v>
      </c>
      <c r="B3144" s="35" t="s">
        <v>6299</v>
      </c>
      <c r="C3144" s="36">
        <v>3.0</v>
      </c>
      <c r="D3144" s="37">
        <v>370.0</v>
      </c>
      <c r="E3144" s="37">
        <v>7.0</v>
      </c>
      <c r="F3144" s="24" t="str">
        <f t="array" ref="F3144">"https://www.google.com/maps/search/?api=1&amp;query=" &amp; A3144 &amp; "," &amp; B3144</f>
        <v>https://www.google.com/maps/search/?api=1&amp;query=-30.90439190336690,-55.54758152226530</v>
      </c>
      <c r="G3144" s="25" t="str">
        <f t="array" ref="G3144">"https://earth.google.com/web/search/" &amp; A3144 &amp; "," &amp; B3144</f>
        <v>https://earth.google.com/web/search/-30.90439190336690,-55.54758152226530</v>
      </c>
      <c r="H3144" s="12"/>
      <c r="I3144" s="12"/>
      <c r="J3144" s="12"/>
      <c r="K3144" s="12"/>
      <c r="L3144" s="12"/>
      <c r="M3144" s="12"/>
      <c r="N3144" s="12"/>
      <c r="O3144" s="12"/>
      <c r="P3144" s="12"/>
      <c r="Q3144" s="12"/>
      <c r="R3144" s="12"/>
      <c r="S3144" s="12"/>
      <c r="T3144" s="12"/>
      <c r="U3144" s="12"/>
      <c r="V3144" s="12"/>
      <c r="W3144" s="12"/>
      <c r="X3144" s="12"/>
      <c r="Y3144" s="12"/>
      <c r="Z3144" s="12"/>
      <c r="AA3144" s="12"/>
    </row>
    <row r="3145" ht="26.25" customHeight="1">
      <c r="A3145" s="28" t="s">
        <v>6300</v>
      </c>
      <c r="B3145" s="29" t="s">
        <v>6301</v>
      </c>
      <c r="C3145" s="30">
        <v>3.0</v>
      </c>
      <c r="D3145" s="31">
        <v>370.0</v>
      </c>
      <c r="E3145" s="31">
        <v>8.0</v>
      </c>
      <c r="F3145" s="32" t="str">
        <f t="array" ref="F3145">"https://www.google.com/maps/search/?api=1&amp;query=" &amp; A3145 &amp; "," &amp; B3145</f>
        <v>https://www.google.com/maps/search/?api=1&amp;query=-30.90434434560160,-55.54773331007630</v>
      </c>
      <c r="G3145" s="33" t="str">
        <f t="array" ref="G3145">"https://earth.google.com/web/search/" &amp; A3145 &amp; "," &amp; B3145</f>
        <v>https://earth.google.com/web/search/-30.90434434560160,-55.54773331007630</v>
      </c>
      <c r="H3145" s="12"/>
      <c r="I3145" s="12"/>
      <c r="J3145" s="12"/>
      <c r="K3145" s="12"/>
      <c r="L3145" s="12"/>
      <c r="M3145" s="12"/>
      <c r="N3145" s="12"/>
      <c r="O3145" s="12"/>
      <c r="P3145" s="12"/>
      <c r="Q3145" s="12"/>
      <c r="R3145" s="12"/>
      <c r="S3145" s="12"/>
      <c r="T3145" s="12"/>
      <c r="U3145" s="12"/>
      <c r="V3145" s="12"/>
      <c r="W3145" s="12"/>
      <c r="X3145" s="12"/>
      <c r="Y3145" s="12"/>
      <c r="Z3145" s="12"/>
      <c r="AA3145" s="12"/>
    </row>
    <row r="3146" ht="26.25" customHeight="1">
      <c r="A3146" s="34" t="s">
        <v>6302</v>
      </c>
      <c r="B3146" s="35" t="s">
        <v>6303</v>
      </c>
      <c r="C3146" s="36">
        <v>3.0</v>
      </c>
      <c r="D3146" s="37">
        <v>370.0</v>
      </c>
      <c r="E3146" s="37">
        <v>9.0</v>
      </c>
      <c r="F3146" s="24" t="str">
        <f t="array" ref="F3146">"https://www.google.com/maps/search/?api=1&amp;query=" &amp; A3146 &amp; "," &amp; B3146</f>
        <v>https://www.google.com/maps/search/?api=1&amp;query=-30.90431202329490,-55.54779159154560</v>
      </c>
      <c r="G3146" s="25" t="str">
        <f t="array" ref="G3146">"https://earth.google.com/web/search/" &amp; A3146 &amp; "," &amp; B3146</f>
        <v>https://earth.google.com/web/search/-30.90431202329490,-55.54779159154560</v>
      </c>
      <c r="H3146" s="12"/>
      <c r="I3146" s="12"/>
      <c r="J3146" s="12"/>
      <c r="K3146" s="12"/>
      <c r="L3146" s="12"/>
      <c r="M3146" s="12"/>
      <c r="N3146" s="12"/>
      <c r="O3146" s="12"/>
      <c r="P3146" s="12"/>
      <c r="Q3146" s="12"/>
      <c r="R3146" s="12"/>
      <c r="S3146" s="12"/>
      <c r="T3146" s="12"/>
      <c r="U3146" s="12"/>
      <c r="V3146" s="12"/>
      <c r="W3146" s="12"/>
      <c r="X3146" s="12"/>
      <c r="Y3146" s="12"/>
      <c r="Z3146" s="12"/>
      <c r="AA3146" s="12"/>
    </row>
    <row r="3147" ht="26.25" customHeight="1">
      <c r="A3147" s="28" t="s">
        <v>6304</v>
      </c>
      <c r="B3147" s="29" t="s">
        <v>6305</v>
      </c>
      <c r="C3147" s="30">
        <v>3.0</v>
      </c>
      <c r="D3147" s="31">
        <v>370.0</v>
      </c>
      <c r="E3147" s="31">
        <v>10.0</v>
      </c>
      <c r="F3147" s="32" t="str">
        <f t="array" ref="F3147">"https://www.google.com/maps/search/?api=1&amp;query=" &amp; A3147 &amp; "," &amp; B3147</f>
        <v>https://www.google.com/maps/search/?api=1&amp;query=-30.90427276528540,-55.54786477053910</v>
      </c>
      <c r="G3147" s="33" t="str">
        <f t="array" ref="G3147">"https://earth.google.com/web/search/" &amp; A3147 &amp; "," &amp; B3147</f>
        <v>https://earth.google.com/web/search/-30.90427276528540,-55.54786477053910</v>
      </c>
      <c r="H3147" s="12"/>
      <c r="I3147" s="12"/>
      <c r="J3147" s="12"/>
      <c r="K3147" s="12"/>
      <c r="L3147" s="12"/>
      <c r="M3147" s="12"/>
      <c r="N3147" s="12"/>
      <c r="O3147" s="12"/>
      <c r="P3147" s="12"/>
      <c r="Q3147" s="12"/>
      <c r="R3147" s="12"/>
      <c r="S3147" s="12"/>
      <c r="T3147" s="12"/>
      <c r="U3147" s="12"/>
      <c r="V3147" s="12"/>
      <c r="W3147" s="12"/>
      <c r="X3147" s="12"/>
      <c r="Y3147" s="12"/>
      <c r="Z3147" s="12"/>
      <c r="AA3147" s="12"/>
    </row>
    <row r="3148" ht="26.25" customHeight="1">
      <c r="A3148" s="34" t="s">
        <v>6306</v>
      </c>
      <c r="B3148" s="35" t="s">
        <v>6307</v>
      </c>
      <c r="C3148" s="36">
        <v>3.0</v>
      </c>
      <c r="D3148" s="37">
        <v>387.0</v>
      </c>
      <c r="E3148" s="37">
        <v>3.0</v>
      </c>
      <c r="F3148" s="24" t="str">
        <f t="array" ref="F3148">"https://www.google.com/maps/search/?api=1&amp;query=" &amp; A3148 &amp; "," &amp; B3148</f>
        <v>https://www.google.com/maps/search/?api=1&amp;query=-30.90491347280810,-5.55472751715795</v>
      </c>
      <c r="G3148" s="25" t="str">
        <f t="array" ref="G3148">"https://earth.google.com/web/search/" &amp; A3148 &amp; "," &amp; B3148</f>
        <v>https://earth.google.com/web/search/-30.90491347280810,-5.55472751715795</v>
      </c>
      <c r="H3148" s="12"/>
      <c r="I3148" s="12"/>
      <c r="J3148" s="12"/>
      <c r="K3148" s="12"/>
      <c r="L3148" s="12"/>
      <c r="M3148" s="12"/>
      <c r="N3148" s="12"/>
      <c r="O3148" s="12"/>
      <c r="P3148" s="12"/>
      <c r="Q3148" s="12"/>
      <c r="R3148" s="12"/>
      <c r="S3148" s="12"/>
      <c r="T3148" s="12"/>
      <c r="U3148" s="12"/>
      <c r="V3148" s="12"/>
      <c r="W3148" s="12"/>
      <c r="X3148" s="12"/>
      <c r="Y3148" s="12"/>
      <c r="Z3148" s="12"/>
      <c r="AA3148" s="12"/>
    </row>
    <row r="3149" ht="26.25" customHeight="1">
      <c r="A3149" s="28" t="s">
        <v>6308</v>
      </c>
      <c r="B3149" s="29" t="s">
        <v>6309</v>
      </c>
      <c r="C3149" s="30">
        <v>3.0</v>
      </c>
      <c r="D3149" s="31">
        <v>387.0</v>
      </c>
      <c r="E3149" s="31">
        <v>1.0</v>
      </c>
      <c r="F3149" s="32" t="str">
        <f t="array" ref="F3149">"https://www.google.com/maps/search/?api=1&amp;query=" &amp; A3149 &amp; "," &amp; B3149</f>
        <v>https://www.google.com/maps/search/?api=1&amp;query=-30.90491977447770,-5.55484258155636</v>
      </c>
      <c r="G3149" s="33" t="str">
        <f t="array" ref="G3149">"https://earth.google.com/web/search/" &amp; A3149 &amp; "," &amp; B3149</f>
        <v>https://earth.google.com/web/search/-30.90491977447770,-5.55484258155636</v>
      </c>
      <c r="H3149" s="12"/>
      <c r="I3149" s="12"/>
      <c r="J3149" s="12"/>
      <c r="K3149" s="12"/>
      <c r="L3149" s="12"/>
      <c r="M3149" s="12"/>
      <c r="N3149" s="12"/>
      <c r="O3149" s="12"/>
      <c r="P3149" s="12"/>
      <c r="Q3149" s="12"/>
      <c r="R3149" s="12"/>
      <c r="S3149" s="12"/>
      <c r="T3149" s="12"/>
      <c r="U3149" s="12"/>
      <c r="V3149" s="12"/>
      <c r="W3149" s="12"/>
      <c r="X3149" s="12"/>
      <c r="Y3149" s="12"/>
      <c r="Z3149" s="12"/>
      <c r="AA3149" s="12"/>
    </row>
    <row r="3150" ht="26.25" customHeight="1">
      <c r="A3150" s="34" t="s">
        <v>6310</v>
      </c>
      <c r="B3150" s="35" t="s">
        <v>6311</v>
      </c>
      <c r="C3150" s="36">
        <v>3.0</v>
      </c>
      <c r="D3150" s="37">
        <v>387.0</v>
      </c>
      <c r="E3150" s="37">
        <v>2.0</v>
      </c>
      <c r="F3150" s="24" t="str">
        <f t="array" ref="F3150">"https://www.google.com/maps/search/?api=1&amp;query=" &amp; A3150 &amp; "," &amp; B3150</f>
        <v>https://www.google.com/maps/search/?api=1&amp;query=-3.09047493729431,-55.54832779980180</v>
      </c>
      <c r="G3150" s="25" t="str">
        <f t="array" ref="G3150">"https://earth.google.com/web/search/" &amp; A3150 &amp; "," &amp; B3150</f>
        <v>https://earth.google.com/web/search/-3.09047493729431,-55.54832779980180</v>
      </c>
      <c r="H3150" s="12"/>
      <c r="I3150" s="12"/>
      <c r="J3150" s="12"/>
      <c r="K3150" s="12"/>
      <c r="L3150" s="12"/>
      <c r="M3150" s="12"/>
      <c r="N3150" s="12"/>
      <c r="O3150" s="12"/>
      <c r="P3150" s="12"/>
      <c r="Q3150" s="12"/>
      <c r="R3150" s="12"/>
      <c r="S3150" s="12"/>
      <c r="T3150" s="12"/>
      <c r="U3150" s="12"/>
      <c r="V3150" s="12"/>
      <c r="W3150" s="12"/>
      <c r="X3150" s="12"/>
      <c r="Y3150" s="12"/>
      <c r="Z3150" s="12"/>
      <c r="AA3150" s="12"/>
    </row>
    <row r="3151" ht="26.25" customHeight="1">
      <c r="A3151" s="28" t="s">
        <v>6312</v>
      </c>
      <c r="B3151" s="29" t="s">
        <v>6313</v>
      </c>
      <c r="C3151" s="30">
        <v>3.0</v>
      </c>
      <c r="D3151" s="31">
        <v>387.0</v>
      </c>
      <c r="E3151" s="31">
        <v>4.0</v>
      </c>
      <c r="F3151" s="32" t="str">
        <f t="array" ref="F3151">"https://www.google.com/maps/search/?api=1&amp;query=" &amp; A3151 &amp; "," &amp; B3151</f>
        <v>https://www.google.com/maps/search/?api=1&amp;query=-30.90529901388400,-55.54801288298150</v>
      </c>
      <c r="G3151" s="33" t="str">
        <f t="array" ref="G3151">"https://earth.google.com/web/search/" &amp; A3151 &amp; "," &amp; B3151</f>
        <v>https://earth.google.com/web/search/-30.90529901388400,-55.54801288298150</v>
      </c>
      <c r="H3151" s="12"/>
      <c r="I3151" s="12"/>
      <c r="J3151" s="12"/>
      <c r="K3151" s="12"/>
      <c r="L3151" s="12"/>
      <c r="M3151" s="12"/>
      <c r="N3151" s="12"/>
      <c r="O3151" s="12"/>
      <c r="P3151" s="12"/>
      <c r="Q3151" s="12"/>
      <c r="R3151" s="12"/>
      <c r="S3151" s="12"/>
      <c r="T3151" s="12"/>
      <c r="U3151" s="12"/>
      <c r="V3151" s="12"/>
      <c r="W3151" s="12"/>
      <c r="X3151" s="12"/>
      <c r="Y3151" s="12"/>
      <c r="Z3151" s="12"/>
      <c r="AA3151" s="12"/>
    </row>
    <row r="3152" ht="26.25" customHeight="1">
      <c r="A3152" s="34" t="s">
        <v>6314</v>
      </c>
      <c r="B3152" s="35" t="s">
        <v>6315</v>
      </c>
      <c r="C3152" s="36">
        <v>3.0</v>
      </c>
      <c r="D3152" s="37">
        <v>387.0</v>
      </c>
      <c r="E3152" s="37">
        <v>5.0</v>
      </c>
      <c r="F3152" s="24" t="str">
        <f t="array" ref="F3152">"https://www.google.com/maps/search/?api=1&amp;query=" &amp; A3152 &amp; "," &amp; B3152</f>
        <v>https://www.google.com/maps/search/?api=1&amp;query=-3.09051801417793,-55.54815863635010</v>
      </c>
      <c r="G3152" s="25" t="str">
        <f t="array" ref="G3152">"https://earth.google.com/web/search/" &amp; A3152 &amp; "," &amp; B3152</f>
        <v>https://earth.google.com/web/search/-3.09051801417793,-55.54815863635010</v>
      </c>
      <c r="H3152" s="12"/>
      <c r="I3152" s="12"/>
      <c r="J3152" s="12"/>
      <c r="K3152" s="12"/>
      <c r="L3152" s="12"/>
      <c r="M3152" s="12"/>
      <c r="N3152" s="12"/>
      <c r="O3152" s="12"/>
      <c r="P3152" s="12"/>
      <c r="Q3152" s="12"/>
      <c r="R3152" s="12"/>
      <c r="S3152" s="12"/>
      <c r="T3152" s="12"/>
      <c r="U3152" s="12"/>
      <c r="V3152" s="12"/>
      <c r="W3152" s="12"/>
      <c r="X3152" s="12"/>
      <c r="Y3152" s="12"/>
      <c r="Z3152" s="12"/>
      <c r="AA3152" s="12"/>
    </row>
    <row r="3153" ht="26.25" customHeight="1">
      <c r="A3153" s="28" t="s">
        <v>6316</v>
      </c>
      <c r="B3153" s="29" t="s">
        <v>6317</v>
      </c>
      <c r="C3153" s="30">
        <v>3.0</v>
      </c>
      <c r="D3153" s="31">
        <v>387.0</v>
      </c>
      <c r="E3153" s="31">
        <v>6.0</v>
      </c>
      <c r="F3153" s="32" t="str">
        <f t="array" ref="F3153">"https://www.google.com/maps/search/?api=1&amp;query=" &amp; A3153 &amp; "," &amp; B3153</f>
        <v>https://www.google.com/maps/search/?api=1&amp;query=-30.90507254345570,-55.54837858103210</v>
      </c>
      <c r="G3153" s="33" t="str">
        <f t="array" ref="G3153">"https://earth.google.com/web/search/" &amp; A3153 &amp; "," &amp; B3153</f>
        <v>https://earth.google.com/web/search/-30.90507254345570,-55.54837858103210</v>
      </c>
      <c r="H3153" s="12"/>
      <c r="I3153" s="12"/>
      <c r="J3153" s="12"/>
      <c r="K3153" s="12"/>
      <c r="L3153" s="12"/>
      <c r="M3153" s="12"/>
      <c r="N3153" s="12"/>
      <c r="O3153" s="12"/>
      <c r="P3153" s="12"/>
      <c r="Q3153" s="12"/>
      <c r="R3153" s="12"/>
      <c r="S3153" s="12"/>
      <c r="T3153" s="12"/>
      <c r="U3153" s="12"/>
      <c r="V3153" s="12"/>
      <c r="W3153" s="12"/>
      <c r="X3153" s="12"/>
      <c r="Y3153" s="12"/>
      <c r="Z3153" s="12"/>
      <c r="AA3153" s="12"/>
    </row>
    <row r="3154" ht="26.25" customHeight="1">
      <c r="A3154" s="34" t="s">
        <v>6318</v>
      </c>
      <c r="B3154" s="35" t="s">
        <v>6319</v>
      </c>
      <c r="C3154" s="36">
        <v>3.0</v>
      </c>
      <c r="D3154" s="37">
        <v>388.0</v>
      </c>
      <c r="E3154" s="37">
        <v>1.0</v>
      </c>
      <c r="F3154" s="24" t="str">
        <f t="array" ref="F3154">"https://www.google.com/maps/search/?api=1&amp;query=" &amp; A3154 &amp; "," &amp; B3154</f>
        <v>https://www.google.com/maps/search/?api=1&amp;query=-30.90457476203510,-55.54829534305920</v>
      </c>
      <c r="G3154" s="25" t="str">
        <f t="array" ref="G3154">"https://earth.google.com/web/search/" &amp; A3154 &amp; "," &amp; B3154</f>
        <v>https://earth.google.com/web/search/-30.90457476203510,-55.54829534305920</v>
      </c>
      <c r="H3154" s="12"/>
      <c r="I3154" s="12"/>
      <c r="J3154" s="12"/>
      <c r="K3154" s="12"/>
      <c r="L3154" s="12"/>
      <c r="M3154" s="12"/>
      <c r="N3154" s="12"/>
      <c r="O3154" s="12"/>
      <c r="P3154" s="12"/>
      <c r="Q3154" s="12"/>
      <c r="R3154" s="12"/>
      <c r="S3154" s="12"/>
      <c r="T3154" s="12"/>
      <c r="U3154" s="12"/>
      <c r="V3154" s="12"/>
      <c r="W3154" s="12"/>
      <c r="X3154" s="12"/>
      <c r="Y3154" s="12"/>
      <c r="Z3154" s="12"/>
      <c r="AA3154" s="12"/>
    </row>
    <row r="3155" ht="26.25" customHeight="1">
      <c r="A3155" s="28" t="s">
        <v>6320</v>
      </c>
      <c r="B3155" s="29" t="s">
        <v>6321</v>
      </c>
      <c r="C3155" s="30">
        <v>3.0</v>
      </c>
      <c r="D3155" s="31">
        <v>388.0</v>
      </c>
      <c r="E3155" s="31">
        <v>2.0</v>
      </c>
      <c r="F3155" s="32" t="str">
        <f t="array" ref="F3155">"https://www.google.com/maps/search/?api=1&amp;query=" &amp; A3155 &amp; "," &amp; B3155</f>
        <v>https://www.google.com/maps/search/?api=1&amp;query=-30.90414181447060,-55.54834091965570</v>
      </c>
      <c r="G3155" s="33" t="str">
        <f t="array" ref="G3155">"https://earth.google.com/web/search/" &amp; A3155 &amp; "," &amp; B3155</f>
        <v>https://earth.google.com/web/search/-30.90414181447060,-55.54834091965570</v>
      </c>
      <c r="H3155" s="12"/>
      <c r="I3155" s="12"/>
      <c r="J3155" s="12"/>
      <c r="K3155" s="12"/>
      <c r="L3155" s="12"/>
      <c r="M3155" s="12"/>
      <c r="N3155" s="12"/>
      <c r="O3155" s="12"/>
      <c r="P3155" s="12"/>
      <c r="Q3155" s="12"/>
      <c r="R3155" s="12"/>
      <c r="S3155" s="12"/>
      <c r="T3155" s="12"/>
      <c r="U3155" s="12"/>
      <c r="V3155" s="12"/>
      <c r="W3155" s="12"/>
      <c r="X3155" s="12"/>
      <c r="Y3155" s="12"/>
      <c r="Z3155" s="12"/>
      <c r="AA3155" s="12"/>
    </row>
    <row r="3156" ht="26.25" customHeight="1">
      <c r="A3156" s="34" t="s">
        <v>6322</v>
      </c>
      <c r="B3156" s="35" t="s">
        <v>6323</v>
      </c>
      <c r="C3156" s="36">
        <v>3.0</v>
      </c>
      <c r="D3156" s="37">
        <v>388.0</v>
      </c>
      <c r="E3156" s="37">
        <v>3.0</v>
      </c>
      <c r="F3156" s="24" t="str">
        <f t="array" ref="F3156">"https://www.google.com/maps/search/?api=1&amp;query=" &amp; A3156 &amp; "," &amp; B3156</f>
        <v>https://www.google.com/maps/search/?api=1&amp;query=-30.90406343881150,-55.54847326744310</v>
      </c>
      <c r="G3156" s="25" t="str">
        <f t="array" ref="G3156">"https://earth.google.com/web/search/" &amp; A3156 &amp; "," &amp; B3156</f>
        <v>https://earth.google.com/web/search/-30.90406343881150,-55.54847326744310</v>
      </c>
      <c r="H3156" s="12"/>
      <c r="I3156" s="12"/>
      <c r="J3156" s="12"/>
      <c r="K3156" s="12"/>
      <c r="L3156" s="12"/>
      <c r="M3156" s="12"/>
      <c r="N3156" s="12"/>
      <c r="O3156" s="12"/>
      <c r="P3156" s="12"/>
      <c r="Q3156" s="12"/>
      <c r="R3156" s="12"/>
      <c r="S3156" s="12"/>
      <c r="T3156" s="12"/>
      <c r="U3156" s="12"/>
      <c r="V3156" s="12"/>
      <c r="W3156" s="12"/>
      <c r="X3156" s="12"/>
      <c r="Y3156" s="12"/>
      <c r="Z3156" s="12"/>
      <c r="AA3156" s="12"/>
    </row>
    <row r="3157" ht="26.25" customHeight="1">
      <c r="A3157" s="28" t="s">
        <v>6324</v>
      </c>
      <c r="B3157" s="29" t="s">
        <v>6325</v>
      </c>
      <c r="C3157" s="30">
        <v>3.0</v>
      </c>
      <c r="D3157" s="31">
        <v>388.0</v>
      </c>
      <c r="E3157" s="31">
        <v>4.0</v>
      </c>
      <c r="F3157" s="32" t="str">
        <f t="array" ref="F3157">"https://www.google.com/maps/search/?api=1&amp;query=" &amp; A3157 &amp; "," &amp; B3157</f>
        <v>https://www.google.com/maps/search/?api=1&amp;query=-30.90400304195200,-55.54861012598410</v>
      </c>
      <c r="G3157" s="33" t="str">
        <f t="array" ref="G3157">"https://earth.google.com/web/search/" &amp; A3157 &amp; "," &amp; B3157</f>
        <v>https://earth.google.com/web/search/-30.90400304195200,-55.54861012598410</v>
      </c>
      <c r="H3157" s="12"/>
      <c r="I3157" s="12"/>
      <c r="J3157" s="12"/>
      <c r="K3157" s="12"/>
      <c r="L3157" s="12"/>
      <c r="M3157" s="12"/>
      <c r="N3157" s="12"/>
      <c r="O3157" s="12"/>
      <c r="P3157" s="12"/>
      <c r="Q3157" s="12"/>
      <c r="R3157" s="12"/>
      <c r="S3157" s="12"/>
      <c r="T3157" s="12"/>
      <c r="U3157" s="12"/>
      <c r="V3157" s="12"/>
      <c r="W3157" s="12"/>
      <c r="X3157" s="12"/>
      <c r="Y3157" s="12"/>
      <c r="Z3157" s="12"/>
      <c r="AA3157" s="12"/>
    </row>
    <row r="3158" ht="26.25" customHeight="1">
      <c r="A3158" s="34" t="s">
        <v>6326</v>
      </c>
      <c r="B3158" s="35" t="s">
        <v>6327</v>
      </c>
      <c r="C3158" s="36">
        <v>3.0</v>
      </c>
      <c r="D3158" s="37">
        <v>388.0</v>
      </c>
      <c r="E3158" s="37">
        <v>5.0</v>
      </c>
      <c r="F3158" s="24" t="str">
        <f t="array" ref="F3158">"https://www.google.com/maps/search/?api=1&amp;query=" &amp; A3158 &amp; "," &amp; B3158</f>
        <v>https://www.google.com/maps/search/?api=1&amp;query=-30.90395653342520,-55.54867519363860</v>
      </c>
      <c r="G3158" s="25" t="str">
        <f t="array" ref="G3158">"https://earth.google.com/web/search/" &amp; A3158 &amp; "," &amp; B3158</f>
        <v>https://earth.google.com/web/search/-30.90395653342520,-55.54867519363860</v>
      </c>
      <c r="H3158" s="12"/>
      <c r="I3158" s="12"/>
      <c r="J3158" s="12"/>
      <c r="K3158" s="12"/>
      <c r="L3158" s="12"/>
      <c r="M3158" s="12"/>
      <c r="N3158" s="12"/>
      <c r="O3158" s="12"/>
      <c r="P3158" s="12"/>
      <c r="Q3158" s="12"/>
      <c r="R3158" s="12"/>
      <c r="S3158" s="12"/>
      <c r="T3158" s="12"/>
      <c r="U3158" s="12"/>
      <c r="V3158" s="12"/>
      <c r="W3158" s="12"/>
      <c r="X3158" s="12"/>
      <c r="Y3158" s="12"/>
      <c r="Z3158" s="12"/>
      <c r="AA3158" s="12"/>
    </row>
    <row r="3159" ht="26.25" customHeight="1">
      <c r="A3159" s="28" t="s">
        <v>6328</v>
      </c>
      <c r="B3159" s="29" t="s">
        <v>6329</v>
      </c>
      <c r="C3159" s="30">
        <v>3.0</v>
      </c>
      <c r="D3159" s="31">
        <v>388.0</v>
      </c>
      <c r="E3159" s="31">
        <v>6.0</v>
      </c>
      <c r="F3159" s="32" t="str">
        <f t="array" ref="F3159">"https://www.google.com/maps/search/?api=1&amp;query=" &amp; A3159 &amp; "," &amp; B3159</f>
        <v>https://www.google.com/maps/search/?api=1&amp;query=-30.90391351218300,-55.54876890773990</v>
      </c>
      <c r="G3159" s="33" t="str">
        <f t="array" ref="G3159">"https://earth.google.com/web/search/" &amp; A3159 &amp; "," &amp; B3159</f>
        <v>https://earth.google.com/web/search/-30.90391351218300,-55.54876890773990</v>
      </c>
      <c r="H3159" s="12"/>
      <c r="I3159" s="12"/>
      <c r="J3159" s="12"/>
      <c r="K3159" s="12"/>
      <c r="L3159" s="12"/>
      <c r="M3159" s="12"/>
      <c r="N3159" s="12"/>
      <c r="O3159" s="12"/>
      <c r="P3159" s="12"/>
      <c r="Q3159" s="12"/>
      <c r="R3159" s="12"/>
      <c r="S3159" s="12"/>
      <c r="T3159" s="12"/>
      <c r="U3159" s="12"/>
      <c r="V3159" s="12"/>
      <c r="W3159" s="12"/>
      <c r="X3159" s="12"/>
      <c r="Y3159" s="12"/>
      <c r="Z3159" s="12"/>
      <c r="AA3159" s="12"/>
    </row>
    <row r="3160" ht="26.25" customHeight="1">
      <c r="A3160" s="34" t="s">
        <v>6330</v>
      </c>
      <c r="B3160" s="35" t="s">
        <v>6331</v>
      </c>
      <c r="C3160" s="36">
        <v>3.0</v>
      </c>
      <c r="D3160" s="37">
        <v>388.0</v>
      </c>
      <c r="E3160" s="37">
        <v>7.0</v>
      </c>
      <c r="F3160" s="24" t="str">
        <f t="array" ref="F3160">"https://www.google.com/maps/search/?api=1&amp;query=" &amp; A3160 &amp; "," &amp; B3160</f>
        <v>https://www.google.com/maps/search/?api=1&amp;query=-30.90388263107330,-55.54883424224580</v>
      </c>
      <c r="G3160" s="25" t="str">
        <f t="array" ref="G3160">"https://earth.google.com/web/search/" &amp; A3160 &amp; "," &amp; B3160</f>
        <v>https://earth.google.com/web/search/-30.90388263107330,-55.54883424224580</v>
      </c>
      <c r="H3160" s="12"/>
      <c r="I3160" s="12"/>
      <c r="J3160" s="12"/>
      <c r="K3160" s="12"/>
      <c r="L3160" s="12"/>
      <c r="M3160" s="12"/>
      <c r="N3160" s="12"/>
      <c r="O3160" s="12"/>
      <c r="P3160" s="12"/>
      <c r="Q3160" s="12"/>
      <c r="R3160" s="12"/>
      <c r="S3160" s="12"/>
      <c r="T3160" s="12"/>
      <c r="U3160" s="12"/>
      <c r="V3160" s="12"/>
      <c r="W3160" s="12"/>
      <c r="X3160" s="12"/>
      <c r="Y3160" s="12"/>
      <c r="Z3160" s="12"/>
      <c r="AA3160" s="12"/>
    </row>
    <row r="3161" ht="26.25" customHeight="1">
      <c r="A3161" s="28" t="s">
        <v>6332</v>
      </c>
      <c r="B3161" s="29" t="s">
        <v>6333</v>
      </c>
      <c r="C3161" s="30">
        <v>3.0</v>
      </c>
      <c r="D3161" s="31">
        <v>388.0</v>
      </c>
      <c r="E3161" s="31">
        <v>8.0</v>
      </c>
      <c r="F3161" s="32" t="str">
        <f t="array" ref="F3161">"https://www.google.com/maps/search/?api=1&amp;query=" &amp; A3161 &amp; "," &amp; B3161</f>
        <v>https://www.google.com/maps/search/?api=1&amp;query=-30.90392396458480,-55.54897031597380</v>
      </c>
      <c r="G3161" s="33" t="str">
        <f t="array" ref="G3161">"https://earth.google.com/web/search/" &amp; A3161 &amp; "," &amp; B3161</f>
        <v>https://earth.google.com/web/search/-30.90392396458480,-55.54897031597380</v>
      </c>
      <c r="H3161" s="12"/>
      <c r="I3161" s="12"/>
      <c r="J3161" s="12"/>
      <c r="K3161" s="12"/>
      <c r="L3161" s="12"/>
      <c r="M3161" s="12"/>
      <c r="N3161" s="12"/>
      <c r="O3161" s="12"/>
      <c r="P3161" s="12"/>
      <c r="Q3161" s="12"/>
      <c r="R3161" s="12"/>
      <c r="S3161" s="12"/>
      <c r="T3161" s="12"/>
      <c r="U3161" s="12"/>
      <c r="V3161" s="12"/>
      <c r="W3161" s="12"/>
      <c r="X3161" s="12"/>
      <c r="Y3161" s="12"/>
      <c r="Z3161" s="12"/>
      <c r="AA3161" s="12"/>
    </row>
    <row r="3162" ht="26.25" customHeight="1">
      <c r="A3162" s="34" t="s">
        <v>6334</v>
      </c>
      <c r="B3162" s="35" t="s">
        <v>6335</v>
      </c>
      <c r="C3162" s="36">
        <v>3.0</v>
      </c>
      <c r="D3162" s="37">
        <v>388.0</v>
      </c>
      <c r="E3162" s="37">
        <v>9.0</v>
      </c>
      <c r="F3162" s="24" t="str">
        <f t="array" ref="F3162">"https://www.google.com/maps/search/?api=1&amp;query=" &amp; A3162 &amp; "," &amp; B3162</f>
        <v>https://www.google.com/maps/search/?api=1&amp;query=-30.90426387992460,-55.54922808201220</v>
      </c>
      <c r="G3162" s="25" t="str">
        <f t="array" ref="G3162">"https://earth.google.com/web/search/" &amp; A3162 &amp; "," &amp; B3162</f>
        <v>https://earth.google.com/web/search/-30.90426387992460,-55.54922808201220</v>
      </c>
      <c r="H3162" s="12"/>
      <c r="I3162" s="12"/>
      <c r="J3162" s="12"/>
      <c r="K3162" s="12"/>
      <c r="L3162" s="12"/>
      <c r="M3162" s="12"/>
      <c r="N3162" s="12"/>
      <c r="O3162" s="12"/>
      <c r="P3162" s="12"/>
      <c r="Q3162" s="12"/>
      <c r="R3162" s="12"/>
      <c r="S3162" s="12"/>
      <c r="T3162" s="12"/>
      <c r="U3162" s="12"/>
      <c r="V3162" s="12"/>
      <c r="W3162" s="12"/>
      <c r="X3162" s="12"/>
      <c r="Y3162" s="12"/>
      <c r="Z3162" s="12"/>
      <c r="AA3162" s="12"/>
    </row>
    <row r="3163" ht="26.25" customHeight="1">
      <c r="A3163" s="28" t="s">
        <v>6336</v>
      </c>
      <c r="B3163" s="29" t="s">
        <v>6337</v>
      </c>
      <c r="C3163" s="30">
        <v>3.0</v>
      </c>
      <c r="D3163" s="31">
        <v>388.0</v>
      </c>
      <c r="E3163" s="31">
        <v>10.0</v>
      </c>
      <c r="F3163" s="32" t="str">
        <f t="array" ref="F3163">"https://www.google.com/maps/search/?api=1&amp;query=" &amp; A3163 &amp; "," &amp; B3163</f>
        <v>https://www.google.com/maps/search/?api=1&amp;query=-30.90444004169390,-55.54933852991370</v>
      </c>
      <c r="G3163" s="33" t="str">
        <f t="array" ref="G3163">"https://earth.google.com/web/search/" &amp; A3163 &amp; "," &amp; B3163</f>
        <v>https://earth.google.com/web/search/-30.90444004169390,-55.54933852991370</v>
      </c>
      <c r="H3163" s="12"/>
      <c r="I3163" s="12"/>
      <c r="J3163" s="12"/>
      <c r="K3163" s="12"/>
      <c r="L3163" s="12"/>
      <c r="M3163" s="12"/>
      <c r="N3163" s="12"/>
      <c r="O3163" s="12"/>
      <c r="P3163" s="12"/>
      <c r="Q3163" s="12"/>
      <c r="R3163" s="12"/>
      <c r="S3163" s="12"/>
      <c r="T3163" s="12"/>
      <c r="U3163" s="12"/>
      <c r="V3163" s="12"/>
      <c r="W3163" s="12"/>
      <c r="X3163" s="12"/>
      <c r="Y3163" s="12"/>
      <c r="Z3163" s="12"/>
      <c r="AA3163" s="12"/>
    </row>
    <row r="3164" ht="26.25" customHeight="1">
      <c r="A3164" s="34" t="s">
        <v>6338</v>
      </c>
      <c r="B3164" s="35" t="s">
        <v>6339</v>
      </c>
      <c r="C3164" s="36">
        <v>3.0</v>
      </c>
      <c r="D3164" s="37">
        <v>389.0</v>
      </c>
      <c r="E3164" s="37">
        <v>1.0</v>
      </c>
      <c r="F3164" s="24" t="str">
        <f t="array" ref="F3164">"https://www.google.com/maps/search/?api=1&amp;query=" &amp; A3164 &amp; "," &amp; B3164</f>
        <v>https://www.google.com/maps/search/?api=1&amp;query=-30.90424800862920,-55.54994650249400</v>
      </c>
      <c r="G3164" s="25" t="str">
        <f t="array" ref="G3164">"https://earth.google.com/web/search/" &amp; A3164 &amp; "," &amp; B3164</f>
        <v>https://earth.google.com/web/search/-30.90424800862920,-55.54994650249400</v>
      </c>
      <c r="H3164" s="12"/>
      <c r="I3164" s="12"/>
      <c r="J3164" s="12"/>
      <c r="K3164" s="12"/>
      <c r="L3164" s="12"/>
      <c r="M3164" s="12"/>
      <c r="N3164" s="12"/>
      <c r="O3164" s="12"/>
      <c r="P3164" s="12"/>
      <c r="Q3164" s="12"/>
      <c r="R3164" s="12"/>
      <c r="S3164" s="12"/>
      <c r="T3164" s="12"/>
      <c r="U3164" s="12"/>
      <c r="V3164" s="12"/>
      <c r="W3164" s="12"/>
      <c r="X3164" s="12"/>
      <c r="Y3164" s="12"/>
      <c r="Z3164" s="12"/>
      <c r="AA3164" s="12"/>
    </row>
    <row r="3165" ht="26.25" customHeight="1">
      <c r="A3165" s="28" t="s">
        <v>6340</v>
      </c>
      <c r="B3165" s="29" t="s">
        <v>6341</v>
      </c>
      <c r="C3165" s="30">
        <v>3.0</v>
      </c>
      <c r="D3165" s="31">
        <v>389.0</v>
      </c>
      <c r="E3165" s="31">
        <v>2.0</v>
      </c>
      <c r="F3165" s="32" t="str">
        <f t="array" ref="F3165">"https://www.google.com/maps/search/?api=1&amp;query=" &amp; A3165 &amp; "," &amp; B3165</f>
        <v>https://www.google.com/maps/search/?api=1&amp;query=-3.09044139323985,-55.54946714624230</v>
      </c>
      <c r="G3165" s="33" t="str">
        <f t="array" ref="G3165">"https://earth.google.com/web/search/" &amp; A3165 &amp; "," &amp; B3165</f>
        <v>https://earth.google.com/web/search/-3.09044139323985,-55.54946714624230</v>
      </c>
      <c r="H3165" s="12"/>
      <c r="I3165" s="12"/>
      <c r="J3165" s="12"/>
      <c r="K3165" s="12"/>
      <c r="L3165" s="12"/>
      <c r="M3165" s="12"/>
      <c r="N3165" s="12"/>
      <c r="O3165" s="12"/>
      <c r="P3165" s="12"/>
      <c r="Q3165" s="12"/>
      <c r="R3165" s="12"/>
      <c r="S3165" s="12"/>
      <c r="T3165" s="12"/>
      <c r="U3165" s="12"/>
      <c r="V3165" s="12"/>
      <c r="W3165" s="12"/>
      <c r="X3165" s="12"/>
      <c r="Y3165" s="12"/>
      <c r="Z3165" s="12"/>
      <c r="AA3165" s="12"/>
    </row>
    <row r="3166" ht="26.25" customHeight="1">
      <c r="A3166" s="34" t="s">
        <v>6342</v>
      </c>
      <c r="B3166" s="35" t="s">
        <v>6343</v>
      </c>
      <c r="C3166" s="36">
        <v>3.0</v>
      </c>
      <c r="D3166" s="37">
        <v>389.0</v>
      </c>
      <c r="E3166" s="37">
        <v>3.0</v>
      </c>
      <c r="F3166" s="24" t="str">
        <f t="array" ref="F3166">"https://www.google.com/maps/search/?api=1&amp;query=" &amp; A3166 &amp; "," &amp; B3166</f>
        <v>https://www.google.com/maps/search/?api=1&amp;query=-30.90359530751020,-55.54933764517750</v>
      </c>
      <c r="G3166" s="25" t="str">
        <f t="array" ref="G3166">"https://earth.google.com/web/search/" &amp; A3166 &amp; "," &amp; B3166</f>
        <v>https://earth.google.com/web/search/-30.90359530751020,-55.54933764517750</v>
      </c>
      <c r="H3166" s="12"/>
      <c r="I3166" s="12"/>
      <c r="J3166" s="12"/>
      <c r="K3166" s="12"/>
      <c r="L3166" s="12"/>
      <c r="M3166" s="12"/>
      <c r="N3166" s="12"/>
      <c r="O3166" s="12"/>
      <c r="P3166" s="12"/>
      <c r="Q3166" s="12"/>
      <c r="R3166" s="12"/>
      <c r="S3166" s="12"/>
      <c r="T3166" s="12"/>
      <c r="U3166" s="12"/>
      <c r="V3166" s="12"/>
      <c r="W3166" s="12"/>
      <c r="X3166" s="12"/>
      <c r="Y3166" s="12"/>
      <c r="Z3166" s="12"/>
      <c r="AA3166" s="12"/>
    </row>
    <row r="3167" ht="26.25" customHeight="1">
      <c r="A3167" s="28" t="s">
        <v>6344</v>
      </c>
      <c r="B3167" s="29" t="s">
        <v>6345</v>
      </c>
      <c r="C3167" s="30">
        <v>3.0</v>
      </c>
      <c r="D3167" s="31">
        <v>389.0</v>
      </c>
      <c r="E3167" s="31">
        <v>4.0</v>
      </c>
      <c r="F3167" s="32" t="str">
        <f t="array" ref="F3167">"https://www.google.com/maps/search/?api=1&amp;query=" &amp; A3167 &amp; "," &amp; B3167</f>
        <v>https://www.google.com/maps/search/?api=1&amp;query=-30.90345342785590,-5.55496225545523</v>
      </c>
      <c r="G3167" s="33" t="str">
        <f t="array" ref="G3167">"https://earth.google.com/web/search/" &amp; A3167 &amp; "," &amp; B3167</f>
        <v>https://earth.google.com/web/search/-30.90345342785590,-5.55496225545523</v>
      </c>
      <c r="H3167" s="12"/>
      <c r="I3167" s="12"/>
      <c r="J3167" s="12"/>
      <c r="K3167" s="12"/>
      <c r="L3167" s="12"/>
      <c r="M3167" s="12"/>
      <c r="N3167" s="12"/>
      <c r="O3167" s="12"/>
      <c r="P3167" s="12"/>
      <c r="Q3167" s="12"/>
      <c r="R3167" s="12"/>
      <c r="S3167" s="12"/>
      <c r="T3167" s="12"/>
      <c r="U3167" s="12"/>
      <c r="V3167" s="12"/>
      <c r="W3167" s="12"/>
      <c r="X3167" s="12"/>
      <c r="Y3167" s="12"/>
      <c r="Z3167" s="12"/>
      <c r="AA3167" s="12"/>
    </row>
    <row r="3168" ht="26.25" customHeight="1">
      <c r="A3168" s="34" t="s">
        <v>6346</v>
      </c>
      <c r="B3168" s="35" t="s">
        <v>6347</v>
      </c>
      <c r="C3168" s="36">
        <v>3.0</v>
      </c>
      <c r="D3168" s="37">
        <v>389.0</v>
      </c>
      <c r="E3168" s="37">
        <v>5.0</v>
      </c>
      <c r="F3168" s="24" t="str">
        <f t="array" ref="F3168">"https://www.google.com/maps/search/?api=1&amp;query=" &amp; A3168 &amp; "," &amp; B3168</f>
        <v>https://www.google.com/maps/search/?api=1&amp;query=-30.90343753987050,-55.54968072878920</v>
      </c>
      <c r="G3168" s="25" t="str">
        <f t="array" ref="G3168">"https://earth.google.com/web/search/" &amp; A3168 &amp; "," &amp; B3168</f>
        <v>https://earth.google.com/web/search/-30.90343753987050,-55.54968072878920</v>
      </c>
      <c r="H3168" s="12"/>
      <c r="I3168" s="12"/>
      <c r="J3168" s="12"/>
      <c r="K3168" s="12"/>
      <c r="L3168" s="12"/>
      <c r="M3168" s="12"/>
      <c r="N3168" s="12"/>
      <c r="O3168" s="12"/>
      <c r="P3168" s="12"/>
      <c r="Q3168" s="12"/>
      <c r="R3168" s="12"/>
      <c r="S3168" s="12"/>
      <c r="T3168" s="12"/>
      <c r="U3168" s="12"/>
      <c r="V3168" s="12"/>
      <c r="W3168" s="12"/>
      <c r="X3168" s="12"/>
      <c r="Y3168" s="12"/>
      <c r="Z3168" s="12"/>
      <c r="AA3168" s="12"/>
    </row>
    <row r="3169" ht="26.25" customHeight="1">
      <c r="A3169" s="28" t="s">
        <v>6348</v>
      </c>
      <c r="B3169" s="29" t="s">
        <v>6349</v>
      </c>
      <c r="C3169" s="30">
        <v>3.0</v>
      </c>
      <c r="D3169" s="31">
        <v>389.0</v>
      </c>
      <c r="E3169" s="31">
        <v>6.0</v>
      </c>
      <c r="F3169" s="32" t="str">
        <f t="array" ref="F3169">"https://www.google.com/maps/search/?api=1&amp;query=" &amp; A3169 &amp; "," &amp; B3169</f>
        <v>https://www.google.com/maps/search/?api=1&amp;query=-30.90339070821430,-5.55497287071814</v>
      </c>
      <c r="G3169" s="33" t="str">
        <f t="array" ref="G3169">"https://earth.google.com/web/search/" &amp; A3169 &amp; "," &amp; B3169</f>
        <v>https://earth.google.com/web/search/-30.90339070821430,-5.55497287071814</v>
      </c>
      <c r="H3169" s="12"/>
      <c r="I3169" s="12"/>
      <c r="J3169" s="12"/>
      <c r="K3169" s="12"/>
      <c r="L3169" s="12"/>
      <c r="M3169" s="12"/>
      <c r="N3169" s="12"/>
      <c r="O3169" s="12"/>
      <c r="P3169" s="12"/>
      <c r="Q3169" s="12"/>
      <c r="R3169" s="12"/>
      <c r="S3169" s="12"/>
      <c r="T3169" s="12"/>
      <c r="U3169" s="12"/>
      <c r="V3169" s="12"/>
      <c r="W3169" s="12"/>
      <c r="X3169" s="12"/>
      <c r="Y3169" s="12"/>
      <c r="Z3169" s="12"/>
      <c r="AA3169" s="12"/>
    </row>
    <row r="3170" ht="26.25" customHeight="1">
      <c r="A3170" s="34" t="s">
        <v>6350</v>
      </c>
      <c r="B3170" s="35" t="s">
        <v>6351</v>
      </c>
      <c r="C3170" s="36">
        <v>3.0</v>
      </c>
      <c r="D3170" s="37">
        <v>389.0</v>
      </c>
      <c r="E3170" s="37">
        <v>7.0</v>
      </c>
      <c r="F3170" s="24" t="str">
        <f t="array" ref="F3170">"https://www.google.com/maps/search/?api=1&amp;query=" &amp; A3170 &amp; "," &amp; B3170</f>
        <v>https://www.google.com/maps/search/?api=1&amp;query=-30.90342172661920,-55.54984815923630</v>
      </c>
      <c r="G3170" s="25" t="str">
        <f t="array" ref="G3170">"https://earth.google.com/web/search/" &amp; A3170 &amp; "," &amp; B3170</f>
        <v>https://earth.google.com/web/search/-30.90342172661920,-55.54984815923630</v>
      </c>
      <c r="H3170" s="12"/>
      <c r="I3170" s="12"/>
      <c r="J3170" s="12"/>
      <c r="K3170" s="12"/>
      <c r="L3170" s="12"/>
      <c r="M3170" s="12"/>
      <c r="N3170" s="12"/>
      <c r="O3170" s="12"/>
      <c r="P3170" s="12"/>
      <c r="Q3170" s="12"/>
      <c r="R3170" s="12"/>
      <c r="S3170" s="12"/>
      <c r="T3170" s="12"/>
      <c r="U3170" s="12"/>
      <c r="V3170" s="12"/>
      <c r="W3170" s="12"/>
      <c r="X3170" s="12"/>
      <c r="Y3170" s="12"/>
      <c r="Z3170" s="12"/>
      <c r="AA3170" s="12"/>
    </row>
    <row r="3171" ht="26.25" customHeight="1">
      <c r="A3171" s="28" t="s">
        <v>6352</v>
      </c>
      <c r="B3171" s="29" t="s">
        <v>6353</v>
      </c>
      <c r="C3171" s="30">
        <v>3.0</v>
      </c>
      <c r="D3171" s="31">
        <v>389.0</v>
      </c>
      <c r="E3171" s="31">
        <v>8.0</v>
      </c>
      <c r="F3171" s="32" t="str">
        <f t="array" ref="F3171">"https://www.google.com/maps/search/?api=1&amp;query=" &amp; A3171 &amp; "," &amp; B3171</f>
        <v>https://www.google.com/maps/search/?api=1&amp;query=-3.09036849009805,-55.55004005578760</v>
      </c>
      <c r="G3171" s="33" t="str">
        <f t="array" ref="G3171">"https://earth.google.com/web/search/" &amp; A3171 &amp; "," &amp; B3171</f>
        <v>https://earth.google.com/web/search/-3.09036849009805,-55.55004005578760</v>
      </c>
      <c r="H3171" s="12"/>
      <c r="I3171" s="12"/>
      <c r="J3171" s="12"/>
      <c r="K3171" s="12"/>
      <c r="L3171" s="12"/>
      <c r="M3171" s="12"/>
      <c r="N3171" s="12"/>
      <c r="O3171" s="12"/>
      <c r="P3171" s="12"/>
      <c r="Q3171" s="12"/>
      <c r="R3171" s="12"/>
      <c r="S3171" s="12"/>
      <c r="T3171" s="12"/>
      <c r="U3171" s="12"/>
      <c r="V3171" s="12"/>
      <c r="W3171" s="12"/>
      <c r="X3171" s="12"/>
      <c r="Y3171" s="12"/>
      <c r="Z3171" s="12"/>
      <c r="AA3171" s="12"/>
    </row>
    <row r="3172" ht="26.25" customHeight="1">
      <c r="A3172" s="34" t="s">
        <v>6354</v>
      </c>
      <c r="B3172" s="35" t="s">
        <v>6355</v>
      </c>
      <c r="C3172" s="36">
        <v>3.0</v>
      </c>
      <c r="D3172" s="37">
        <v>389.0</v>
      </c>
      <c r="E3172" s="37">
        <v>9.0</v>
      </c>
      <c r="F3172" s="24" t="str">
        <f t="array" ref="F3172">"https://www.google.com/maps/search/?api=1&amp;query=" &amp; A3172 &amp; "," &amp; B3172</f>
        <v>https://www.google.com/maps/search/?api=1&amp;query=-30.90394983046610,-55.55026076220400</v>
      </c>
      <c r="G3172" s="25" t="str">
        <f t="array" ref="G3172">"https://earth.google.com/web/search/" &amp; A3172 &amp; "," &amp; B3172</f>
        <v>https://earth.google.com/web/search/-30.90394983046610,-55.55026076220400</v>
      </c>
      <c r="H3172" s="12"/>
      <c r="I3172" s="12"/>
      <c r="J3172" s="12"/>
      <c r="K3172" s="12"/>
      <c r="L3172" s="12"/>
      <c r="M3172" s="12"/>
      <c r="N3172" s="12"/>
      <c r="O3172" s="12"/>
      <c r="P3172" s="12"/>
      <c r="Q3172" s="12"/>
      <c r="R3172" s="12"/>
      <c r="S3172" s="12"/>
      <c r="T3172" s="12"/>
      <c r="U3172" s="12"/>
      <c r="V3172" s="12"/>
      <c r="W3172" s="12"/>
      <c r="X3172" s="12"/>
      <c r="Y3172" s="12"/>
      <c r="Z3172" s="12"/>
      <c r="AA3172" s="12"/>
    </row>
    <row r="3173" ht="26.25" customHeight="1">
      <c r="A3173" s="28" t="s">
        <v>6356</v>
      </c>
      <c r="B3173" s="29" t="s">
        <v>6357</v>
      </c>
      <c r="C3173" s="30">
        <v>3.0</v>
      </c>
      <c r="D3173" s="31">
        <v>390.0</v>
      </c>
      <c r="E3173" s="31">
        <v>1.0</v>
      </c>
      <c r="F3173" s="32" t="str">
        <f t="array" ref="F3173">"https://www.google.com/maps/search/?api=1&amp;query=" &amp; A3173 &amp; "," &amp; B3173</f>
        <v>https://www.google.com/maps/search/?api=1&amp;query=-30.90365770665800,-55.55108277762430</v>
      </c>
      <c r="G3173" s="33" t="str">
        <f t="array" ref="G3173">"https://earth.google.com/web/search/" &amp; A3173 &amp; "," &amp; B3173</f>
        <v>https://earth.google.com/web/search/-30.90365770665800,-55.55108277762430</v>
      </c>
      <c r="H3173" s="12"/>
      <c r="I3173" s="12"/>
      <c r="J3173" s="12"/>
      <c r="K3173" s="12"/>
      <c r="L3173" s="12"/>
      <c r="M3173" s="12"/>
      <c r="N3173" s="12"/>
      <c r="O3173" s="12"/>
      <c r="P3173" s="12"/>
      <c r="Q3173" s="12"/>
      <c r="R3173" s="12"/>
      <c r="S3173" s="12"/>
      <c r="T3173" s="12"/>
      <c r="U3173" s="12"/>
      <c r="V3173" s="12"/>
      <c r="W3173" s="12"/>
      <c r="X3173" s="12"/>
      <c r="Y3173" s="12"/>
      <c r="Z3173" s="12"/>
      <c r="AA3173" s="12"/>
    </row>
    <row r="3174" ht="26.25" customHeight="1">
      <c r="A3174" s="34" t="s">
        <v>6358</v>
      </c>
      <c r="B3174" s="35" t="s">
        <v>6359</v>
      </c>
      <c r="C3174" s="36">
        <v>3.0</v>
      </c>
      <c r="D3174" s="37">
        <v>390.0</v>
      </c>
      <c r="E3174" s="37">
        <v>2.0</v>
      </c>
      <c r="F3174" s="24" t="str">
        <f t="array" ref="F3174">"https://www.google.com/maps/search/?api=1&amp;query=" &amp; A3174 &amp; "," &amp; B3174</f>
        <v>https://www.google.com/maps/search/?api=1&amp;query=-30.90376195737480,-55.55022755160580</v>
      </c>
      <c r="G3174" s="25" t="str">
        <f t="array" ref="G3174">"https://earth.google.com/web/search/" &amp; A3174 &amp; "," &amp; B3174</f>
        <v>https://earth.google.com/web/search/-30.90376195737480,-55.55022755160580</v>
      </c>
      <c r="H3174" s="12"/>
      <c r="I3174" s="12"/>
      <c r="J3174" s="12"/>
      <c r="K3174" s="12"/>
      <c r="L3174" s="12"/>
      <c r="M3174" s="12"/>
      <c r="N3174" s="12"/>
      <c r="O3174" s="12"/>
      <c r="P3174" s="12"/>
      <c r="Q3174" s="12"/>
      <c r="R3174" s="12"/>
      <c r="S3174" s="12"/>
      <c r="T3174" s="12"/>
      <c r="U3174" s="12"/>
      <c r="V3174" s="12"/>
      <c r="W3174" s="12"/>
      <c r="X3174" s="12"/>
      <c r="Y3174" s="12"/>
      <c r="Z3174" s="12"/>
      <c r="AA3174" s="12"/>
    </row>
    <row r="3175" ht="26.25" customHeight="1">
      <c r="A3175" s="28" t="s">
        <v>6360</v>
      </c>
      <c r="B3175" s="29" t="s">
        <v>6361</v>
      </c>
      <c r="C3175" s="30">
        <v>3.0</v>
      </c>
      <c r="D3175" s="31">
        <v>390.0</v>
      </c>
      <c r="E3175" s="31">
        <v>3.0</v>
      </c>
      <c r="F3175" s="32" t="str">
        <f t="array" ref="F3175">"https://www.google.com/maps/search/?api=1&amp;query=" &amp; A3175 &amp; "," &amp; B3175</f>
        <v>https://www.google.com/maps/search/?api=1&amp;query=-30.90340453545560,-55.54995855997620</v>
      </c>
      <c r="G3175" s="33" t="str">
        <f t="array" ref="G3175">"https://earth.google.com/web/search/" &amp; A3175 &amp; "," &amp; B3175</f>
        <v>https://earth.google.com/web/search/-30.90340453545560,-55.54995855997620</v>
      </c>
      <c r="H3175" s="12"/>
      <c r="I3175" s="12"/>
      <c r="J3175" s="12"/>
      <c r="K3175" s="12"/>
      <c r="L3175" s="12"/>
      <c r="M3175" s="12"/>
      <c r="N3175" s="12"/>
      <c r="O3175" s="12"/>
      <c r="P3175" s="12"/>
      <c r="Q3175" s="12"/>
      <c r="R3175" s="12"/>
      <c r="S3175" s="12"/>
      <c r="T3175" s="12"/>
      <c r="U3175" s="12"/>
      <c r="V3175" s="12"/>
      <c r="W3175" s="12"/>
      <c r="X3175" s="12"/>
      <c r="Y3175" s="12"/>
      <c r="Z3175" s="12"/>
      <c r="AA3175" s="12"/>
    </row>
    <row r="3176" ht="26.25" customHeight="1">
      <c r="A3176" s="34" t="s">
        <v>6362</v>
      </c>
      <c r="B3176" s="35" t="s">
        <v>6363</v>
      </c>
      <c r="C3176" s="36">
        <v>3.0</v>
      </c>
      <c r="D3176" s="37">
        <v>390.0</v>
      </c>
      <c r="E3176" s="37">
        <v>4.0</v>
      </c>
      <c r="F3176" s="24" t="str">
        <f t="array" ref="F3176">"https://www.google.com/maps/search/?api=1&amp;query=" &amp; A3176 &amp; "," &amp; B3176</f>
        <v>https://www.google.com/maps/search/?api=1&amp;query=-30.90290273435160,-55.55067279936520</v>
      </c>
      <c r="G3176" s="25" t="str">
        <f t="array" ref="G3176">"https://earth.google.com/web/search/" &amp; A3176 &amp; "," &amp; B3176</f>
        <v>https://earth.google.com/web/search/-30.90290273435160,-55.55067279936520</v>
      </c>
      <c r="H3176" s="12"/>
      <c r="I3176" s="12"/>
      <c r="J3176" s="12"/>
      <c r="K3176" s="12"/>
      <c r="L3176" s="12"/>
      <c r="M3176" s="12"/>
      <c r="N3176" s="12"/>
      <c r="O3176" s="12"/>
      <c r="P3176" s="12"/>
      <c r="Q3176" s="12"/>
      <c r="R3176" s="12"/>
      <c r="S3176" s="12"/>
      <c r="T3176" s="12"/>
      <c r="U3176" s="12"/>
      <c r="V3176" s="12"/>
      <c r="W3176" s="12"/>
      <c r="X3176" s="12"/>
      <c r="Y3176" s="12"/>
      <c r="Z3176" s="12"/>
      <c r="AA3176" s="12"/>
    </row>
    <row r="3177" ht="26.25" customHeight="1">
      <c r="A3177" s="28" t="s">
        <v>6364</v>
      </c>
      <c r="B3177" s="29" t="s">
        <v>6365</v>
      </c>
      <c r="C3177" s="30">
        <v>3.0</v>
      </c>
      <c r="D3177" s="31">
        <v>390.0</v>
      </c>
      <c r="E3177" s="31">
        <v>5.0</v>
      </c>
      <c r="F3177" s="32" t="str">
        <f t="array" ref="F3177">"https://www.google.com/maps/search/?api=1&amp;query=" &amp; A3177 &amp; "," &amp; B3177</f>
        <v>https://www.google.com/maps/search/?api=1&amp;query=-30.90329431967000,-55.55103323343840</v>
      </c>
      <c r="G3177" s="33" t="str">
        <f t="array" ref="G3177">"https://earth.google.com/web/search/" &amp; A3177 &amp; "," &amp; B3177</f>
        <v>https://earth.google.com/web/search/-30.90329431967000,-55.55103323343840</v>
      </c>
      <c r="H3177" s="12"/>
      <c r="I3177" s="12"/>
      <c r="J3177" s="12"/>
      <c r="K3177" s="12"/>
      <c r="L3177" s="12"/>
      <c r="M3177" s="12"/>
      <c r="N3177" s="12"/>
      <c r="O3177" s="12"/>
      <c r="P3177" s="12"/>
      <c r="Q3177" s="12"/>
      <c r="R3177" s="12"/>
      <c r="S3177" s="12"/>
      <c r="T3177" s="12"/>
      <c r="U3177" s="12"/>
      <c r="V3177" s="12"/>
      <c r="W3177" s="12"/>
      <c r="X3177" s="12"/>
      <c r="Y3177" s="12"/>
      <c r="Z3177" s="12"/>
      <c r="AA3177" s="12"/>
    </row>
    <row r="3178" ht="26.25" customHeight="1">
      <c r="A3178" s="34" t="s">
        <v>6366</v>
      </c>
      <c r="B3178" s="35" t="s">
        <v>6367</v>
      </c>
      <c r="C3178" s="36">
        <v>3.0</v>
      </c>
      <c r="D3178" s="37">
        <v>390.0</v>
      </c>
      <c r="E3178" s="37">
        <v>6.0</v>
      </c>
      <c r="F3178" s="24" t="str">
        <f t="array" ref="F3178">"https://www.google.com/maps/search/?api=1&amp;query=" &amp; A3178 &amp; "," &amp; B3178</f>
        <v>https://www.google.com/maps/search/?api=1&amp;query=-30.90333771218730,-55.55105735548220</v>
      </c>
      <c r="G3178" s="25" t="str">
        <f t="array" ref="G3178">"https://earth.google.com/web/search/" &amp; A3178 &amp; "," &amp; B3178</f>
        <v>https://earth.google.com/web/search/-30.90333771218730,-55.55105735548220</v>
      </c>
      <c r="H3178" s="12"/>
      <c r="I3178" s="12"/>
      <c r="J3178" s="12"/>
      <c r="K3178" s="12"/>
      <c r="L3178" s="12"/>
      <c r="M3178" s="12"/>
      <c r="N3178" s="12"/>
      <c r="O3178" s="12"/>
      <c r="P3178" s="12"/>
      <c r="Q3178" s="12"/>
      <c r="R3178" s="12"/>
      <c r="S3178" s="12"/>
      <c r="T3178" s="12"/>
      <c r="U3178" s="12"/>
      <c r="V3178" s="12"/>
      <c r="W3178" s="12"/>
      <c r="X3178" s="12"/>
      <c r="Y3178" s="12"/>
      <c r="Z3178" s="12"/>
      <c r="AA3178" s="12"/>
    </row>
    <row r="3179" ht="26.25" customHeight="1">
      <c r="A3179" s="28" t="s">
        <v>6368</v>
      </c>
      <c r="B3179" s="29" t="s">
        <v>6369</v>
      </c>
      <c r="C3179" s="30">
        <v>3.0</v>
      </c>
      <c r="D3179" s="31">
        <v>391.0</v>
      </c>
      <c r="E3179" s="31">
        <v>1.0</v>
      </c>
      <c r="F3179" s="32" t="str">
        <f t="array" ref="F3179">"https://www.google.com/maps/search/?api=1&amp;query=" &amp; A3179 &amp; "," &amp; B3179</f>
        <v>https://www.google.com/maps/search/?api=1&amp;query=-30.90326823687730,-5.55518589400675</v>
      </c>
      <c r="G3179" s="33" t="str">
        <f t="array" ref="G3179">"https://earth.google.com/web/search/" &amp; A3179 &amp; "," &amp; B3179</f>
        <v>https://earth.google.com/web/search/-30.90326823687730,-5.55518589400675</v>
      </c>
      <c r="H3179" s="12"/>
      <c r="I3179" s="12"/>
      <c r="J3179" s="12"/>
      <c r="K3179" s="12"/>
      <c r="L3179" s="12"/>
      <c r="M3179" s="12"/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</row>
    <row r="3180" ht="26.25" customHeight="1">
      <c r="A3180" s="34" t="s">
        <v>6370</v>
      </c>
      <c r="B3180" s="35" t="s">
        <v>6371</v>
      </c>
      <c r="C3180" s="36">
        <v>3.0</v>
      </c>
      <c r="D3180" s="37">
        <v>391.0</v>
      </c>
      <c r="E3180" s="37">
        <v>2.0</v>
      </c>
      <c r="F3180" s="24" t="str">
        <f t="array" ref="F3180">"https://www.google.com/maps/search/?api=1&amp;query=" &amp; A3180 &amp; "," &amp; B3180</f>
        <v>https://www.google.com/maps/search/?api=1&amp;query=-30.90339024691000,-55.55160376560360</v>
      </c>
      <c r="G3180" s="25" t="str">
        <f t="array" ref="G3180">"https://earth.google.com/web/search/" &amp; A3180 &amp; "," &amp; B3180</f>
        <v>https://earth.google.com/web/search/-30.90339024691000,-55.55160376560360</v>
      </c>
      <c r="H3180" s="12"/>
      <c r="I3180" s="12"/>
      <c r="J3180" s="12"/>
      <c r="K3180" s="12"/>
      <c r="L3180" s="12"/>
      <c r="M3180" s="12"/>
      <c r="N3180" s="12"/>
      <c r="O3180" s="12"/>
      <c r="P3180" s="12"/>
      <c r="Q3180" s="12"/>
      <c r="R3180" s="12"/>
      <c r="S3180" s="12"/>
      <c r="T3180" s="12"/>
      <c r="U3180" s="12"/>
      <c r="V3180" s="12"/>
      <c r="W3180" s="12"/>
      <c r="X3180" s="12"/>
      <c r="Y3180" s="12"/>
      <c r="Z3180" s="12"/>
      <c r="AA3180" s="12"/>
    </row>
    <row r="3181" ht="26.25" customHeight="1">
      <c r="A3181" s="28" t="s">
        <v>6372</v>
      </c>
      <c r="B3181" s="29" t="s">
        <v>6373</v>
      </c>
      <c r="C3181" s="30">
        <v>3.0</v>
      </c>
      <c r="D3181" s="31">
        <v>391.0</v>
      </c>
      <c r="E3181" s="31">
        <v>3.0</v>
      </c>
      <c r="F3181" s="32" t="str">
        <f t="array" ref="F3181">"https://www.google.com/maps/search/?api=1&amp;query=" &amp; A3181 &amp; "," &amp; B3181</f>
        <v>https://www.google.com/maps/search/?api=1&amp;query=-30.90281555579040,-55.55088542692780</v>
      </c>
      <c r="G3181" s="33" t="str">
        <f t="array" ref="G3181">"https://earth.google.com/web/search/" &amp; A3181 &amp; "," &amp; B3181</f>
        <v>https://earth.google.com/web/search/-30.90281555579040,-55.55088542692780</v>
      </c>
      <c r="H3181" s="12"/>
      <c r="I3181" s="12"/>
      <c r="J3181" s="12"/>
      <c r="K3181" s="12"/>
      <c r="L3181" s="12"/>
      <c r="M3181" s="12"/>
      <c r="N3181" s="12"/>
      <c r="O3181" s="12"/>
      <c r="P3181" s="12"/>
      <c r="Q3181" s="12"/>
      <c r="R3181" s="12"/>
      <c r="S3181" s="12"/>
      <c r="T3181" s="12"/>
      <c r="U3181" s="12"/>
      <c r="V3181" s="12"/>
      <c r="W3181" s="12"/>
      <c r="X3181" s="12"/>
      <c r="Y3181" s="12"/>
      <c r="Z3181" s="12"/>
      <c r="AA3181" s="12"/>
    </row>
    <row r="3182" ht="26.25" customHeight="1">
      <c r="A3182" s="34" t="s">
        <v>6374</v>
      </c>
      <c r="B3182" s="35" t="s">
        <v>6375</v>
      </c>
      <c r="C3182" s="36">
        <v>3.0</v>
      </c>
      <c r="D3182" s="37">
        <v>391.0</v>
      </c>
      <c r="E3182" s="37">
        <v>4.0</v>
      </c>
      <c r="F3182" s="24" t="str">
        <f t="array" ref="F3182">"https://www.google.com/maps/search/?api=1&amp;query=" &amp; A3182 &amp; "," &amp; B3182</f>
        <v>https://www.google.com/maps/search/?api=1&amp;query=-30.90260966221070,-55.55125981166700</v>
      </c>
      <c r="G3182" s="25" t="str">
        <f t="array" ref="G3182">"https://earth.google.com/web/search/" &amp; A3182 &amp; "," &amp; B3182</f>
        <v>https://earth.google.com/web/search/-30.90260966221070,-55.55125981166700</v>
      </c>
      <c r="H3182" s="12"/>
      <c r="I3182" s="12"/>
      <c r="J3182" s="12"/>
      <c r="K3182" s="12"/>
      <c r="L3182" s="12"/>
      <c r="M3182" s="12"/>
      <c r="N3182" s="12"/>
      <c r="O3182" s="12"/>
      <c r="P3182" s="12"/>
      <c r="Q3182" s="12"/>
      <c r="R3182" s="12"/>
      <c r="S3182" s="12"/>
      <c r="T3182" s="12"/>
      <c r="U3182" s="12"/>
      <c r="V3182" s="12"/>
      <c r="W3182" s="12"/>
      <c r="X3182" s="12"/>
      <c r="Y3182" s="12"/>
      <c r="Z3182" s="12"/>
      <c r="AA3182" s="12"/>
    </row>
    <row r="3183" ht="26.25" customHeight="1">
      <c r="A3183" s="28" t="s">
        <v>6376</v>
      </c>
      <c r="B3183" s="29" t="s">
        <v>6377</v>
      </c>
      <c r="C3183" s="30">
        <v>3.0</v>
      </c>
      <c r="D3183" s="31">
        <v>391.0</v>
      </c>
      <c r="E3183" s="31">
        <v>5.0</v>
      </c>
      <c r="F3183" s="32" t="str">
        <f t="array" ref="F3183">"https://www.google.com/maps/search/?api=1&amp;query=" &amp; A3183 &amp; "," &amp; B3183</f>
        <v>https://www.google.com/maps/search/?api=1&amp;query=-30.90252561364370,-55.55138262360920</v>
      </c>
      <c r="G3183" s="33" t="str">
        <f t="array" ref="G3183">"https://earth.google.com/web/search/" &amp; A3183 &amp; "," &amp; B3183</f>
        <v>https://earth.google.com/web/search/-30.90252561364370,-55.55138262360920</v>
      </c>
      <c r="H3183" s="12"/>
      <c r="I3183" s="12"/>
      <c r="J3183" s="12"/>
      <c r="K3183" s="12"/>
      <c r="L3183" s="12"/>
      <c r="M3183" s="12"/>
      <c r="N3183" s="12"/>
      <c r="O3183" s="12"/>
      <c r="P3183" s="12"/>
      <c r="Q3183" s="12"/>
      <c r="R3183" s="12"/>
      <c r="S3183" s="12"/>
      <c r="T3183" s="12"/>
      <c r="U3183" s="12"/>
      <c r="V3183" s="12"/>
      <c r="W3183" s="12"/>
      <c r="X3183" s="12"/>
      <c r="Y3183" s="12"/>
      <c r="Z3183" s="12"/>
      <c r="AA3183" s="12"/>
    </row>
    <row r="3184" ht="26.25" customHeight="1">
      <c r="A3184" s="34" t="s">
        <v>6378</v>
      </c>
      <c r="B3184" s="35" t="s">
        <v>6379</v>
      </c>
      <c r="C3184" s="36">
        <v>3.0</v>
      </c>
      <c r="D3184" s="37">
        <v>391.0</v>
      </c>
      <c r="E3184" s="37">
        <v>6.0</v>
      </c>
      <c r="F3184" s="24" t="str">
        <f t="array" ref="F3184">"https://www.google.com/maps/search/?api=1&amp;query=" &amp; A3184 &amp; "," &amp; B3184</f>
        <v>https://www.google.com/maps/search/?api=1&amp;query=-30.90250727945140,-55.55145531106140</v>
      </c>
      <c r="G3184" s="25" t="str">
        <f t="array" ref="G3184">"https://earth.google.com/web/search/" &amp; A3184 &amp; "," &amp; B3184</f>
        <v>https://earth.google.com/web/search/-30.90250727945140,-55.55145531106140</v>
      </c>
      <c r="H3184" s="12"/>
      <c r="I3184" s="12"/>
      <c r="J3184" s="12"/>
      <c r="K3184" s="12"/>
      <c r="L3184" s="12"/>
      <c r="M3184" s="12"/>
      <c r="N3184" s="12"/>
      <c r="O3184" s="12"/>
      <c r="P3184" s="12"/>
      <c r="Q3184" s="12"/>
      <c r="R3184" s="12"/>
      <c r="S3184" s="12"/>
      <c r="T3184" s="12"/>
      <c r="U3184" s="12"/>
      <c r="V3184" s="12"/>
      <c r="W3184" s="12"/>
      <c r="X3184" s="12"/>
      <c r="Y3184" s="12"/>
      <c r="Z3184" s="12"/>
      <c r="AA3184" s="12"/>
    </row>
    <row r="3185" ht="26.25" customHeight="1">
      <c r="A3185" s="28" t="s">
        <v>6380</v>
      </c>
      <c r="B3185" s="29" t="s">
        <v>6381</v>
      </c>
      <c r="C3185" s="30">
        <v>3.0</v>
      </c>
      <c r="D3185" s="31">
        <v>391.0</v>
      </c>
      <c r="E3185" s="31">
        <v>7.0</v>
      </c>
      <c r="F3185" s="32" t="str">
        <f t="array" ref="F3185">"https://www.google.com/maps/search/?api=1&amp;query=" &amp; A3185 &amp; "," &amp; B3185</f>
        <v>https://www.google.com/maps/search/?api=1&amp;query=-30.90247423918540,-55.55153717358250</v>
      </c>
      <c r="G3185" s="33" t="str">
        <f t="array" ref="G3185">"https://earth.google.com/web/search/" &amp; A3185 &amp; "," &amp; B3185</f>
        <v>https://earth.google.com/web/search/-30.90247423918540,-55.55153717358250</v>
      </c>
      <c r="H3185" s="12"/>
      <c r="I3185" s="12"/>
      <c r="J3185" s="12"/>
      <c r="K3185" s="12"/>
      <c r="L3185" s="12"/>
      <c r="M3185" s="12"/>
      <c r="N3185" s="12"/>
      <c r="O3185" s="12"/>
      <c r="P3185" s="12"/>
      <c r="Q3185" s="12"/>
      <c r="R3185" s="12"/>
      <c r="S3185" s="12"/>
      <c r="T3185" s="12"/>
      <c r="U3185" s="12"/>
      <c r="V3185" s="12"/>
      <c r="W3185" s="12"/>
      <c r="X3185" s="12"/>
      <c r="Y3185" s="12"/>
      <c r="Z3185" s="12"/>
      <c r="AA3185" s="12"/>
    </row>
    <row r="3186" ht="26.25" customHeight="1">
      <c r="A3186" s="34" t="s">
        <v>6382</v>
      </c>
      <c r="B3186" s="35" t="s">
        <v>6383</v>
      </c>
      <c r="C3186" s="36">
        <v>3.0</v>
      </c>
      <c r="D3186" s="37">
        <v>391.0</v>
      </c>
      <c r="E3186" s="37">
        <v>8.0</v>
      </c>
      <c r="F3186" s="24" t="str">
        <f t="array" ref="F3186">"https://www.google.com/maps/search/?api=1&amp;query=" &amp; A3186 &amp; "," &amp; B3186</f>
        <v>https://www.google.com/maps/search/?api=1&amp;query=-30.90252836348910,-55.55174633137650</v>
      </c>
      <c r="G3186" s="25" t="str">
        <f t="array" ref="G3186">"https://earth.google.com/web/search/" &amp; A3186 &amp; "," &amp; B3186</f>
        <v>https://earth.google.com/web/search/-30.90252836348910,-55.55174633137650</v>
      </c>
      <c r="H3186" s="12"/>
      <c r="I3186" s="12"/>
      <c r="J3186" s="12"/>
      <c r="K3186" s="12"/>
      <c r="L3186" s="12"/>
      <c r="M3186" s="12"/>
      <c r="N3186" s="12"/>
      <c r="O3186" s="12"/>
      <c r="P3186" s="12"/>
      <c r="Q3186" s="12"/>
      <c r="R3186" s="12"/>
      <c r="S3186" s="12"/>
      <c r="T3186" s="12"/>
      <c r="U3186" s="12"/>
      <c r="V3186" s="12"/>
      <c r="W3186" s="12"/>
      <c r="X3186" s="12"/>
      <c r="Y3186" s="12"/>
      <c r="Z3186" s="12"/>
      <c r="AA3186" s="12"/>
    </row>
    <row r="3187" ht="26.25" customHeight="1">
      <c r="A3187" s="28" t="s">
        <v>6384</v>
      </c>
      <c r="B3187" s="29" t="s">
        <v>6385</v>
      </c>
      <c r="C3187" s="30">
        <v>3.0</v>
      </c>
      <c r="D3187" s="31">
        <v>391.0</v>
      </c>
      <c r="E3187" s="31">
        <v>9.0</v>
      </c>
      <c r="F3187" s="32" t="str">
        <f t="array" ref="F3187">"https://www.google.com/maps/search/?api=1&amp;query=" &amp; A3187 &amp; "," &amp; B3187</f>
        <v>https://www.google.com/maps/search/?api=1&amp;query=-30.90261127674180,-55.55179547712150</v>
      </c>
      <c r="G3187" s="33" t="str">
        <f t="array" ref="G3187">"https://earth.google.com/web/search/" &amp; A3187 &amp; "," &amp; B3187</f>
        <v>https://earth.google.com/web/search/-30.90261127674180,-55.55179547712150</v>
      </c>
      <c r="H3187" s="12"/>
      <c r="I3187" s="12"/>
      <c r="J3187" s="12"/>
      <c r="K3187" s="12"/>
      <c r="L3187" s="12"/>
      <c r="M3187" s="12"/>
      <c r="N3187" s="12"/>
      <c r="O3187" s="12"/>
      <c r="P3187" s="12"/>
      <c r="Q3187" s="12"/>
      <c r="R3187" s="12"/>
      <c r="S3187" s="12"/>
      <c r="T3187" s="12"/>
      <c r="U3187" s="12"/>
      <c r="V3187" s="12"/>
      <c r="W3187" s="12"/>
      <c r="X3187" s="12"/>
      <c r="Y3187" s="12"/>
      <c r="Z3187" s="12"/>
      <c r="AA3187" s="12"/>
    </row>
    <row r="3188" ht="26.25" customHeight="1">
      <c r="A3188" s="34" t="s">
        <v>6386</v>
      </c>
      <c r="B3188" s="35" t="s">
        <v>6387</v>
      </c>
      <c r="C3188" s="36">
        <v>3.0</v>
      </c>
      <c r="D3188" s="37">
        <v>391.0</v>
      </c>
      <c r="E3188" s="37">
        <v>10.0</v>
      </c>
      <c r="F3188" s="24" t="str">
        <f t="array" ref="F3188">"https://www.google.com/maps/search/?api=1&amp;query=" &amp; A3188 &amp; "," &amp; B3188</f>
        <v>https://www.google.com/maps/search/?api=1&amp;query=-30.90241224848480,-55.55162423107220</v>
      </c>
      <c r="G3188" s="25" t="str">
        <f t="array" ref="G3188">"https://earth.google.com/web/search/" &amp; A3188 &amp; "," &amp; B3188</f>
        <v>https://earth.google.com/web/search/-30.90241224848480,-55.55162423107220</v>
      </c>
      <c r="H3188" s="12"/>
      <c r="I3188" s="12"/>
      <c r="J3188" s="12"/>
      <c r="K3188" s="12"/>
      <c r="L3188" s="12"/>
      <c r="M3188" s="12"/>
      <c r="N3188" s="12"/>
      <c r="O3188" s="12"/>
      <c r="P3188" s="12"/>
      <c r="Q3188" s="12"/>
      <c r="R3188" s="12"/>
      <c r="S3188" s="12"/>
      <c r="T3188" s="12"/>
      <c r="U3188" s="12"/>
      <c r="V3188" s="12"/>
      <c r="W3188" s="12"/>
      <c r="X3188" s="12"/>
      <c r="Y3188" s="12"/>
      <c r="Z3188" s="12"/>
      <c r="AA3188" s="12"/>
    </row>
    <row r="3189" ht="26.25" customHeight="1">
      <c r="A3189" s="28" t="s">
        <v>6388</v>
      </c>
      <c r="B3189" s="29" t="s">
        <v>6389</v>
      </c>
      <c r="C3189" s="30">
        <v>3.0</v>
      </c>
      <c r="D3189" s="31">
        <v>392.0</v>
      </c>
      <c r="E3189" s="31">
        <v>1.0</v>
      </c>
      <c r="F3189" s="32" t="str">
        <f t="array" ref="F3189">"https://www.google.com/maps/search/?api=1&amp;query=" &amp; A3189 &amp; "," &amp; B3189</f>
        <v>https://www.google.com/maps/search/?api=1&amp;query=-30.90269761056350,-55.55287055831380</v>
      </c>
      <c r="G3189" s="33" t="str">
        <f t="array" ref="G3189">"https://earth.google.com/web/search/" &amp; A3189 &amp; "," &amp; B3189</f>
        <v>https://earth.google.com/web/search/-30.90269761056350,-55.55287055831380</v>
      </c>
      <c r="H3189" s="12"/>
      <c r="I3189" s="12"/>
      <c r="J3189" s="12"/>
      <c r="K3189" s="12"/>
      <c r="L3189" s="12"/>
      <c r="M3189" s="12"/>
      <c r="N3189" s="12"/>
      <c r="O3189" s="12"/>
      <c r="P3189" s="12"/>
      <c r="Q3189" s="12"/>
      <c r="R3189" s="12"/>
      <c r="S3189" s="12"/>
      <c r="T3189" s="12"/>
      <c r="U3189" s="12"/>
      <c r="V3189" s="12"/>
      <c r="W3189" s="12"/>
      <c r="X3189" s="12"/>
      <c r="Y3189" s="12"/>
      <c r="Z3189" s="12"/>
      <c r="AA3189" s="12"/>
    </row>
    <row r="3190" ht="26.25" customHeight="1">
      <c r="A3190" s="34" t="s">
        <v>6390</v>
      </c>
      <c r="B3190" s="35" t="s">
        <v>6391</v>
      </c>
      <c r="C3190" s="36">
        <v>3.0</v>
      </c>
      <c r="D3190" s="37">
        <v>392.0</v>
      </c>
      <c r="E3190" s="37">
        <v>2.0</v>
      </c>
      <c r="F3190" s="24" t="str">
        <f t="array" ref="F3190">"https://www.google.com/maps/search/?api=1&amp;query=" &amp; A3190 &amp; "," &amp; B3190</f>
        <v>https://www.google.com/maps/search/?api=1&amp;query=-30.90278071876670,-55.55273421814190</v>
      </c>
      <c r="G3190" s="25" t="str">
        <f t="array" ref="G3190">"https://earth.google.com/web/search/" &amp; A3190 &amp; "," &amp; B3190</f>
        <v>https://earth.google.com/web/search/-30.90278071876670,-55.55273421814190</v>
      </c>
      <c r="H3190" s="12"/>
      <c r="I3190" s="12"/>
      <c r="J3190" s="12"/>
      <c r="K3190" s="12"/>
      <c r="L3190" s="12"/>
      <c r="M3190" s="12"/>
      <c r="N3190" s="12"/>
      <c r="O3190" s="12"/>
      <c r="P3190" s="12"/>
      <c r="Q3190" s="12"/>
      <c r="R3190" s="12"/>
      <c r="S3190" s="12"/>
      <c r="T3190" s="12"/>
      <c r="U3190" s="12"/>
      <c r="V3190" s="12"/>
      <c r="W3190" s="12"/>
      <c r="X3190" s="12"/>
      <c r="Y3190" s="12"/>
      <c r="Z3190" s="12"/>
      <c r="AA3190" s="12"/>
    </row>
    <row r="3191" ht="26.25" customHeight="1">
      <c r="A3191" s="28" t="s">
        <v>6392</v>
      </c>
      <c r="B3191" s="29" t="s">
        <v>6393</v>
      </c>
      <c r="C3191" s="30">
        <v>3.0</v>
      </c>
      <c r="D3191" s="31">
        <v>392.0</v>
      </c>
      <c r="E3191" s="31">
        <v>3.0</v>
      </c>
      <c r="F3191" s="32" t="str">
        <f t="array" ref="F3191">"https://www.google.com/maps/search/?api=1&amp;query=" &amp; A3191 &amp; "," &amp; B3191</f>
        <v>https://www.google.com/maps/search/?api=1&amp;query=-30.90294815320420,-5.55524473562878</v>
      </c>
      <c r="G3191" s="33" t="str">
        <f t="array" ref="G3191">"https://earth.google.com/web/search/" &amp; A3191 &amp; "," &amp; B3191</f>
        <v>https://earth.google.com/web/search/-30.90294815320420,-5.55524473562878</v>
      </c>
      <c r="H3191" s="12"/>
      <c r="I3191" s="12"/>
      <c r="J3191" s="12"/>
      <c r="K3191" s="12"/>
      <c r="L3191" s="12"/>
      <c r="M3191" s="12"/>
      <c r="N3191" s="12"/>
      <c r="O3191" s="12"/>
      <c r="P3191" s="12"/>
      <c r="Q3191" s="12"/>
      <c r="R3191" s="12"/>
      <c r="S3191" s="12"/>
      <c r="T3191" s="12"/>
      <c r="U3191" s="12"/>
      <c r="V3191" s="12"/>
      <c r="W3191" s="12"/>
      <c r="X3191" s="12"/>
      <c r="Y3191" s="12"/>
      <c r="Z3191" s="12"/>
      <c r="AA3191" s="12"/>
    </row>
    <row r="3192" ht="26.25" customHeight="1">
      <c r="A3192" s="34" t="s">
        <v>6394</v>
      </c>
      <c r="B3192" s="35" t="s">
        <v>6395</v>
      </c>
      <c r="C3192" s="36">
        <v>3.0</v>
      </c>
      <c r="D3192" s="37">
        <v>392.0</v>
      </c>
      <c r="E3192" s="37">
        <v>4.0</v>
      </c>
      <c r="F3192" s="24" t="str">
        <f t="array" ref="F3192">"https://www.google.com/maps/search/?api=1&amp;query=" &amp; A3192 &amp; "," &amp; B3192</f>
        <v>https://www.google.com/maps/search/?api=1&amp;query=-30.90226185571910,-55.55185472743320</v>
      </c>
      <c r="G3192" s="25" t="str">
        <f t="array" ref="G3192">"https://earth.google.com/web/search/" &amp; A3192 &amp; "," &amp; B3192</f>
        <v>https://earth.google.com/web/search/-30.90226185571910,-55.55185472743320</v>
      </c>
      <c r="H3192" s="12"/>
      <c r="I3192" s="12"/>
      <c r="J3192" s="12"/>
      <c r="K3192" s="12"/>
      <c r="L3192" s="12"/>
      <c r="M3192" s="12"/>
      <c r="N3192" s="12"/>
      <c r="O3192" s="12"/>
      <c r="P3192" s="12"/>
      <c r="Q3192" s="12"/>
      <c r="R3192" s="12"/>
      <c r="S3192" s="12"/>
      <c r="T3192" s="12"/>
      <c r="U3192" s="12"/>
      <c r="V3192" s="12"/>
      <c r="W3192" s="12"/>
      <c r="X3192" s="12"/>
      <c r="Y3192" s="12"/>
      <c r="Z3192" s="12"/>
      <c r="AA3192" s="12"/>
    </row>
    <row r="3193" ht="26.25" customHeight="1">
      <c r="A3193" s="28" t="s">
        <v>6396</v>
      </c>
      <c r="B3193" s="29" t="s">
        <v>6397</v>
      </c>
      <c r="C3193" s="30">
        <v>3.0</v>
      </c>
      <c r="D3193" s="31">
        <v>392.0</v>
      </c>
      <c r="E3193" s="31">
        <v>5.0</v>
      </c>
      <c r="F3193" s="32" t="str">
        <f t="array" ref="F3193">"https://www.google.com/maps/search/?api=1&amp;query=" &amp; A3193 &amp; "," &amp; B3193</f>
        <v>https://www.google.com/maps/search/?api=1&amp;query=-30.90220922728670,-55.55196784734850</v>
      </c>
      <c r="G3193" s="33" t="str">
        <f t="array" ref="G3193">"https://earth.google.com/web/search/" &amp; A3193 &amp; "," &amp; B3193</f>
        <v>https://earth.google.com/web/search/-30.90220922728670,-55.55196784734850</v>
      </c>
      <c r="H3193" s="12"/>
      <c r="I3193" s="12"/>
      <c r="J3193" s="12"/>
      <c r="K3193" s="12"/>
      <c r="L3193" s="12"/>
      <c r="M3193" s="12"/>
      <c r="N3193" s="12"/>
      <c r="O3193" s="12"/>
      <c r="P3193" s="12"/>
      <c r="Q3193" s="12"/>
      <c r="R3193" s="12"/>
      <c r="S3193" s="12"/>
      <c r="T3193" s="12"/>
      <c r="U3193" s="12"/>
      <c r="V3193" s="12"/>
      <c r="W3193" s="12"/>
      <c r="X3193" s="12"/>
      <c r="Y3193" s="12"/>
      <c r="Z3193" s="12"/>
      <c r="AA3193" s="12"/>
    </row>
    <row r="3194" ht="26.25" customHeight="1">
      <c r="A3194" s="34" t="s">
        <v>6398</v>
      </c>
      <c r="B3194" s="35" t="s">
        <v>6399</v>
      </c>
      <c r="C3194" s="36">
        <v>3.0</v>
      </c>
      <c r="D3194" s="37">
        <v>392.0</v>
      </c>
      <c r="E3194" s="37">
        <v>6.0</v>
      </c>
      <c r="F3194" s="24" t="str">
        <f t="array" ref="F3194">"https://www.google.com/maps/search/?api=1&amp;query=" &amp; A3194 &amp; "," &amp; B3194</f>
        <v>https://www.google.com/maps/search/?api=1&amp;query=-30.90213564755240,-55.55215359516510</v>
      </c>
      <c r="G3194" s="25" t="str">
        <f t="array" ref="G3194">"https://earth.google.com/web/search/" &amp; A3194 &amp; "," &amp; B3194</f>
        <v>https://earth.google.com/web/search/-30.90213564755240,-55.55215359516510</v>
      </c>
      <c r="H3194" s="12"/>
      <c r="I3194" s="12"/>
      <c r="J3194" s="12"/>
      <c r="K3194" s="12"/>
      <c r="L3194" s="12"/>
      <c r="M3194" s="12"/>
      <c r="N3194" s="12"/>
      <c r="O3194" s="12"/>
      <c r="P3194" s="12"/>
      <c r="Q3194" s="12"/>
      <c r="R3194" s="12"/>
      <c r="S3194" s="12"/>
      <c r="T3194" s="12"/>
      <c r="U3194" s="12"/>
      <c r="V3194" s="12"/>
      <c r="W3194" s="12"/>
      <c r="X3194" s="12"/>
      <c r="Y3194" s="12"/>
      <c r="Z3194" s="12"/>
      <c r="AA3194" s="12"/>
    </row>
    <row r="3195" ht="26.25" customHeight="1">
      <c r="A3195" s="28" t="s">
        <v>6400</v>
      </c>
      <c r="B3195" s="29" t="s">
        <v>6401</v>
      </c>
      <c r="C3195" s="30">
        <v>3.0</v>
      </c>
      <c r="D3195" s="31">
        <v>392.0</v>
      </c>
      <c r="E3195" s="31">
        <v>7.0</v>
      </c>
      <c r="F3195" s="32" t="str">
        <f t="array" ref="F3195">"https://www.google.com/maps/search/?api=1&amp;query=" &amp; A3195 &amp; "," &amp; B3195</f>
        <v>https://www.google.com/maps/search/?api=1&amp;query=-30.90196677639060,-55.55243889998830</v>
      </c>
      <c r="G3195" s="33" t="str">
        <f t="array" ref="G3195">"https://earth.google.com/web/search/" &amp; A3195 &amp; "," &amp; B3195</f>
        <v>https://earth.google.com/web/search/-30.90196677639060,-55.55243889998830</v>
      </c>
      <c r="H3195" s="12"/>
      <c r="I3195" s="12"/>
      <c r="J3195" s="12"/>
      <c r="K3195" s="12"/>
      <c r="L3195" s="12"/>
      <c r="M3195" s="12"/>
      <c r="N3195" s="12"/>
      <c r="O3195" s="12"/>
      <c r="P3195" s="12"/>
      <c r="Q3195" s="12"/>
      <c r="R3195" s="12"/>
      <c r="S3195" s="12"/>
      <c r="T3195" s="12"/>
      <c r="U3195" s="12"/>
      <c r="V3195" s="12"/>
      <c r="W3195" s="12"/>
      <c r="X3195" s="12"/>
      <c r="Y3195" s="12"/>
      <c r="Z3195" s="12"/>
      <c r="AA3195" s="12"/>
    </row>
    <row r="3196" ht="26.25" customHeight="1">
      <c r="A3196" s="34" t="s">
        <v>6402</v>
      </c>
      <c r="B3196" s="35" t="s">
        <v>6403</v>
      </c>
      <c r="C3196" s="36">
        <v>3.0</v>
      </c>
      <c r="D3196" s="37">
        <v>392.0</v>
      </c>
      <c r="E3196" s="37">
        <v>8.0</v>
      </c>
      <c r="F3196" s="24" t="str">
        <f t="array" ref="F3196">"https://www.google.com/maps/search/?api=1&amp;query=" &amp; A3196 &amp; "," &amp; B3196</f>
        <v>https://www.google.com/maps/search/?api=1&amp;query=-30.90197889951900,-55.55258796058340</v>
      </c>
      <c r="G3196" s="25" t="str">
        <f t="array" ref="G3196">"https://earth.google.com/web/search/" &amp; A3196 &amp; "," &amp; B3196</f>
        <v>https://earth.google.com/web/search/-30.90197889951900,-55.55258796058340</v>
      </c>
      <c r="H3196" s="12"/>
      <c r="I3196" s="12"/>
      <c r="J3196" s="12"/>
      <c r="K3196" s="12"/>
      <c r="L3196" s="12"/>
      <c r="M3196" s="12"/>
      <c r="N3196" s="12"/>
      <c r="O3196" s="12"/>
      <c r="P3196" s="12"/>
      <c r="Q3196" s="12"/>
      <c r="R3196" s="12"/>
      <c r="S3196" s="12"/>
      <c r="T3196" s="12"/>
      <c r="U3196" s="12"/>
      <c r="V3196" s="12"/>
      <c r="W3196" s="12"/>
      <c r="X3196" s="12"/>
      <c r="Y3196" s="12"/>
      <c r="Z3196" s="12"/>
      <c r="AA3196" s="12"/>
    </row>
    <row r="3197" ht="26.25" customHeight="1">
      <c r="A3197" s="28" t="s">
        <v>6404</v>
      </c>
      <c r="B3197" s="29" t="s">
        <v>6405</v>
      </c>
      <c r="C3197" s="30">
        <v>3.0</v>
      </c>
      <c r="D3197" s="31">
        <v>392.0</v>
      </c>
      <c r="E3197" s="31">
        <v>9.0</v>
      </c>
      <c r="F3197" s="32" t="str">
        <f t="array" ref="F3197">"https://www.google.com/maps/search/?api=1&amp;query=" &amp; A3197 &amp; "," &amp; B3197</f>
        <v>https://www.google.com/maps/search/?api=1&amp;query=-30.90206849152570,-55.55265375740040</v>
      </c>
      <c r="G3197" s="33" t="str">
        <f t="array" ref="G3197">"https://earth.google.com/web/search/" &amp; A3197 &amp; "," &amp; B3197</f>
        <v>https://earth.google.com/web/search/-30.90206849152570,-55.55265375740040</v>
      </c>
      <c r="H3197" s="12"/>
      <c r="I3197" s="12"/>
      <c r="J3197" s="12"/>
      <c r="K3197" s="12"/>
      <c r="L3197" s="12"/>
      <c r="M3197" s="12"/>
      <c r="N3197" s="12"/>
      <c r="O3197" s="12"/>
      <c r="P3197" s="12"/>
      <c r="Q3197" s="12"/>
      <c r="R3197" s="12"/>
      <c r="S3197" s="12"/>
      <c r="T3197" s="12"/>
      <c r="U3197" s="12"/>
      <c r="V3197" s="12"/>
      <c r="W3197" s="12"/>
      <c r="X3197" s="12"/>
      <c r="Y3197" s="12"/>
      <c r="Z3197" s="12"/>
      <c r="AA3197" s="12"/>
    </row>
    <row r="3198" ht="26.25" customHeight="1">
      <c r="A3198" s="34" t="s">
        <v>6406</v>
      </c>
      <c r="B3198" s="35" t="s">
        <v>6407</v>
      </c>
      <c r="C3198" s="36">
        <v>3.0</v>
      </c>
      <c r="D3198" s="37">
        <v>392.0</v>
      </c>
      <c r="E3198" s="37">
        <v>10.0</v>
      </c>
      <c r="F3198" s="24" t="str">
        <f t="array" ref="F3198">"https://www.google.com/maps/search/?api=1&amp;query=" &amp; A3198 &amp; "," &amp; B3198</f>
        <v>https://www.google.com/maps/search/?api=1&amp;query=-3.09022656440989,-55.55280079838950</v>
      </c>
      <c r="G3198" s="25" t="str">
        <f t="array" ref="G3198">"https://earth.google.com/web/search/" &amp; A3198 &amp; "," &amp; B3198</f>
        <v>https://earth.google.com/web/search/-3.09022656440989,-55.55280079838950</v>
      </c>
      <c r="H3198" s="12"/>
      <c r="I3198" s="12"/>
      <c r="J3198" s="12"/>
      <c r="K3198" s="12"/>
      <c r="L3198" s="12"/>
      <c r="M3198" s="12"/>
      <c r="N3198" s="12"/>
      <c r="O3198" s="12"/>
      <c r="P3198" s="12"/>
      <c r="Q3198" s="12"/>
      <c r="R3198" s="12"/>
      <c r="S3198" s="12"/>
      <c r="T3198" s="12"/>
      <c r="U3198" s="12"/>
      <c r="V3198" s="12"/>
      <c r="W3198" s="12"/>
      <c r="X3198" s="12"/>
      <c r="Y3198" s="12"/>
      <c r="Z3198" s="12"/>
      <c r="AA3198" s="12"/>
    </row>
    <row r="3199" ht="26.25" customHeight="1">
      <c r="A3199" s="28" t="s">
        <v>6408</v>
      </c>
      <c r="B3199" s="29" t="s">
        <v>6409</v>
      </c>
      <c r="C3199" s="30">
        <v>3.0</v>
      </c>
      <c r="D3199" s="31">
        <v>392.0</v>
      </c>
      <c r="E3199" s="31">
        <v>11.0</v>
      </c>
      <c r="F3199" s="32" t="str">
        <f t="array" ref="F3199">"https://www.google.com/maps/search/?api=1&amp;query=" &amp; A3199 &amp; "," &amp; B3199</f>
        <v>https://www.google.com/maps/search/?api=1&amp;query=-30.90232927515810,-55.55283018980530</v>
      </c>
      <c r="G3199" s="33" t="str">
        <f t="array" ref="G3199">"https://earth.google.com/web/search/" &amp; A3199 &amp; "," &amp; B3199</f>
        <v>https://earth.google.com/web/search/-30.90232927515810,-55.55283018980530</v>
      </c>
      <c r="H3199" s="12"/>
      <c r="I3199" s="12"/>
      <c r="J3199" s="12"/>
      <c r="K3199" s="12"/>
      <c r="L3199" s="12"/>
      <c r="M3199" s="12"/>
      <c r="N3199" s="12"/>
      <c r="O3199" s="12"/>
      <c r="P3199" s="12"/>
      <c r="Q3199" s="12"/>
      <c r="R3199" s="12"/>
      <c r="S3199" s="12"/>
      <c r="T3199" s="12"/>
      <c r="U3199" s="12"/>
      <c r="V3199" s="12"/>
      <c r="W3199" s="12"/>
      <c r="X3199" s="12"/>
      <c r="Y3199" s="12"/>
      <c r="Z3199" s="12"/>
      <c r="AA3199" s="12"/>
    </row>
    <row r="3200" ht="26.25" customHeight="1">
      <c r="A3200" s="34" t="s">
        <v>6410</v>
      </c>
      <c r="B3200" s="35" t="s">
        <v>6411</v>
      </c>
      <c r="C3200" s="36">
        <v>3.0</v>
      </c>
      <c r="D3200" s="37">
        <v>392.0</v>
      </c>
      <c r="E3200" s="37">
        <v>12.0</v>
      </c>
      <c r="F3200" s="24" t="str">
        <f t="array" ref="F3200">"https://www.google.com/maps/search/?api=1&amp;query=" &amp; A3200 &amp; "," &amp; B3200</f>
        <v>https://www.google.com/maps/search/?api=1&amp;query=-30.90248085092910,-55.55295598991590</v>
      </c>
      <c r="G3200" s="25" t="str">
        <f t="array" ref="G3200">"https://earth.google.com/web/search/" &amp; A3200 &amp; "," &amp; B3200</f>
        <v>https://earth.google.com/web/search/-30.90248085092910,-55.55295598991590</v>
      </c>
      <c r="H3200" s="12"/>
      <c r="I3200" s="12"/>
      <c r="J3200" s="12"/>
      <c r="K3200" s="12"/>
      <c r="L3200" s="12"/>
      <c r="M3200" s="12"/>
      <c r="N3200" s="12"/>
      <c r="O3200" s="12"/>
      <c r="P3200" s="12"/>
      <c r="Q3200" s="12"/>
      <c r="R3200" s="12"/>
      <c r="S3200" s="12"/>
      <c r="T3200" s="12"/>
      <c r="U3200" s="12"/>
      <c r="V3200" s="12"/>
      <c r="W3200" s="12"/>
      <c r="X3200" s="12"/>
      <c r="Y3200" s="12"/>
      <c r="Z3200" s="12"/>
      <c r="AA3200" s="12"/>
    </row>
    <row r="3201" ht="26.25" customHeight="1">
      <c r="A3201" s="28" t="s">
        <v>6412</v>
      </c>
      <c r="B3201" s="29" t="s">
        <v>6413</v>
      </c>
      <c r="C3201" s="30">
        <v>3.0</v>
      </c>
      <c r="D3201" s="31">
        <v>393.0</v>
      </c>
      <c r="E3201" s="31">
        <v>1.0</v>
      </c>
      <c r="F3201" s="32" t="str">
        <f t="array" ref="F3201">"https://www.google.com/maps/search/?api=1&amp;query=" &amp; A3201 &amp; "," &amp; B3201</f>
        <v>https://www.google.com/maps/search/?api=1&amp;query=-0.30901985423997,-55.55382467064070</v>
      </c>
      <c r="G3201" s="33" t="str">
        <f t="array" ref="G3201">"https://earth.google.com/web/search/" &amp; A3201 &amp; "," &amp; B3201</f>
        <v>https://earth.google.com/web/search/-0.30901985423997,-55.55382467064070</v>
      </c>
      <c r="H3201" s="12"/>
      <c r="I3201" s="12"/>
      <c r="J3201" s="12"/>
      <c r="K3201" s="12"/>
      <c r="L3201" s="12"/>
      <c r="M3201" s="12"/>
      <c r="N3201" s="12"/>
      <c r="O3201" s="12"/>
      <c r="P3201" s="12"/>
      <c r="Q3201" s="12"/>
      <c r="R3201" s="12"/>
      <c r="S3201" s="12"/>
      <c r="T3201" s="12"/>
      <c r="U3201" s="12"/>
      <c r="V3201" s="12"/>
      <c r="W3201" s="12"/>
      <c r="X3201" s="12"/>
      <c r="Y3201" s="12"/>
      <c r="Z3201" s="12"/>
      <c r="AA3201" s="12"/>
    </row>
    <row r="3202" ht="26.25" customHeight="1">
      <c r="A3202" s="34" t="s">
        <v>6414</v>
      </c>
      <c r="B3202" s="35" t="s">
        <v>6415</v>
      </c>
      <c r="C3202" s="36">
        <v>3.0</v>
      </c>
      <c r="D3202" s="37">
        <v>393.0</v>
      </c>
      <c r="E3202" s="37">
        <v>2.0</v>
      </c>
      <c r="F3202" s="24" t="str">
        <f t="array" ref="F3202">"https://www.google.com/maps/search/?api=1&amp;query=" &amp; A3202 &amp; "," &amp; B3202</f>
        <v>https://www.google.com/maps/search/?api=1&amp;query=-30.90211472511020,-55.55392685621160</v>
      </c>
      <c r="G3202" s="25" t="str">
        <f t="array" ref="G3202">"https://earth.google.com/web/search/" &amp; A3202 &amp; "," &amp; B3202</f>
        <v>https://earth.google.com/web/search/-30.90211472511020,-55.55392685621160</v>
      </c>
      <c r="H3202" s="12"/>
      <c r="I3202" s="12"/>
      <c r="J3202" s="12"/>
      <c r="K3202" s="12"/>
      <c r="L3202" s="12"/>
      <c r="M3202" s="12"/>
      <c r="N3202" s="12"/>
      <c r="O3202" s="12"/>
      <c r="P3202" s="12"/>
      <c r="Q3202" s="12"/>
      <c r="R3202" s="12"/>
      <c r="S3202" s="12"/>
      <c r="T3202" s="12"/>
      <c r="U3202" s="12"/>
      <c r="V3202" s="12"/>
      <c r="W3202" s="12"/>
      <c r="X3202" s="12"/>
      <c r="Y3202" s="12"/>
      <c r="Z3202" s="12"/>
      <c r="AA3202" s="12"/>
    </row>
    <row r="3203" ht="26.25" customHeight="1">
      <c r="A3203" s="28" t="s">
        <v>6416</v>
      </c>
      <c r="B3203" s="29" t="s">
        <v>6417</v>
      </c>
      <c r="C3203" s="30">
        <v>3.0</v>
      </c>
      <c r="D3203" s="31">
        <v>393.0</v>
      </c>
      <c r="E3203" s="31">
        <v>3.0</v>
      </c>
      <c r="F3203" s="32" t="str">
        <f t="array" ref="F3203">"https://www.google.com/maps/search/?api=1&amp;query=" &amp; A3203 &amp; "," &amp; B3203</f>
        <v>https://www.google.com/maps/search/?api=1&amp;query=-30.90232788863830,-55.55357797926640</v>
      </c>
      <c r="G3203" s="33" t="str">
        <f t="array" ref="G3203">"https://earth.google.com/web/search/" &amp; A3203 &amp; "," &amp; B3203</f>
        <v>https://earth.google.com/web/search/-30.90232788863830,-55.55357797926640</v>
      </c>
      <c r="H3203" s="12"/>
      <c r="I3203" s="12"/>
      <c r="J3203" s="12"/>
      <c r="K3203" s="12"/>
      <c r="L3203" s="12"/>
      <c r="M3203" s="12"/>
      <c r="N3203" s="12"/>
      <c r="O3203" s="12"/>
      <c r="P3203" s="12"/>
      <c r="Q3203" s="12"/>
      <c r="R3203" s="12"/>
      <c r="S3203" s="12"/>
      <c r="T3203" s="12"/>
      <c r="U3203" s="12"/>
      <c r="V3203" s="12"/>
      <c r="W3203" s="12"/>
      <c r="X3203" s="12"/>
      <c r="Y3203" s="12"/>
      <c r="Z3203" s="12"/>
      <c r="AA3203" s="12"/>
    </row>
    <row r="3204" ht="26.25" customHeight="1">
      <c r="A3204" s="34" t="s">
        <v>6418</v>
      </c>
      <c r="B3204" s="35" t="s">
        <v>6419</v>
      </c>
      <c r="C3204" s="36">
        <v>3.0</v>
      </c>
      <c r="D3204" s="37">
        <v>408.0</v>
      </c>
      <c r="E3204" s="37">
        <v>1.0</v>
      </c>
      <c r="F3204" s="24" t="str">
        <f t="array" ref="F3204">"https://www.google.com/maps/search/?api=1&amp;query=" &amp; A3204 &amp; "," &amp; B3204</f>
        <v>https://www.google.com/maps/search/?api=1&amp;query=-30.89251593179070,-55.54266575953810</v>
      </c>
      <c r="G3204" s="25" t="str">
        <f t="array" ref="G3204">"https://earth.google.com/web/search/" &amp; A3204 &amp; "," &amp; B3204</f>
        <v>https://earth.google.com/web/search/-30.89251593179070,-55.54266575953810</v>
      </c>
      <c r="H3204" s="12"/>
      <c r="I3204" s="12"/>
      <c r="J3204" s="12"/>
      <c r="K3204" s="12"/>
      <c r="L3204" s="12"/>
      <c r="M3204" s="12"/>
      <c r="N3204" s="12"/>
      <c r="O3204" s="12"/>
      <c r="P3204" s="12"/>
      <c r="Q3204" s="12"/>
      <c r="R3204" s="12"/>
      <c r="S3204" s="12"/>
      <c r="T3204" s="12"/>
      <c r="U3204" s="12"/>
      <c r="V3204" s="12"/>
      <c r="W3204" s="12"/>
      <c r="X3204" s="12"/>
      <c r="Y3204" s="12"/>
      <c r="Z3204" s="12"/>
      <c r="AA3204" s="12"/>
    </row>
    <row r="3205" ht="26.25" customHeight="1">
      <c r="A3205" s="28" t="s">
        <v>6420</v>
      </c>
      <c r="B3205" s="29" t="s">
        <v>6421</v>
      </c>
      <c r="C3205" s="30">
        <v>3.0</v>
      </c>
      <c r="D3205" s="31">
        <v>408.0</v>
      </c>
      <c r="E3205" s="31">
        <v>2.0</v>
      </c>
      <c r="F3205" s="32" t="str">
        <f t="array" ref="F3205">"https://www.google.com/maps/search/?api=1&amp;query=" &amp; A3205 &amp; "," &amp; B3205</f>
        <v>https://www.google.com/maps/search/?api=1&amp;query=-30.89289785795450,-55.54293416355910</v>
      </c>
      <c r="G3205" s="33" t="str">
        <f t="array" ref="G3205">"https://earth.google.com/web/search/" &amp; A3205 &amp; "," &amp; B3205</f>
        <v>https://earth.google.com/web/search/-30.89289785795450,-55.54293416355910</v>
      </c>
      <c r="H3205" s="12"/>
      <c r="I3205" s="12"/>
      <c r="J3205" s="12"/>
      <c r="K3205" s="12"/>
      <c r="L3205" s="12"/>
      <c r="M3205" s="12"/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/>
      <c r="AA3205" s="12"/>
    </row>
    <row r="3206" ht="26.25" customHeight="1">
      <c r="A3206" s="34" t="s">
        <v>6422</v>
      </c>
      <c r="B3206" s="35" t="s">
        <v>6423</v>
      </c>
      <c r="C3206" s="36">
        <v>3.0</v>
      </c>
      <c r="D3206" s="37">
        <v>408.0</v>
      </c>
      <c r="E3206" s="37">
        <v>3.0</v>
      </c>
      <c r="F3206" s="24" t="str">
        <f t="array" ref="F3206">"https://www.google.com/maps/search/?api=1&amp;query=" &amp; A3206 &amp; "," &amp; B3206</f>
        <v>https://www.google.com/maps/search/?api=1&amp;query=-30.89232490374850,-55.54326933103780</v>
      </c>
      <c r="G3206" s="25" t="str">
        <f t="array" ref="G3206">"https://earth.google.com/web/search/" &amp; A3206 &amp; "," &amp; B3206</f>
        <v>https://earth.google.com/web/search/-30.89232490374850,-55.54326933103780</v>
      </c>
      <c r="H3206" s="12"/>
      <c r="I3206" s="12"/>
      <c r="J3206" s="12"/>
      <c r="K3206" s="12"/>
      <c r="L3206" s="12"/>
      <c r="M3206" s="12"/>
      <c r="N3206" s="12"/>
      <c r="O3206" s="12"/>
      <c r="P3206" s="12"/>
      <c r="Q3206" s="12"/>
      <c r="R3206" s="12"/>
      <c r="S3206" s="12"/>
      <c r="T3206" s="12"/>
      <c r="U3206" s="12"/>
      <c r="V3206" s="12"/>
      <c r="W3206" s="12"/>
      <c r="X3206" s="12"/>
      <c r="Y3206" s="12"/>
      <c r="Z3206" s="12"/>
      <c r="AA3206" s="12"/>
    </row>
    <row r="3207" ht="26.25" customHeight="1">
      <c r="A3207" s="28" t="s">
        <v>6424</v>
      </c>
      <c r="B3207" s="29" t="s">
        <v>6425</v>
      </c>
      <c r="C3207" s="30">
        <v>3.0</v>
      </c>
      <c r="D3207" s="31">
        <v>408.0</v>
      </c>
      <c r="E3207" s="31">
        <v>4.0</v>
      </c>
      <c r="F3207" s="32" t="str">
        <f t="array" ref="F3207">"https://www.google.com/maps/search/?api=1&amp;query=" &amp; A3207 &amp; "," &amp; B3207</f>
        <v>https://www.google.com/maps/search/?api=1&amp;query=-30.89242236077940,-55.54332492621020</v>
      </c>
      <c r="G3207" s="33" t="str">
        <f t="array" ref="G3207">"https://earth.google.com/web/search/" &amp; A3207 &amp; "," &amp; B3207</f>
        <v>https://earth.google.com/web/search/-30.89242236077940,-55.54332492621020</v>
      </c>
      <c r="H3207" s="12"/>
      <c r="I3207" s="12"/>
      <c r="J3207" s="12"/>
      <c r="K3207" s="12"/>
      <c r="L3207" s="12"/>
      <c r="M3207" s="12"/>
      <c r="N3207" s="12"/>
      <c r="O3207" s="12"/>
      <c r="P3207" s="12"/>
      <c r="Q3207" s="12"/>
      <c r="R3207" s="12"/>
      <c r="S3207" s="12"/>
      <c r="T3207" s="12"/>
      <c r="U3207" s="12"/>
      <c r="V3207" s="12"/>
      <c r="W3207" s="12"/>
      <c r="X3207" s="12"/>
      <c r="Y3207" s="12"/>
      <c r="Z3207" s="12"/>
      <c r="AA3207" s="12"/>
    </row>
    <row r="3208" ht="26.25" customHeight="1">
      <c r="A3208" s="34" t="s">
        <v>6426</v>
      </c>
      <c r="B3208" s="35" t="s">
        <v>6427</v>
      </c>
      <c r="C3208" s="36">
        <v>3.0</v>
      </c>
      <c r="D3208" s="37">
        <v>408.0</v>
      </c>
      <c r="E3208" s="37">
        <v>5.0</v>
      </c>
      <c r="F3208" s="24" t="str">
        <f t="array" ref="F3208">"https://www.google.com/maps/search/?api=1&amp;query=" &amp; A3208 &amp; "," &amp; B3208</f>
        <v>https://www.google.com/maps/search/?api=1&amp;query=-30.89249163075060,-55.54340659420470</v>
      </c>
      <c r="G3208" s="25" t="str">
        <f t="array" ref="G3208">"https://earth.google.com/web/search/" &amp; A3208 &amp; "," &amp; B3208</f>
        <v>https://earth.google.com/web/search/-30.89249163075060,-55.54340659420470</v>
      </c>
      <c r="H3208" s="12"/>
      <c r="I3208" s="12"/>
      <c r="J3208" s="12"/>
      <c r="K3208" s="12"/>
      <c r="L3208" s="12"/>
      <c r="M3208" s="12"/>
      <c r="N3208" s="12"/>
      <c r="O3208" s="12"/>
      <c r="P3208" s="12"/>
      <c r="Q3208" s="12"/>
      <c r="R3208" s="12"/>
      <c r="S3208" s="12"/>
      <c r="T3208" s="12"/>
      <c r="U3208" s="12"/>
      <c r="V3208" s="12"/>
      <c r="W3208" s="12"/>
      <c r="X3208" s="12"/>
      <c r="Y3208" s="12"/>
      <c r="Z3208" s="12"/>
      <c r="AA3208" s="12"/>
    </row>
    <row r="3209" ht="26.25" customHeight="1">
      <c r="A3209" s="28" t="s">
        <v>6428</v>
      </c>
      <c r="B3209" s="29" t="s">
        <v>6429</v>
      </c>
      <c r="C3209" s="30">
        <v>3.0</v>
      </c>
      <c r="D3209" s="31">
        <v>408.0</v>
      </c>
      <c r="E3209" s="31">
        <v>6.0</v>
      </c>
      <c r="F3209" s="32" t="str">
        <f t="array" ref="F3209">"https://www.google.com/maps/search/?api=1&amp;query=" &amp; A3209 &amp; "," &amp; B3209</f>
        <v>https://www.google.com/maps/search/?api=1&amp;query=-30.89254664663500,-55.54343309254970</v>
      </c>
      <c r="G3209" s="33" t="str">
        <f t="array" ref="G3209">"https://earth.google.com/web/search/" &amp; A3209 &amp; "," &amp; B3209</f>
        <v>https://earth.google.com/web/search/-30.89254664663500,-55.54343309254970</v>
      </c>
      <c r="H3209" s="12"/>
      <c r="I3209" s="12"/>
      <c r="J3209" s="12"/>
      <c r="K3209" s="12"/>
      <c r="L3209" s="12"/>
      <c r="M3209" s="12"/>
      <c r="N3209" s="12"/>
      <c r="O3209" s="12"/>
      <c r="P3209" s="12"/>
      <c r="Q3209" s="12"/>
      <c r="R3209" s="12"/>
      <c r="S3209" s="12"/>
      <c r="T3209" s="12"/>
      <c r="U3209" s="12"/>
      <c r="V3209" s="12"/>
      <c r="W3209" s="12"/>
      <c r="X3209" s="12"/>
      <c r="Y3209" s="12"/>
      <c r="Z3209" s="12"/>
      <c r="AA3209" s="12"/>
    </row>
    <row r="3210" ht="26.25" customHeight="1">
      <c r="A3210" s="34" t="s">
        <v>6430</v>
      </c>
      <c r="B3210" s="35" t="s">
        <v>6431</v>
      </c>
      <c r="C3210" s="36">
        <v>3.0</v>
      </c>
      <c r="D3210" s="37">
        <v>408.0</v>
      </c>
      <c r="E3210" s="37">
        <v>7.0</v>
      </c>
      <c r="F3210" s="24" t="str">
        <f t="array" ref="F3210">"https://www.google.com/maps/search/?api=1&amp;query=" &amp; A3210 &amp; "," &amp; B3210</f>
        <v>https://www.google.com/maps/search/?api=1&amp;query=-30.89263002021110,-55.54343924393520</v>
      </c>
      <c r="G3210" s="25" t="str">
        <f t="array" ref="G3210">"https://earth.google.com/web/search/" &amp; A3210 &amp; "," &amp; B3210</f>
        <v>https://earth.google.com/web/search/-30.89263002021110,-55.54343924393520</v>
      </c>
      <c r="H3210" s="12"/>
      <c r="I3210" s="12"/>
      <c r="J3210" s="12"/>
      <c r="K3210" s="12"/>
      <c r="L3210" s="12"/>
      <c r="M3210" s="12"/>
      <c r="N3210" s="12"/>
      <c r="O3210" s="12"/>
      <c r="P3210" s="12"/>
      <c r="Q3210" s="12"/>
      <c r="R3210" s="12"/>
      <c r="S3210" s="12"/>
      <c r="T3210" s="12"/>
      <c r="U3210" s="12"/>
      <c r="V3210" s="12"/>
      <c r="W3210" s="12"/>
      <c r="X3210" s="12"/>
      <c r="Y3210" s="12"/>
      <c r="Z3210" s="12"/>
      <c r="AA3210" s="12"/>
    </row>
    <row r="3211" ht="26.25" customHeight="1">
      <c r="A3211" s="28" t="s">
        <v>6432</v>
      </c>
      <c r="B3211" s="29" t="s">
        <v>6433</v>
      </c>
      <c r="C3211" s="30">
        <v>3.0</v>
      </c>
      <c r="D3211" s="31">
        <v>408.0</v>
      </c>
      <c r="E3211" s="31">
        <v>8.0</v>
      </c>
      <c r="F3211" s="32" t="str">
        <f t="array" ref="F3211">"https://www.google.com/maps/search/?api=1&amp;query=" &amp; A3211 &amp; "," &amp; B3211</f>
        <v>https://www.google.com/maps/search/?api=1&amp;query=-30.89277109327820,-55.54317955304090</v>
      </c>
      <c r="G3211" s="33" t="str">
        <f t="array" ref="G3211">"https://earth.google.com/web/search/" &amp; A3211 &amp; "," &amp; B3211</f>
        <v>https://earth.google.com/web/search/-30.89277109327820,-55.54317955304090</v>
      </c>
      <c r="H3211" s="12"/>
      <c r="I3211" s="12"/>
      <c r="J3211" s="12"/>
      <c r="K3211" s="12"/>
      <c r="L3211" s="12"/>
      <c r="M3211" s="12"/>
      <c r="N3211" s="12"/>
      <c r="O3211" s="12"/>
      <c r="P3211" s="12"/>
      <c r="Q3211" s="12"/>
      <c r="R3211" s="12"/>
      <c r="S3211" s="12"/>
      <c r="T3211" s="12"/>
      <c r="U3211" s="12"/>
      <c r="V3211" s="12"/>
      <c r="W3211" s="12"/>
      <c r="X3211" s="12"/>
      <c r="Y3211" s="12"/>
      <c r="Z3211" s="12"/>
      <c r="AA3211" s="12"/>
    </row>
    <row r="3212" ht="26.25" customHeight="1">
      <c r="A3212" s="34" t="s">
        <v>6434</v>
      </c>
      <c r="B3212" s="35" t="s">
        <v>6435</v>
      </c>
      <c r="C3212" s="36">
        <v>3.0</v>
      </c>
      <c r="D3212" s="37">
        <v>421.0</v>
      </c>
      <c r="E3212" s="37">
        <v>1.0</v>
      </c>
      <c r="F3212" s="24" t="str">
        <f t="array" ref="F3212">"https://www.google.com/maps/search/?api=1&amp;query=" &amp; A3212 &amp; "," &amp; B3212</f>
        <v>https://www.google.com/maps/search/?api=1&amp;query=-30.89974785388350,-55.54825883402220</v>
      </c>
      <c r="G3212" s="25" t="str">
        <f t="array" ref="G3212">"https://earth.google.com/web/search/" &amp; A3212 &amp; "," &amp; B3212</f>
        <v>https://earth.google.com/web/search/-30.89974785388350,-55.54825883402220</v>
      </c>
      <c r="H3212" s="12"/>
      <c r="I3212" s="12"/>
      <c r="J3212" s="12"/>
      <c r="K3212" s="12"/>
      <c r="L3212" s="12"/>
      <c r="M3212" s="12"/>
      <c r="N3212" s="12"/>
      <c r="O3212" s="12"/>
      <c r="P3212" s="12"/>
      <c r="Q3212" s="12"/>
      <c r="R3212" s="12"/>
      <c r="S3212" s="12"/>
      <c r="T3212" s="12"/>
      <c r="U3212" s="12"/>
      <c r="V3212" s="12"/>
      <c r="W3212" s="12"/>
      <c r="X3212" s="12"/>
      <c r="Y3212" s="12"/>
      <c r="Z3212" s="12"/>
      <c r="AA3212" s="12"/>
    </row>
    <row r="3213" ht="26.25" customHeight="1">
      <c r="A3213" s="28" t="s">
        <v>6436</v>
      </c>
      <c r="B3213" s="29" t="s">
        <v>6437</v>
      </c>
      <c r="C3213" s="30">
        <v>3.0</v>
      </c>
      <c r="D3213" s="31">
        <v>421.0</v>
      </c>
      <c r="E3213" s="31">
        <v>2.0</v>
      </c>
      <c r="F3213" s="32" t="str">
        <f t="array" ref="F3213">"https://www.google.com/maps/search/?api=1&amp;query=" &amp; A3213 &amp; "," &amp; B3213</f>
        <v>https://www.google.com/maps/search/?api=1&amp;query=-3.08998443944687,-55.54811524087370</v>
      </c>
      <c r="G3213" s="33" t="str">
        <f t="array" ref="G3213">"https://earth.google.com/web/search/" &amp; A3213 &amp; "," &amp; B3213</f>
        <v>https://earth.google.com/web/search/-3.08998443944687,-55.54811524087370</v>
      </c>
      <c r="H3213" s="12"/>
      <c r="I3213" s="12"/>
      <c r="J3213" s="12"/>
      <c r="K3213" s="12"/>
      <c r="L3213" s="12"/>
      <c r="M3213" s="12"/>
      <c r="N3213" s="12"/>
      <c r="O3213" s="12"/>
      <c r="P3213" s="12"/>
      <c r="Q3213" s="12"/>
      <c r="R3213" s="12"/>
      <c r="S3213" s="12"/>
      <c r="T3213" s="12"/>
      <c r="U3213" s="12"/>
      <c r="V3213" s="12"/>
      <c r="W3213" s="12"/>
      <c r="X3213" s="12"/>
      <c r="Y3213" s="12"/>
      <c r="Z3213" s="12"/>
      <c r="AA3213" s="12"/>
    </row>
    <row r="3214" ht="26.25" customHeight="1">
      <c r="A3214" s="34" t="s">
        <v>6438</v>
      </c>
      <c r="B3214" s="35" t="s">
        <v>6439</v>
      </c>
      <c r="C3214" s="36">
        <v>3.0</v>
      </c>
      <c r="D3214" s="37">
        <v>421.0</v>
      </c>
      <c r="E3214" s="37">
        <v>3.0</v>
      </c>
      <c r="F3214" s="24" t="str">
        <f t="array" ref="F3214">"https://www.google.com/maps/search/?api=1&amp;query=" &amp; A3214 &amp; "," &amp; B3214</f>
        <v>https://www.google.com/maps/search/?api=1&amp;query=-30.89988897457170,-55.54795662744210</v>
      </c>
      <c r="G3214" s="25" t="str">
        <f t="array" ref="G3214">"https://earth.google.com/web/search/" &amp; A3214 &amp; "," &amp; B3214</f>
        <v>https://earth.google.com/web/search/-30.89988897457170,-55.54795662744210</v>
      </c>
      <c r="H3214" s="12"/>
      <c r="I3214" s="12"/>
      <c r="J3214" s="12"/>
      <c r="K3214" s="12"/>
      <c r="L3214" s="12"/>
      <c r="M3214" s="12"/>
      <c r="N3214" s="12"/>
      <c r="O3214" s="12"/>
      <c r="P3214" s="12"/>
      <c r="Q3214" s="12"/>
      <c r="R3214" s="12"/>
      <c r="S3214" s="12"/>
      <c r="T3214" s="12"/>
      <c r="U3214" s="12"/>
      <c r="V3214" s="12"/>
      <c r="W3214" s="12"/>
      <c r="X3214" s="12"/>
      <c r="Y3214" s="12"/>
      <c r="Z3214" s="12"/>
      <c r="AA3214" s="12"/>
    </row>
    <row r="3215" ht="26.25" customHeight="1">
      <c r="A3215" s="28" t="s">
        <v>6440</v>
      </c>
      <c r="B3215" s="29" t="s">
        <v>6441</v>
      </c>
      <c r="C3215" s="30">
        <v>3.0</v>
      </c>
      <c r="D3215" s="31">
        <v>421.0</v>
      </c>
      <c r="E3215" s="31">
        <v>4.0</v>
      </c>
      <c r="F3215" s="32" t="str">
        <f t="array" ref="F3215">"https://www.google.com/maps/search/?api=1&amp;query=" &amp; A3215 &amp; "," &amp; B3215</f>
        <v>https://www.google.com/maps/search/?api=1&amp;query=-30.90000181096800,-55.54777611888120</v>
      </c>
      <c r="G3215" s="33" t="str">
        <f t="array" ref="G3215">"https://earth.google.com/web/search/" &amp; A3215 &amp; "," &amp; B3215</f>
        <v>https://earth.google.com/web/search/-30.90000181096800,-55.54777611888120</v>
      </c>
      <c r="H3215" s="12"/>
      <c r="I3215" s="12"/>
      <c r="J3215" s="12"/>
      <c r="K3215" s="12"/>
      <c r="L3215" s="12"/>
      <c r="M3215" s="12"/>
      <c r="N3215" s="12"/>
      <c r="O3215" s="12"/>
      <c r="P3215" s="12"/>
      <c r="Q3215" s="12"/>
      <c r="R3215" s="12"/>
      <c r="S3215" s="12"/>
      <c r="T3215" s="12"/>
      <c r="U3215" s="12"/>
      <c r="V3215" s="12"/>
      <c r="W3215" s="12"/>
      <c r="X3215" s="12"/>
      <c r="Y3215" s="12"/>
      <c r="Z3215" s="12"/>
      <c r="AA3215" s="12"/>
    </row>
    <row r="3216" ht="26.25" customHeight="1">
      <c r="A3216" s="34" t="s">
        <v>6442</v>
      </c>
      <c r="B3216" s="35" t="s">
        <v>6443</v>
      </c>
      <c r="C3216" s="36">
        <v>3.0</v>
      </c>
      <c r="D3216" s="37">
        <v>421.0</v>
      </c>
      <c r="E3216" s="37">
        <v>5.0</v>
      </c>
      <c r="F3216" s="24" t="str">
        <f t="array" ref="F3216">"https://www.google.com/maps/search/?api=1&amp;query=" &amp; A3216 &amp; "," &amp; B3216</f>
        <v>https://www.google.com/maps/search/?api=1&amp;query=-30.90005545585800,-55.54764290987340</v>
      </c>
      <c r="G3216" s="25" t="str">
        <f t="array" ref="G3216">"https://earth.google.com/web/search/" &amp; A3216 &amp; "," &amp; B3216</f>
        <v>https://earth.google.com/web/search/-30.90005545585800,-55.54764290987340</v>
      </c>
      <c r="H3216" s="12"/>
      <c r="I3216" s="12"/>
      <c r="J3216" s="12"/>
      <c r="K3216" s="12"/>
      <c r="L3216" s="12"/>
      <c r="M3216" s="12"/>
      <c r="N3216" s="12"/>
      <c r="O3216" s="12"/>
      <c r="P3216" s="12"/>
      <c r="Q3216" s="12"/>
      <c r="R3216" s="12"/>
      <c r="S3216" s="12"/>
      <c r="T3216" s="12"/>
      <c r="U3216" s="12"/>
      <c r="V3216" s="12"/>
      <c r="W3216" s="12"/>
      <c r="X3216" s="12"/>
      <c r="Y3216" s="12"/>
      <c r="Z3216" s="12"/>
      <c r="AA3216" s="12"/>
    </row>
    <row r="3217" ht="26.25" customHeight="1">
      <c r="A3217" s="28" t="s">
        <v>6444</v>
      </c>
      <c r="B3217" s="29" t="s">
        <v>6445</v>
      </c>
      <c r="C3217" s="30">
        <v>3.0</v>
      </c>
      <c r="D3217" s="31">
        <v>421.0</v>
      </c>
      <c r="E3217" s="31">
        <v>6.0</v>
      </c>
      <c r="F3217" s="32" t="str">
        <f t="array" ref="F3217">"https://www.google.com/maps/search/?api=1&amp;query=" &amp; A3217 &amp; "," &amp; B3217</f>
        <v>https://www.google.com/maps/search/?api=1&amp;query=-30.89999715042600,-55.54758500744760</v>
      </c>
      <c r="G3217" s="33" t="str">
        <f t="array" ref="G3217">"https://earth.google.com/web/search/" &amp; A3217 &amp; "," &amp; B3217</f>
        <v>https://earth.google.com/web/search/-30.89999715042600,-55.54758500744760</v>
      </c>
      <c r="H3217" s="12"/>
      <c r="I3217" s="12"/>
      <c r="J3217" s="12"/>
      <c r="K3217" s="12"/>
      <c r="L3217" s="12"/>
      <c r="M3217" s="12"/>
      <c r="N3217" s="12"/>
      <c r="O3217" s="12"/>
      <c r="P3217" s="12"/>
      <c r="Q3217" s="12"/>
      <c r="R3217" s="12"/>
      <c r="S3217" s="12"/>
      <c r="T3217" s="12"/>
      <c r="U3217" s="12"/>
      <c r="V3217" s="12"/>
      <c r="W3217" s="12"/>
      <c r="X3217" s="12"/>
      <c r="Y3217" s="12"/>
      <c r="Z3217" s="12"/>
      <c r="AA3217" s="12"/>
    </row>
    <row r="3218" ht="26.25" customHeight="1">
      <c r="A3218" s="34" t="s">
        <v>6446</v>
      </c>
      <c r="B3218" s="35" t="s">
        <v>6447</v>
      </c>
      <c r="C3218" s="36">
        <v>3.0</v>
      </c>
      <c r="D3218" s="37">
        <v>421.0</v>
      </c>
      <c r="E3218" s="37">
        <v>7.0</v>
      </c>
      <c r="F3218" s="24" t="str">
        <f t="array" ref="F3218">"https://www.google.com/maps/search/?api=1&amp;query=" &amp; A3218 &amp; "," &amp; B3218</f>
        <v>https://www.google.com/maps/search/?api=1&amp;query=-30.89986081293210,-55.54746456206060</v>
      </c>
      <c r="G3218" s="25" t="str">
        <f t="array" ref="G3218">"https://earth.google.com/web/search/" &amp; A3218 &amp; "," &amp; B3218</f>
        <v>https://earth.google.com/web/search/-30.89986081293210,-55.54746456206060</v>
      </c>
      <c r="H3218" s="12"/>
      <c r="I3218" s="12"/>
      <c r="J3218" s="12"/>
      <c r="K3218" s="12"/>
      <c r="L3218" s="12"/>
      <c r="M3218" s="12"/>
      <c r="N3218" s="12"/>
      <c r="O3218" s="12"/>
      <c r="P3218" s="12"/>
      <c r="Q3218" s="12"/>
      <c r="R3218" s="12"/>
      <c r="S3218" s="12"/>
      <c r="T3218" s="12"/>
      <c r="U3218" s="12"/>
      <c r="V3218" s="12"/>
      <c r="W3218" s="12"/>
      <c r="X3218" s="12"/>
      <c r="Y3218" s="12"/>
      <c r="Z3218" s="12"/>
      <c r="AA3218" s="12"/>
    </row>
    <row r="3219" ht="26.25" customHeight="1">
      <c r="A3219" s="28" t="s">
        <v>6448</v>
      </c>
      <c r="B3219" s="29" t="s">
        <v>6449</v>
      </c>
      <c r="C3219" s="30">
        <v>3.0</v>
      </c>
      <c r="D3219" s="31">
        <v>421.0</v>
      </c>
      <c r="E3219" s="31">
        <v>8.0</v>
      </c>
      <c r="F3219" s="32" t="str">
        <f t="array" ref="F3219">"https://www.google.com/maps/search/?api=1&amp;query=" &amp; A3219 &amp; "," &amp; B3219</f>
        <v>https://www.google.com/maps/search/?api=1&amp;query=-30.89970646456580,-55.54734773898560</v>
      </c>
      <c r="G3219" s="33" t="str">
        <f t="array" ref="G3219">"https://earth.google.com/web/search/" &amp; A3219 &amp; "," &amp; B3219</f>
        <v>https://earth.google.com/web/search/-30.89970646456580,-55.54734773898560</v>
      </c>
      <c r="H3219" s="12"/>
      <c r="I3219" s="12"/>
      <c r="J3219" s="12"/>
      <c r="K3219" s="12"/>
      <c r="L3219" s="12"/>
      <c r="M3219" s="12"/>
      <c r="N3219" s="12"/>
      <c r="O3219" s="12"/>
      <c r="P3219" s="12"/>
      <c r="Q3219" s="12"/>
      <c r="R3219" s="12"/>
      <c r="S3219" s="12"/>
      <c r="T3219" s="12"/>
      <c r="U3219" s="12"/>
      <c r="V3219" s="12"/>
      <c r="W3219" s="12"/>
      <c r="X3219" s="12"/>
      <c r="Y3219" s="12"/>
      <c r="Z3219" s="12"/>
      <c r="AA3219" s="12"/>
    </row>
    <row r="3220" ht="26.25" customHeight="1">
      <c r="A3220" s="34" t="s">
        <v>6450</v>
      </c>
      <c r="B3220" s="35" t="s">
        <v>6451</v>
      </c>
      <c r="C3220" s="36">
        <v>3.0</v>
      </c>
      <c r="D3220" s="37">
        <v>421.0</v>
      </c>
      <c r="E3220" s="37">
        <v>9.0</v>
      </c>
      <c r="F3220" s="24" t="str">
        <f t="array" ref="F3220">"https://www.google.com/maps/search/?api=1&amp;query=" &amp; A3220 &amp; "," &amp; B3220</f>
        <v>https://www.google.com/maps/search/?api=1&amp;query=-30.89944440739460,-55.54715196139540</v>
      </c>
      <c r="G3220" s="25" t="str">
        <f t="array" ref="G3220">"https://earth.google.com/web/search/" &amp; A3220 &amp; "," &amp; B3220</f>
        <v>https://earth.google.com/web/search/-30.89944440739460,-55.54715196139540</v>
      </c>
      <c r="H3220" s="12"/>
      <c r="I3220" s="12"/>
      <c r="J3220" s="12"/>
      <c r="K3220" s="12"/>
      <c r="L3220" s="12"/>
      <c r="M3220" s="12"/>
      <c r="N3220" s="12"/>
      <c r="O3220" s="12"/>
      <c r="P3220" s="12"/>
      <c r="Q3220" s="12"/>
      <c r="R3220" s="12"/>
      <c r="S3220" s="12"/>
      <c r="T3220" s="12"/>
      <c r="U3220" s="12"/>
      <c r="V3220" s="12"/>
      <c r="W3220" s="12"/>
      <c r="X3220" s="12"/>
      <c r="Y3220" s="12"/>
      <c r="Z3220" s="12"/>
      <c r="AA3220" s="12"/>
    </row>
    <row r="3221" ht="26.25" customHeight="1">
      <c r="A3221" s="28" t="s">
        <v>6452</v>
      </c>
      <c r="B3221" s="29" t="s">
        <v>6453</v>
      </c>
      <c r="C3221" s="30">
        <v>3.0</v>
      </c>
      <c r="D3221" s="31">
        <v>421.0</v>
      </c>
      <c r="E3221" s="31">
        <v>10.0</v>
      </c>
      <c r="F3221" s="32" t="str">
        <f t="array" ref="F3221">"https://www.google.com/maps/search/?api=1&amp;query=" &amp; A3221 &amp; "," &amp; B3221</f>
        <v>https://www.google.com/maps/search/?api=1&amp;query=-30.89909869452280,-55.54803101515600</v>
      </c>
      <c r="G3221" s="33" t="str">
        <f t="array" ref="G3221">"https://earth.google.com/web/search/" &amp; A3221 &amp; "," &amp; B3221</f>
        <v>https://earth.google.com/web/search/-30.89909869452280,-55.54803101515600</v>
      </c>
      <c r="H3221" s="12"/>
      <c r="I3221" s="12"/>
      <c r="J3221" s="12"/>
      <c r="K3221" s="12"/>
      <c r="L3221" s="12"/>
      <c r="M3221" s="12"/>
      <c r="N3221" s="12"/>
      <c r="O3221" s="12"/>
      <c r="P3221" s="12"/>
      <c r="Q3221" s="12"/>
      <c r="R3221" s="12"/>
      <c r="S3221" s="12"/>
      <c r="T3221" s="12"/>
      <c r="U3221" s="12"/>
      <c r="V3221" s="12"/>
      <c r="W3221" s="12"/>
      <c r="X3221" s="12"/>
      <c r="Y3221" s="12"/>
      <c r="Z3221" s="12"/>
      <c r="AA3221" s="12"/>
    </row>
    <row r="3222" ht="26.25" customHeight="1">
      <c r="A3222" s="34" t="s">
        <v>6454</v>
      </c>
      <c r="B3222" s="35" t="s">
        <v>6455</v>
      </c>
      <c r="C3222" s="36">
        <v>3.0</v>
      </c>
      <c r="D3222" s="37">
        <v>421.0</v>
      </c>
      <c r="E3222" s="37">
        <v>11.0</v>
      </c>
      <c r="F3222" s="24" t="str">
        <f t="array" ref="F3222">"https://www.google.com/maps/search/?api=1&amp;query=" &amp; A3222 &amp; "," &amp; B3222</f>
        <v>https://www.google.com/maps/search/?api=1&amp;query=-30.89941577874240,-55.54826614207900</v>
      </c>
      <c r="G3222" s="25" t="str">
        <f t="array" ref="G3222">"https://earth.google.com/web/search/" &amp; A3222 &amp; "," &amp; B3222</f>
        <v>https://earth.google.com/web/search/-30.89941577874240,-55.54826614207900</v>
      </c>
      <c r="H3222" s="12"/>
      <c r="I3222" s="12"/>
      <c r="J3222" s="12"/>
      <c r="K3222" s="12"/>
      <c r="L3222" s="12"/>
      <c r="M3222" s="12"/>
      <c r="N3222" s="12"/>
      <c r="O3222" s="12"/>
      <c r="P3222" s="12"/>
      <c r="Q3222" s="12"/>
      <c r="R3222" s="12"/>
      <c r="S3222" s="12"/>
      <c r="T3222" s="12"/>
      <c r="U3222" s="12"/>
      <c r="V3222" s="12"/>
      <c r="W3222" s="12"/>
      <c r="X3222" s="12"/>
      <c r="Y3222" s="12"/>
      <c r="Z3222" s="12"/>
      <c r="AA3222" s="12"/>
    </row>
    <row r="3223" ht="26.25" customHeight="1">
      <c r="A3223" s="28" t="s">
        <v>6456</v>
      </c>
      <c r="B3223" s="29" t="s">
        <v>6457</v>
      </c>
      <c r="C3223" s="30">
        <v>3.0</v>
      </c>
      <c r="D3223" s="31">
        <v>421.0</v>
      </c>
      <c r="E3223" s="31">
        <v>12.0</v>
      </c>
      <c r="F3223" s="32" t="str">
        <f t="array" ref="F3223">"https://www.google.com/maps/search/?api=1&amp;query=" &amp; A3223 &amp; "," &amp; B3223</f>
        <v>https://www.google.com/maps/search/?api=1&amp;query=-30.89955061986960,-55.54837458087980</v>
      </c>
      <c r="G3223" s="33" t="str">
        <f t="array" ref="G3223">"https://earth.google.com/web/search/" &amp; A3223 &amp; "," &amp; B3223</f>
        <v>https://earth.google.com/web/search/-30.89955061986960,-55.54837458087980</v>
      </c>
      <c r="H3223" s="12"/>
      <c r="I3223" s="12"/>
      <c r="J3223" s="12"/>
      <c r="K3223" s="12"/>
      <c r="L3223" s="12"/>
      <c r="M3223" s="12"/>
      <c r="N3223" s="12"/>
      <c r="O3223" s="12"/>
      <c r="P3223" s="12"/>
      <c r="Q3223" s="12"/>
      <c r="R3223" s="12"/>
      <c r="S3223" s="12"/>
      <c r="T3223" s="12"/>
      <c r="U3223" s="12"/>
      <c r="V3223" s="12"/>
      <c r="W3223" s="12"/>
      <c r="X3223" s="12"/>
      <c r="Y3223" s="12"/>
      <c r="Z3223" s="12"/>
      <c r="AA3223" s="12"/>
    </row>
    <row r="3224" ht="26.25" customHeight="1">
      <c r="A3224" s="34" t="s">
        <v>6458</v>
      </c>
      <c r="B3224" s="35" t="s">
        <v>6459</v>
      </c>
      <c r="C3224" s="36">
        <v>3.0</v>
      </c>
      <c r="D3224" s="37">
        <v>422.0</v>
      </c>
      <c r="E3224" s="37">
        <v>1.0</v>
      </c>
      <c r="F3224" s="24" t="str">
        <f t="array" ref="F3224">"https://www.google.com/maps/search/?api=1&amp;query=" &amp; A3224 &amp; "," &amp; B3224</f>
        <v>https://www.google.com/maps/search/?api=1&amp;query=-30.90183520499710,-5.55462148881838</v>
      </c>
      <c r="G3224" s="25" t="str">
        <f t="array" ref="G3224">"https://earth.google.com/web/search/" &amp; A3224 &amp; "," &amp; B3224</f>
        <v>https://earth.google.com/web/search/-30.90183520499710,-5.55462148881838</v>
      </c>
      <c r="H3224" s="12"/>
      <c r="I3224" s="12"/>
      <c r="J3224" s="12"/>
      <c r="K3224" s="12"/>
      <c r="L3224" s="12"/>
      <c r="M3224" s="12"/>
      <c r="N3224" s="12"/>
      <c r="O3224" s="12"/>
      <c r="P3224" s="12"/>
      <c r="Q3224" s="12"/>
      <c r="R3224" s="12"/>
      <c r="S3224" s="12"/>
      <c r="T3224" s="12"/>
      <c r="U3224" s="12"/>
      <c r="V3224" s="12"/>
      <c r="W3224" s="12"/>
      <c r="X3224" s="12"/>
      <c r="Y3224" s="12"/>
      <c r="Z3224" s="12"/>
      <c r="AA3224" s="12"/>
    </row>
    <row r="3225" ht="26.25" customHeight="1">
      <c r="A3225" s="28" t="s">
        <v>6460</v>
      </c>
      <c r="B3225" s="29" t="s">
        <v>6461</v>
      </c>
      <c r="C3225" s="30">
        <v>3.0</v>
      </c>
      <c r="D3225" s="31">
        <v>960.0</v>
      </c>
      <c r="E3225" s="31">
        <v>1.0</v>
      </c>
      <c r="F3225" s="32" t="str">
        <f t="array" ref="F3225">"https://www.google.com/maps/search/?api=1&amp;query=" &amp; A3225 &amp; "," &amp; B3225</f>
        <v>https://www.google.com/maps/search/?api=1&amp;query=-30.89394206030110,-5.55406012812503</v>
      </c>
      <c r="G3225" s="33" t="str">
        <f t="array" ref="G3225">"https://earth.google.com/web/search/" &amp; A3225 &amp; "," &amp; B3225</f>
        <v>https://earth.google.com/web/search/-30.89394206030110,-5.55406012812503</v>
      </c>
      <c r="H3225" s="12"/>
      <c r="I3225" s="12"/>
      <c r="J3225" s="12"/>
      <c r="K3225" s="12"/>
      <c r="L3225" s="12"/>
      <c r="M3225" s="12"/>
      <c r="N3225" s="12"/>
      <c r="O3225" s="12"/>
      <c r="P3225" s="12"/>
      <c r="Q3225" s="12"/>
      <c r="R3225" s="12"/>
      <c r="S3225" s="12"/>
      <c r="T3225" s="12"/>
      <c r="U3225" s="12"/>
      <c r="V3225" s="12"/>
      <c r="W3225" s="12"/>
      <c r="X3225" s="12"/>
      <c r="Y3225" s="12"/>
      <c r="Z3225" s="12"/>
      <c r="AA3225" s="12"/>
    </row>
    <row r="3226" ht="26.25" customHeight="1">
      <c r="A3226" s="34" t="s">
        <v>6462</v>
      </c>
      <c r="B3226" s="35" t="s">
        <v>6463</v>
      </c>
      <c r="C3226" s="36">
        <v>3.0</v>
      </c>
      <c r="D3226" s="37">
        <v>960.0</v>
      </c>
      <c r="E3226" s="37">
        <v>2.0</v>
      </c>
      <c r="F3226" s="24" t="str">
        <f t="array" ref="F3226">"https://www.google.com/maps/search/?api=1&amp;query=" &amp; A3226 &amp; "," &amp; B3226</f>
        <v>https://www.google.com/maps/search/?api=1&amp;query=-30.89385767058360,-55.54055196966570</v>
      </c>
      <c r="G3226" s="25" t="str">
        <f t="array" ref="G3226">"https://earth.google.com/web/search/" &amp; A3226 &amp; "," &amp; B3226</f>
        <v>https://earth.google.com/web/search/-30.89385767058360,-55.54055196966570</v>
      </c>
      <c r="H3226" s="12"/>
      <c r="I3226" s="12"/>
      <c r="J3226" s="12"/>
      <c r="K3226" s="12"/>
      <c r="L3226" s="12"/>
      <c r="M3226" s="12"/>
      <c r="N3226" s="12"/>
      <c r="O3226" s="12"/>
      <c r="P3226" s="12"/>
      <c r="Q3226" s="12"/>
      <c r="R3226" s="12"/>
      <c r="S3226" s="12"/>
      <c r="T3226" s="12"/>
      <c r="U3226" s="12"/>
      <c r="V3226" s="12"/>
      <c r="W3226" s="12"/>
      <c r="X3226" s="12"/>
      <c r="Y3226" s="12"/>
      <c r="Z3226" s="12"/>
      <c r="AA3226" s="12"/>
    </row>
    <row r="3227" ht="26.25" customHeight="1">
      <c r="A3227" s="28" t="s">
        <v>6464</v>
      </c>
      <c r="B3227" s="29" t="s">
        <v>6465</v>
      </c>
      <c r="C3227" s="30">
        <v>3.0</v>
      </c>
      <c r="D3227" s="31">
        <v>960.0</v>
      </c>
      <c r="E3227" s="31">
        <v>3.0</v>
      </c>
      <c r="F3227" s="32" t="str">
        <f t="array" ref="F3227">"https://www.google.com/maps/search/?api=1&amp;query=" &amp; A3227 &amp; "," &amp; B3227</f>
        <v>https://www.google.com/maps/search/?api=1&amp;query=-30.89384763421330,-55.54065981081390</v>
      </c>
      <c r="G3227" s="33" t="str">
        <f t="array" ref="G3227">"https://earth.google.com/web/search/" &amp; A3227 &amp; "," &amp; B3227</f>
        <v>https://earth.google.com/web/search/-30.89384763421330,-55.54065981081390</v>
      </c>
      <c r="H3227" s="12"/>
      <c r="I3227" s="12"/>
      <c r="J3227" s="12"/>
      <c r="K3227" s="12"/>
      <c r="L3227" s="12"/>
      <c r="M3227" s="12"/>
      <c r="N3227" s="12"/>
      <c r="O3227" s="12"/>
      <c r="P3227" s="12"/>
      <c r="Q3227" s="12"/>
      <c r="R3227" s="12"/>
      <c r="S3227" s="12"/>
      <c r="T3227" s="12"/>
      <c r="U3227" s="12"/>
      <c r="V3227" s="12"/>
      <c r="W3227" s="12"/>
      <c r="X3227" s="12"/>
      <c r="Y3227" s="12"/>
      <c r="Z3227" s="12"/>
      <c r="AA3227" s="12"/>
    </row>
    <row r="3228" ht="26.25" customHeight="1">
      <c r="A3228" s="34" t="s">
        <v>6466</v>
      </c>
      <c r="B3228" s="35" t="s">
        <v>6467</v>
      </c>
      <c r="C3228" s="36">
        <v>3.0</v>
      </c>
      <c r="D3228" s="37">
        <v>960.0</v>
      </c>
      <c r="E3228" s="37">
        <v>4.0</v>
      </c>
      <c r="F3228" s="24" t="str">
        <f t="array" ref="F3228">"https://www.google.com/maps/search/?api=1&amp;query=" &amp; A3228 &amp; "," &amp; B3228</f>
        <v>https://www.google.com/maps/search/?api=1&amp;query=-30.89385997881370,-55.54073410871860</v>
      </c>
      <c r="G3228" s="25" t="str">
        <f t="array" ref="G3228">"https://earth.google.com/web/search/" &amp; A3228 &amp; "," &amp; B3228</f>
        <v>https://earth.google.com/web/search/-30.89385997881370,-55.54073410871860</v>
      </c>
      <c r="H3228" s="12"/>
      <c r="I3228" s="12"/>
      <c r="J3228" s="12"/>
      <c r="K3228" s="12"/>
      <c r="L3228" s="12"/>
      <c r="M3228" s="12"/>
      <c r="N3228" s="12"/>
      <c r="O3228" s="12"/>
      <c r="P3228" s="12"/>
      <c r="Q3228" s="12"/>
      <c r="R3228" s="12"/>
      <c r="S3228" s="12"/>
      <c r="T3228" s="12"/>
      <c r="U3228" s="12"/>
      <c r="V3228" s="12"/>
      <c r="W3228" s="12"/>
      <c r="X3228" s="12"/>
      <c r="Y3228" s="12"/>
      <c r="Z3228" s="12"/>
      <c r="AA3228" s="12"/>
    </row>
    <row r="3229" ht="26.25" customHeight="1">
      <c r="A3229" s="28" t="s">
        <v>6468</v>
      </c>
      <c r="B3229" s="29" t="s">
        <v>6469</v>
      </c>
      <c r="C3229" s="30">
        <v>3.0</v>
      </c>
      <c r="D3229" s="31">
        <v>960.0</v>
      </c>
      <c r="E3229" s="31">
        <v>5.0</v>
      </c>
      <c r="F3229" s="32" t="str">
        <f t="array" ref="F3229">"https://www.google.com/maps/search/?api=1&amp;query=" &amp; A3229 &amp; "," &amp; B3229</f>
        <v>https://www.google.com/maps/search/?api=1&amp;query=-30.89381787545100,-55.54082015324810</v>
      </c>
      <c r="G3229" s="33" t="str">
        <f t="array" ref="G3229">"https://earth.google.com/web/search/" &amp; A3229 &amp; "," &amp; B3229</f>
        <v>https://earth.google.com/web/search/-30.89381787545100,-55.54082015324810</v>
      </c>
      <c r="H3229" s="12"/>
      <c r="I3229" s="12"/>
      <c r="J3229" s="12"/>
      <c r="K3229" s="12"/>
      <c r="L3229" s="12"/>
      <c r="M3229" s="12"/>
      <c r="N3229" s="12"/>
      <c r="O3229" s="12"/>
      <c r="P3229" s="12"/>
      <c r="Q3229" s="12"/>
      <c r="R3229" s="12"/>
      <c r="S3229" s="12"/>
      <c r="T3229" s="12"/>
      <c r="U3229" s="12"/>
      <c r="V3229" s="12"/>
      <c r="W3229" s="12"/>
      <c r="X3229" s="12"/>
      <c r="Y3229" s="12"/>
      <c r="Z3229" s="12"/>
      <c r="AA3229" s="12"/>
    </row>
    <row r="3230" ht="26.25" customHeight="1">
      <c r="A3230" s="34" t="s">
        <v>6470</v>
      </c>
      <c r="B3230" s="35" t="s">
        <v>6471</v>
      </c>
      <c r="C3230" s="36">
        <v>3.0</v>
      </c>
      <c r="D3230" s="37">
        <v>960.0</v>
      </c>
      <c r="E3230" s="37">
        <v>6.0</v>
      </c>
      <c r="F3230" s="24" t="str">
        <f t="array" ref="F3230">"https://www.google.com/maps/search/?api=1&amp;query=" &amp; A3230 &amp; "," &amp; B3230</f>
        <v>https://www.google.com/maps/search/?api=1&amp;query=-30.89371708415230,-55.54083087026530</v>
      </c>
      <c r="G3230" s="25" t="str">
        <f t="array" ref="G3230">"https://earth.google.com/web/search/" &amp; A3230 &amp; "," &amp; B3230</f>
        <v>https://earth.google.com/web/search/-30.89371708415230,-55.54083087026530</v>
      </c>
      <c r="H3230" s="12"/>
      <c r="I3230" s="12"/>
      <c r="J3230" s="12"/>
      <c r="K3230" s="12"/>
      <c r="L3230" s="12"/>
      <c r="M3230" s="12"/>
      <c r="N3230" s="12"/>
      <c r="O3230" s="12"/>
      <c r="P3230" s="12"/>
      <c r="Q3230" s="12"/>
      <c r="R3230" s="12"/>
      <c r="S3230" s="12"/>
      <c r="T3230" s="12"/>
      <c r="U3230" s="12"/>
      <c r="V3230" s="12"/>
      <c r="W3230" s="12"/>
      <c r="X3230" s="12"/>
      <c r="Y3230" s="12"/>
      <c r="Z3230" s="12"/>
      <c r="AA3230" s="12"/>
    </row>
    <row r="3231" ht="26.25" customHeight="1">
      <c r="A3231" s="28" t="s">
        <v>6472</v>
      </c>
      <c r="B3231" s="29" t="s">
        <v>6473</v>
      </c>
      <c r="C3231" s="30">
        <v>3.0</v>
      </c>
      <c r="D3231" s="31">
        <v>960.0</v>
      </c>
      <c r="E3231" s="31">
        <v>7.0</v>
      </c>
      <c r="F3231" s="32" t="str">
        <f t="array" ref="F3231">"https://www.google.com/maps/search/?api=1&amp;query=" &amp; A3231 &amp; "," &amp; B3231</f>
        <v>https://www.google.com/maps/search/?api=1&amp;query=-30.89374669031040,-5.55408787402609</v>
      </c>
      <c r="G3231" s="33" t="str">
        <f t="array" ref="G3231">"https://earth.google.com/web/search/" &amp; A3231 &amp; "," &amp; B3231</f>
        <v>https://earth.google.com/web/search/-30.89374669031040,-5.55408787402609</v>
      </c>
      <c r="H3231" s="12"/>
      <c r="I3231" s="12"/>
      <c r="J3231" s="12"/>
      <c r="K3231" s="12"/>
      <c r="L3231" s="12"/>
      <c r="M3231" s="12"/>
      <c r="N3231" s="12"/>
      <c r="O3231" s="12"/>
      <c r="P3231" s="12"/>
      <c r="Q3231" s="12"/>
      <c r="R3231" s="12"/>
      <c r="S3231" s="12"/>
      <c r="T3231" s="12"/>
      <c r="U3231" s="12"/>
      <c r="V3231" s="12"/>
      <c r="W3231" s="12"/>
      <c r="X3231" s="12"/>
      <c r="Y3231" s="12"/>
      <c r="Z3231" s="12"/>
      <c r="AA3231" s="12"/>
    </row>
    <row r="3232" ht="26.25" customHeight="1">
      <c r="A3232" s="34" t="s">
        <v>6474</v>
      </c>
      <c r="B3232" s="35" t="s">
        <v>6475</v>
      </c>
      <c r="C3232" s="36">
        <v>3.0</v>
      </c>
      <c r="D3232" s="37">
        <v>960.0</v>
      </c>
      <c r="E3232" s="37">
        <v>8.0</v>
      </c>
      <c r="F3232" s="24" t="str">
        <f t="array" ref="F3232">"https://www.google.com/maps/search/?api=1&amp;query=" &amp; A3232 &amp; "," &amp; B3232</f>
        <v>https://www.google.com/maps/search/?api=1&amp;query=-3.08938026501832,-55.54096168119200</v>
      </c>
      <c r="G3232" s="25" t="str">
        <f t="array" ref="G3232">"https://earth.google.com/web/search/" &amp; A3232 &amp; "," &amp; B3232</f>
        <v>https://earth.google.com/web/search/-3.08938026501832,-55.54096168119200</v>
      </c>
      <c r="H3232" s="12"/>
      <c r="I3232" s="12"/>
      <c r="J3232" s="12"/>
      <c r="K3232" s="12"/>
      <c r="L3232" s="12"/>
      <c r="M3232" s="12"/>
      <c r="N3232" s="12"/>
      <c r="O3232" s="12"/>
      <c r="P3232" s="12"/>
      <c r="Q3232" s="12"/>
      <c r="R3232" s="12"/>
      <c r="S3232" s="12"/>
      <c r="T3232" s="12"/>
      <c r="U3232" s="12"/>
      <c r="V3232" s="12"/>
      <c r="W3232" s="12"/>
      <c r="X3232" s="12"/>
      <c r="Y3232" s="12"/>
      <c r="Z3232" s="12"/>
      <c r="AA3232" s="12"/>
    </row>
    <row r="3233" ht="26.25" customHeight="1">
      <c r="A3233" s="28" t="s">
        <v>6476</v>
      </c>
      <c r="B3233" s="29" t="s">
        <v>6477</v>
      </c>
      <c r="C3233" s="30">
        <v>3.0</v>
      </c>
      <c r="D3233" s="31">
        <v>960.0</v>
      </c>
      <c r="E3233" s="31">
        <v>9.0</v>
      </c>
      <c r="F3233" s="32" t="str">
        <f t="array" ref="F3233">"https://www.google.com/maps/search/?api=1&amp;query=" &amp; A3233 &amp; "," &amp; B3233</f>
        <v>https://www.google.com/maps/search/?api=1&amp;query=-30.89385486079690,-55.54104763809280</v>
      </c>
      <c r="G3233" s="33" t="str">
        <f t="array" ref="G3233">"https://earth.google.com/web/search/" &amp; A3233 &amp; "," &amp; B3233</f>
        <v>https://earth.google.com/web/search/-30.89385486079690,-55.54104763809280</v>
      </c>
      <c r="H3233" s="12"/>
      <c r="I3233" s="12"/>
      <c r="J3233" s="12"/>
      <c r="K3233" s="12"/>
      <c r="L3233" s="12"/>
      <c r="M3233" s="12"/>
      <c r="N3233" s="12"/>
      <c r="O3233" s="12"/>
      <c r="P3233" s="12"/>
      <c r="Q3233" s="12"/>
      <c r="R3233" s="12"/>
      <c r="S3233" s="12"/>
      <c r="T3233" s="12"/>
      <c r="U3233" s="12"/>
      <c r="V3233" s="12"/>
      <c r="W3233" s="12"/>
      <c r="X3233" s="12"/>
      <c r="Y3233" s="12"/>
      <c r="Z3233" s="12"/>
      <c r="AA3233" s="12"/>
    </row>
    <row r="3234" ht="26.25" customHeight="1">
      <c r="A3234" s="34" t="s">
        <v>6478</v>
      </c>
      <c r="B3234" s="35" t="s">
        <v>6479</v>
      </c>
      <c r="C3234" s="36">
        <v>3.0</v>
      </c>
      <c r="D3234" s="37">
        <v>960.0</v>
      </c>
      <c r="E3234" s="37">
        <v>10.0</v>
      </c>
      <c r="F3234" s="24" t="str">
        <f t="array" ref="F3234">"https://www.google.com/maps/search/?api=1&amp;query=" &amp; A3234 &amp; "," &amp; B3234</f>
        <v>https://www.google.com/maps/search/?api=1&amp;query=-30.89368527086440,-5.55409280771193</v>
      </c>
      <c r="G3234" s="25" t="str">
        <f t="array" ref="G3234">"https://earth.google.com/web/search/" &amp; A3234 &amp; "," &amp; B3234</f>
        <v>https://earth.google.com/web/search/-30.89368527086440,-5.55409280771193</v>
      </c>
      <c r="H3234" s="12"/>
      <c r="I3234" s="12"/>
      <c r="J3234" s="12"/>
      <c r="K3234" s="12"/>
      <c r="L3234" s="12"/>
      <c r="M3234" s="12"/>
      <c r="N3234" s="12"/>
      <c r="O3234" s="12"/>
      <c r="P3234" s="12"/>
      <c r="Q3234" s="12"/>
      <c r="R3234" s="12"/>
      <c r="S3234" s="12"/>
      <c r="T3234" s="12"/>
      <c r="U3234" s="12"/>
      <c r="V3234" s="12"/>
      <c r="W3234" s="12"/>
      <c r="X3234" s="12"/>
      <c r="Y3234" s="12"/>
      <c r="Z3234" s="12"/>
      <c r="AA3234" s="12"/>
    </row>
    <row r="3235" ht="26.25" customHeight="1">
      <c r="A3235" s="28" t="s">
        <v>6480</v>
      </c>
      <c r="B3235" s="29" t="s">
        <v>6481</v>
      </c>
      <c r="C3235" s="30">
        <v>3.0</v>
      </c>
      <c r="D3235" s="31">
        <v>960.0</v>
      </c>
      <c r="E3235" s="31">
        <v>11.0</v>
      </c>
      <c r="F3235" s="32" t="str">
        <f t="array" ref="F3235">"https://www.google.com/maps/search/?api=1&amp;query=" &amp; A3235 &amp; "," &amp; B3235</f>
        <v>https://www.google.com/maps/search/?api=1&amp;query=-0.30893754103462,-55.54101049963560</v>
      </c>
      <c r="G3235" s="33" t="str">
        <f t="array" ref="G3235">"https://earth.google.com/web/search/" &amp; A3235 &amp; "," &amp; B3235</f>
        <v>https://earth.google.com/web/search/-0.30893754103462,-55.54101049963560</v>
      </c>
      <c r="H3235" s="12"/>
      <c r="I3235" s="12"/>
      <c r="J3235" s="12"/>
      <c r="K3235" s="12"/>
      <c r="L3235" s="12"/>
      <c r="M3235" s="12"/>
      <c r="N3235" s="12"/>
      <c r="O3235" s="12"/>
      <c r="P3235" s="12"/>
      <c r="Q3235" s="12"/>
      <c r="R3235" s="12"/>
      <c r="S3235" s="12"/>
      <c r="T3235" s="12"/>
      <c r="U3235" s="12"/>
      <c r="V3235" s="12"/>
      <c r="W3235" s="12"/>
      <c r="X3235" s="12"/>
      <c r="Y3235" s="12"/>
      <c r="Z3235" s="12"/>
      <c r="AA3235" s="12"/>
    </row>
    <row r="3236" ht="26.25" customHeight="1">
      <c r="A3236" s="34" t="s">
        <v>6482</v>
      </c>
      <c r="B3236" s="35" t="s">
        <v>6483</v>
      </c>
      <c r="C3236" s="36">
        <v>3.0</v>
      </c>
      <c r="D3236" s="37">
        <v>960.0</v>
      </c>
      <c r="E3236" s="37">
        <v>12.0</v>
      </c>
      <c r="F3236" s="24" t="str">
        <f t="array" ref="F3236">"https://www.google.com/maps/search/?api=1&amp;query=" &amp; A3236 &amp; "," &amp; B3236</f>
        <v>https://www.google.com/maps/search/?api=1&amp;query=-30.89368332415500,-55.54101577486690</v>
      </c>
      <c r="G3236" s="25" t="str">
        <f t="array" ref="G3236">"https://earth.google.com/web/search/" &amp; A3236 &amp; "," &amp; B3236</f>
        <v>https://earth.google.com/web/search/-30.89368332415500,-55.54101577486690</v>
      </c>
      <c r="H3236" s="12"/>
      <c r="I3236" s="12"/>
      <c r="J3236" s="12"/>
      <c r="K3236" s="12"/>
      <c r="L3236" s="12"/>
      <c r="M3236" s="12"/>
      <c r="N3236" s="12"/>
      <c r="O3236" s="12"/>
      <c r="P3236" s="12"/>
      <c r="Q3236" s="12"/>
      <c r="R3236" s="12"/>
      <c r="S3236" s="12"/>
      <c r="T3236" s="12"/>
      <c r="U3236" s="12"/>
      <c r="V3236" s="12"/>
      <c r="W3236" s="12"/>
      <c r="X3236" s="12"/>
      <c r="Y3236" s="12"/>
      <c r="Z3236" s="12"/>
      <c r="AA3236" s="12"/>
    </row>
    <row r="3237" ht="26.25" customHeight="1">
      <c r="A3237" s="28" t="s">
        <v>6484</v>
      </c>
      <c r="B3237" s="29" t="s">
        <v>6485</v>
      </c>
      <c r="C3237" s="30">
        <v>3.0</v>
      </c>
      <c r="D3237" s="31">
        <v>960.0</v>
      </c>
      <c r="E3237" s="31">
        <v>13.0</v>
      </c>
      <c r="F3237" s="32" t="str">
        <f t="array" ref="F3237">"https://www.google.com/maps/search/?api=1&amp;query=" &amp; A3237 &amp; "," &amp; B3237</f>
        <v>https://www.google.com/maps/search/?api=1&amp;query=-30.89375015989670,-55.54109997071490</v>
      </c>
      <c r="G3237" s="33" t="str">
        <f t="array" ref="G3237">"https://earth.google.com/web/search/" &amp; A3237 &amp; "," &amp; B3237</f>
        <v>https://earth.google.com/web/search/-30.89375015989670,-55.54109997071490</v>
      </c>
      <c r="H3237" s="12"/>
      <c r="I3237" s="12"/>
      <c r="J3237" s="12"/>
      <c r="K3237" s="12"/>
      <c r="L3237" s="12"/>
      <c r="M3237" s="12"/>
      <c r="N3237" s="12"/>
      <c r="O3237" s="12"/>
      <c r="P3237" s="12"/>
      <c r="Q3237" s="12"/>
      <c r="R3237" s="12"/>
      <c r="S3237" s="12"/>
      <c r="T3237" s="12"/>
      <c r="U3237" s="12"/>
      <c r="V3237" s="12"/>
      <c r="W3237" s="12"/>
      <c r="X3237" s="12"/>
      <c r="Y3237" s="12"/>
      <c r="Z3237" s="12"/>
      <c r="AA3237" s="12"/>
    </row>
    <row r="3238" ht="26.25" customHeight="1">
      <c r="A3238" s="34" t="s">
        <v>6486</v>
      </c>
      <c r="B3238" s="35" t="s">
        <v>6487</v>
      </c>
      <c r="C3238" s="36">
        <v>3.0</v>
      </c>
      <c r="D3238" s="37">
        <v>960.0</v>
      </c>
      <c r="E3238" s="37">
        <v>14.0</v>
      </c>
      <c r="F3238" s="24" t="str">
        <f t="array" ref="F3238">"https://www.google.com/maps/search/?api=1&amp;query=" &amp; A3238 &amp; "," &amp; B3238</f>
        <v>https://www.google.com/maps/search/?api=1&amp;query=-30.89380615808980,-0.55541160061632</v>
      </c>
      <c r="G3238" s="25" t="str">
        <f t="array" ref="G3238">"https://earth.google.com/web/search/" &amp; A3238 &amp; "," &amp; B3238</f>
        <v>https://earth.google.com/web/search/-30.89380615808980,-0.55541160061632</v>
      </c>
      <c r="H3238" s="12"/>
      <c r="I3238" s="12"/>
      <c r="J3238" s="12"/>
      <c r="K3238" s="12"/>
      <c r="L3238" s="12"/>
      <c r="M3238" s="12"/>
      <c r="N3238" s="12"/>
      <c r="O3238" s="12"/>
      <c r="P3238" s="12"/>
      <c r="Q3238" s="12"/>
      <c r="R3238" s="12"/>
      <c r="S3238" s="12"/>
      <c r="T3238" s="12"/>
      <c r="U3238" s="12"/>
      <c r="V3238" s="12"/>
      <c r="W3238" s="12"/>
      <c r="X3238" s="12"/>
      <c r="Y3238" s="12"/>
      <c r="Z3238" s="12"/>
      <c r="AA3238" s="12"/>
    </row>
    <row r="3239" ht="26.25" customHeight="1">
      <c r="A3239" s="28" t="s">
        <v>6488</v>
      </c>
      <c r="B3239" s="29" t="s">
        <v>6489</v>
      </c>
      <c r="C3239" s="30">
        <v>3.0</v>
      </c>
      <c r="D3239" s="31">
        <v>960.0</v>
      </c>
      <c r="E3239" s="31">
        <v>15.0</v>
      </c>
      <c r="F3239" s="32" t="str">
        <f t="array" ref="F3239">"https://www.google.com/maps/search/?api=1&amp;query=" &amp; A3239 &amp; "," &amp; B3239</f>
        <v>https://www.google.com/maps/search/?api=1&amp;query=-30.89363994469240,-55.54110011623130</v>
      </c>
      <c r="G3239" s="33" t="str">
        <f t="array" ref="G3239">"https://earth.google.com/web/search/" &amp; A3239 &amp; "," &amp; B3239</f>
        <v>https://earth.google.com/web/search/-30.89363994469240,-55.54110011623130</v>
      </c>
      <c r="H3239" s="12"/>
      <c r="I3239" s="12"/>
      <c r="J3239" s="12"/>
      <c r="K3239" s="12"/>
      <c r="L3239" s="12"/>
      <c r="M3239" s="12"/>
      <c r="N3239" s="12"/>
      <c r="O3239" s="12"/>
      <c r="P3239" s="12"/>
      <c r="Q3239" s="12"/>
      <c r="R3239" s="12"/>
      <c r="S3239" s="12"/>
      <c r="T3239" s="12"/>
      <c r="U3239" s="12"/>
      <c r="V3239" s="12"/>
      <c r="W3239" s="12"/>
      <c r="X3239" s="12"/>
      <c r="Y3239" s="12"/>
      <c r="Z3239" s="12"/>
      <c r="AA3239" s="12"/>
    </row>
    <row r="3240" ht="26.25" customHeight="1">
      <c r="A3240" s="34" t="s">
        <v>6490</v>
      </c>
      <c r="B3240" s="35" t="s">
        <v>6491</v>
      </c>
      <c r="C3240" s="36">
        <v>3.0</v>
      </c>
      <c r="D3240" s="37">
        <v>960.0</v>
      </c>
      <c r="E3240" s="37">
        <v>16.0</v>
      </c>
      <c r="F3240" s="24" t="str">
        <f t="array" ref="F3240">"https://www.google.com/maps/search/?api=1&amp;query=" &amp; A3240 &amp; "," &amp; B3240</f>
        <v>https://www.google.com/maps/search/?api=1&amp;query=-30.89367964637100,-55.54117880856840</v>
      </c>
      <c r="G3240" s="25" t="str">
        <f t="array" ref="G3240">"https://earth.google.com/web/search/" &amp; A3240 &amp; "," &amp; B3240</f>
        <v>https://earth.google.com/web/search/-30.89367964637100,-55.54117880856840</v>
      </c>
      <c r="H3240" s="12"/>
      <c r="I3240" s="12"/>
      <c r="J3240" s="12"/>
      <c r="K3240" s="12"/>
      <c r="L3240" s="12"/>
      <c r="M3240" s="12"/>
      <c r="N3240" s="12"/>
      <c r="O3240" s="12"/>
      <c r="P3240" s="12"/>
      <c r="Q3240" s="12"/>
      <c r="R3240" s="12"/>
      <c r="S3240" s="12"/>
      <c r="T3240" s="12"/>
      <c r="U3240" s="12"/>
      <c r="V3240" s="12"/>
      <c r="W3240" s="12"/>
      <c r="X3240" s="12"/>
      <c r="Y3240" s="12"/>
      <c r="Z3240" s="12"/>
      <c r="AA3240" s="12"/>
    </row>
    <row r="3241" ht="26.25" customHeight="1">
      <c r="A3241" s="28" t="s">
        <v>6492</v>
      </c>
      <c r="B3241" s="29" t="s">
        <v>6493</v>
      </c>
      <c r="C3241" s="30">
        <v>3.0</v>
      </c>
      <c r="D3241" s="31">
        <v>960.0</v>
      </c>
      <c r="E3241" s="31">
        <v>17.0</v>
      </c>
      <c r="F3241" s="32" t="str">
        <f t="array" ref="F3241">"https://www.google.com/maps/search/?api=1&amp;query=" &amp; A3241 &amp; "," &amp; B3241</f>
        <v>https://www.google.com/maps/search/?api=1&amp;query=-30.89374289381260,-55.54119509036130</v>
      </c>
      <c r="G3241" s="33" t="str">
        <f t="array" ref="G3241">"https://earth.google.com/web/search/" &amp; A3241 &amp; "," &amp; B3241</f>
        <v>https://earth.google.com/web/search/-30.89374289381260,-55.54119509036130</v>
      </c>
      <c r="H3241" s="12"/>
      <c r="I3241" s="12"/>
      <c r="J3241" s="12"/>
      <c r="K3241" s="12"/>
      <c r="L3241" s="12"/>
      <c r="M3241" s="12"/>
      <c r="N3241" s="12"/>
      <c r="O3241" s="12"/>
      <c r="P3241" s="12"/>
      <c r="Q3241" s="12"/>
      <c r="R3241" s="12"/>
      <c r="S3241" s="12"/>
      <c r="T3241" s="12"/>
      <c r="U3241" s="12"/>
      <c r="V3241" s="12"/>
      <c r="W3241" s="12"/>
      <c r="X3241" s="12"/>
      <c r="Y3241" s="12"/>
      <c r="Z3241" s="12"/>
      <c r="AA3241" s="12"/>
    </row>
    <row r="3242" ht="26.25" customHeight="1">
      <c r="A3242" s="34" t="s">
        <v>6494</v>
      </c>
      <c r="B3242" s="35" t="s">
        <v>6495</v>
      </c>
      <c r="C3242" s="36">
        <v>3.0</v>
      </c>
      <c r="D3242" s="37">
        <v>960.0</v>
      </c>
      <c r="E3242" s="37">
        <v>18.0</v>
      </c>
      <c r="F3242" s="24" t="str">
        <f t="array" ref="F3242">"https://www.google.com/maps/search/?api=1&amp;query=" &amp; A3242 &amp; "," &amp; B3242</f>
        <v>https://www.google.com/maps/search/?api=1&amp;query=-30.89361169043690,-55.54121877347380</v>
      </c>
      <c r="G3242" s="25" t="str">
        <f t="array" ref="G3242">"https://earth.google.com/web/search/" &amp; A3242 &amp; "," &amp; B3242</f>
        <v>https://earth.google.com/web/search/-30.89361169043690,-55.54121877347380</v>
      </c>
      <c r="H3242" s="12"/>
      <c r="I3242" s="12"/>
      <c r="J3242" s="12"/>
      <c r="K3242" s="12"/>
      <c r="L3242" s="12"/>
      <c r="M3242" s="12"/>
      <c r="N3242" s="12"/>
      <c r="O3242" s="12"/>
      <c r="P3242" s="12"/>
      <c r="Q3242" s="12"/>
      <c r="R3242" s="12"/>
      <c r="S3242" s="12"/>
      <c r="T3242" s="12"/>
      <c r="U3242" s="12"/>
      <c r="V3242" s="12"/>
      <c r="W3242" s="12"/>
      <c r="X3242" s="12"/>
      <c r="Y3242" s="12"/>
      <c r="Z3242" s="12"/>
      <c r="AA3242" s="12"/>
    </row>
    <row r="3243" ht="26.25" customHeight="1">
      <c r="A3243" s="28" t="s">
        <v>6496</v>
      </c>
      <c r="B3243" s="29" t="s">
        <v>6497</v>
      </c>
      <c r="C3243" s="30">
        <v>3.0</v>
      </c>
      <c r="D3243" s="31">
        <v>960.0</v>
      </c>
      <c r="E3243" s="31">
        <v>19.0</v>
      </c>
      <c r="F3243" s="32" t="str">
        <f t="array" ref="F3243">"https://www.google.com/maps/search/?api=1&amp;query=" &amp; A3243 &amp; "," &amp; B3243</f>
        <v>https://www.google.com/maps/search/?api=1&amp;query=-30.89363426312940,-55.54133263138480</v>
      </c>
      <c r="G3243" s="33" t="str">
        <f t="array" ref="G3243">"https://earth.google.com/web/search/" &amp; A3243 &amp; "," &amp; B3243</f>
        <v>https://earth.google.com/web/search/-30.89363426312940,-55.54133263138480</v>
      </c>
      <c r="H3243" s="12"/>
      <c r="I3243" s="12"/>
      <c r="J3243" s="12"/>
      <c r="K3243" s="12"/>
      <c r="L3243" s="12"/>
      <c r="M3243" s="12"/>
      <c r="N3243" s="12"/>
      <c r="O3243" s="12"/>
      <c r="P3243" s="12"/>
      <c r="Q3243" s="12"/>
      <c r="R3243" s="12"/>
      <c r="S3243" s="12"/>
      <c r="T3243" s="12"/>
      <c r="U3243" s="12"/>
      <c r="V3243" s="12"/>
      <c r="W3243" s="12"/>
      <c r="X3243" s="12"/>
      <c r="Y3243" s="12"/>
      <c r="Z3243" s="12"/>
      <c r="AA3243" s="12"/>
    </row>
    <row r="3244" ht="26.25" customHeight="1">
      <c r="A3244" s="34" t="s">
        <v>6498</v>
      </c>
      <c r="B3244" s="35" t="s">
        <v>6499</v>
      </c>
      <c r="C3244" s="36">
        <v>3.0</v>
      </c>
      <c r="D3244" s="37">
        <v>960.0</v>
      </c>
      <c r="E3244" s="37">
        <v>20.0</v>
      </c>
      <c r="F3244" s="24" t="str">
        <f t="array" ref="F3244">"https://www.google.com/maps/search/?api=1&amp;query=" &amp; A3244 &amp; "," &amp; B3244</f>
        <v>https://www.google.com/maps/search/?api=1&amp;query=-30.89356323540260,-55.54134278800260</v>
      </c>
      <c r="G3244" s="25" t="str">
        <f t="array" ref="G3244">"https://earth.google.com/web/search/" &amp; A3244 &amp; "," &amp; B3244</f>
        <v>https://earth.google.com/web/search/-30.89356323540260,-55.54134278800260</v>
      </c>
      <c r="H3244" s="12"/>
      <c r="I3244" s="12"/>
      <c r="J3244" s="12"/>
      <c r="K3244" s="12"/>
      <c r="L3244" s="12"/>
      <c r="M3244" s="12"/>
      <c r="N3244" s="12"/>
      <c r="O3244" s="12"/>
      <c r="P3244" s="12"/>
      <c r="Q3244" s="12"/>
      <c r="R3244" s="12"/>
      <c r="S3244" s="12"/>
      <c r="T3244" s="12"/>
      <c r="U3244" s="12"/>
      <c r="V3244" s="12"/>
      <c r="W3244" s="12"/>
      <c r="X3244" s="12"/>
      <c r="Y3244" s="12"/>
      <c r="Z3244" s="12"/>
      <c r="AA3244" s="12"/>
    </row>
    <row r="3245" ht="26.25" customHeight="1">
      <c r="A3245" s="28" t="s">
        <v>6500</v>
      </c>
      <c r="B3245" s="29" t="s">
        <v>6501</v>
      </c>
      <c r="C3245" s="30">
        <v>3.0</v>
      </c>
      <c r="D3245" s="31">
        <v>960.0</v>
      </c>
      <c r="E3245" s="31">
        <v>21.0</v>
      </c>
      <c r="F3245" s="32" t="str">
        <f t="array" ref="F3245">"https://www.google.com/maps/search/?api=1&amp;query=" &amp; A3245 &amp; "," &amp; B3245</f>
        <v>https://www.google.com/maps/search/?api=1&amp;query=-30.89366795699740,-55.54139469554530</v>
      </c>
      <c r="G3245" s="33" t="str">
        <f t="array" ref="G3245">"https://earth.google.com/web/search/" &amp; A3245 &amp; "," &amp; B3245</f>
        <v>https://earth.google.com/web/search/-30.89366795699740,-55.54139469554530</v>
      </c>
      <c r="H3245" s="12"/>
      <c r="I3245" s="12"/>
      <c r="J3245" s="12"/>
      <c r="K3245" s="12"/>
      <c r="L3245" s="12"/>
      <c r="M3245" s="12"/>
      <c r="N3245" s="12"/>
      <c r="O3245" s="12"/>
      <c r="P3245" s="12"/>
      <c r="Q3245" s="12"/>
      <c r="R3245" s="12"/>
      <c r="S3245" s="12"/>
      <c r="T3245" s="12"/>
      <c r="U3245" s="12"/>
      <c r="V3245" s="12"/>
      <c r="W3245" s="12"/>
      <c r="X3245" s="12"/>
      <c r="Y3245" s="12"/>
      <c r="Z3245" s="12"/>
      <c r="AA3245" s="12"/>
    </row>
    <row r="3246" ht="26.25" customHeight="1">
      <c r="A3246" s="34" t="s">
        <v>6502</v>
      </c>
      <c r="B3246" s="35" t="s">
        <v>6503</v>
      </c>
      <c r="C3246" s="36">
        <v>3.0</v>
      </c>
      <c r="D3246" s="37">
        <v>225.0</v>
      </c>
      <c r="E3246" s="37">
        <v>1.0</v>
      </c>
      <c r="F3246" s="24" t="str">
        <f t="array" ref="F3246">"https://www.google.com/maps/search/?api=1&amp;query=" &amp; A3246 &amp; "," &amp; B3246</f>
        <v>https://www.google.com/maps/search/?api=1&amp;query=-3.08999605598469,-55.54384528149230</v>
      </c>
      <c r="G3246" s="25" t="str">
        <f t="array" ref="G3246">"https://earth.google.com/web/search/" &amp; A3246 &amp; "," &amp; B3246</f>
        <v>https://earth.google.com/web/search/-3.08999605598469,-55.54384528149230</v>
      </c>
      <c r="H3246" s="12"/>
      <c r="I3246" s="12"/>
      <c r="J3246" s="12"/>
      <c r="K3246" s="12"/>
      <c r="L3246" s="12"/>
      <c r="M3246" s="12"/>
      <c r="N3246" s="12"/>
      <c r="O3246" s="12"/>
      <c r="P3246" s="12"/>
      <c r="Q3246" s="12"/>
      <c r="R3246" s="12"/>
      <c r="S3246" s="12"/>
      <c r="T3246" s="12"/>
      <c r="U3246" s="12"/>
      <c r="V3246" s="12"/>
      <c r="W3246" s="12"/>
      <c r="X3246" s="12"/>
      <c r="Y3246" s="12"/>
      <c r="Z3246" s="12"/>
      <c r="AA3246" s="12"/>
    </row>
    <row r="3247" ht="26.25" customHeight="1">
      <c r="A3247" s="28" t="s">
        <v>6504</v>
      </c>
      <c r="B3247" s="29" t="s">
        <v>6505</v>
      </c>
      <c r="C3247" s="30">
        <v>3.0</v>
      </c>
      <c r="D3247" s="31">
        <v>225.0</v>
      </c>
      <c r="E3247" s="31">
        <v>2.0</v>
      </c>
      <c r="F3247" s="32" t="str">
        <f t="array" ref="F3247">"https://www.google.com/maps/search/?api=1&amp;query=" &amp; A3247 &amp; "," &amp; B3247</f>
        <v>https://www.google.com/maps/search/?api=1&amp;query=-30.89991102512570,-55.54388517767540</v>
      </c>
      <c r="G3247" s="33" t="str">
        <f t="array" ref="G3247">"https://earth.google.com/web/search/" &amp; A3247 &amp; "," &amp; B3247</f>
        <v>https://earth.google.com/web/search/-30.89991102512570,-55.54388517767540</v>
      </c>
      <c r="H3247" s="12"/>
      <c r="I3247" s="12"/>
      <c r="J3247" s="12"/>
      <c r="K3247" s="12"/>
      <c r="L3247" s="12"/>
      <c r="M3247" s="12"/>
      <c r="N3247" s="12"/>
      <c r="O3247" s="12"/>
      <c r="P3247" s="12"/>
      <c r="Q3247" s="12"/>
      <c r="R3247" s="12"/>
      <c r="S3247" s="12"/>
      <c r="T3247" s="12"/>
      <c r="U3247" s="12"/>
      <c r="V3247" s="12"/>
      <c r="W3247" s="12"/>
      <c r="X3247" s="12"/>
      <c r="Y3247" s="12"/>
      <c r="Z3247" s="12"/>
      <c r="AA3247" s="12"/>
    </row>
    <row r="3248" ht="26.25" customHeight="1">
      <c r="A3248" s="34" t="s">
        <v>6506</v>
      </c>
      <c r="B3248" s="35" t="s">
        <v>6507</v>
      </c>
      <c r="C3248" s="36">
        <v>3.0</v>
      </c>
      <c r="D3248" s="37">
        <v>225.0</v>
      </c>
      <c r="E3248" s="37">
        <v>3.0</v>
      </c>
      <c r="F3248" s="24" t="str">
        <f t="array" ref="F3248">"https://www.google.com/maps/search/?api=1&amp;query=" &amp; A3248 &amp; "," &amp; B3248</f>
        <v>https://www.google.com/maps/search/?api=1&amp;query=-30.89981679966460,-5.55440348108118</v>
      </c>
      <c r="G3248" s="25" t="str">
        <f t="array" ref="G3248">"https://earth.google.com/web/search/" &amp; A3248 &amp; "," &amp; B3248</f>
        <v>https://earth.google.com/web/search/-30.89981679966460,-5.55440348108118</v>
      </c>
      <c r="H3248" s="12"/>
      <c r="I3248" s="12"/>
      <c r="J3248" s="12"/>
      <c r="K3248" s="12"/>
      <c r="L3248" s="12"/>
      <c r="M3248" s="12"/>
      <c r="N3248" s="12"/>
      <c r="O3248" s="12"/>
      <c r="P3248" s="12"/>
      <c r="Q3248" s="12"/>
      <c r="R3248" s="12"/>
      <c r="S3248" s="12"/>
      <c r="T3248" s="12"/>
      <c r="U3248" s="12"/>
      <c r="V3248" s="12"/>
      <c r="W3248" s="12"/>
      <c r="X3248" s="12"/>
      <c r="Y3248" s="12"/>
      <c r="Z3248" s="12"/>
      <c r="AA3248" s="12"/>
    </row>
    <row r="3249" ht="26.25" customHeight="1">
      <c r="A3249" s="28" t="s">
        <v>6508</v>
      </c>
      <c r="B3249" s="29" t="s">
        <v>6509</v>
      </c>
      <c r="C3249" s="30">
        <v>3.0</v>
      </c>
      <c r="D3249" s="31">
        <v>225.0</v>
      </c>
      <c r="E3249" s="31">
        <v>4.0</v>
      </c>
      <c r="F3249" s="32" t="str">
        <f t="array" ref="F3249">"https://www.google.com/maps/search/?api=1&amp;query=" &amp; A3249 &amp; "," &amp; B3249</f>
        <v>https://www.google.com/maps/search/?api=1&amp;query=-30.89968556617680,-55.54426659609950</v>
      </c>
      <c r="G3249" s="33" t="str">
        <f t="array" ref="G3249">"https://earth.google.com/web/search/" &amp; A3249 &amp; "," &amp; B3249</f>
        <v>https://earth.google.com/web/search/-30.89968556617680,-55.54426659609950</v>
      </c>
      <c r="H3249" s="12"/>
      <c r="I3249" s="12"/>
      <c r="J3249" s="12"/>
      <c r="K3249" s="12"/>
      <c r="L3249" s="12"/>
      <c r="M3249" s="12"/>
      <c r="N3249" s="12"/>
      <c r="O3249" s="12"/>
      <c r="P3249" s="12"/>
      <c r="Q3249" s="12"/>
      <c r="R3249" s="12"/>
      <c r="S3249" s="12"/>
      <c r="T3249" s="12"/>
      <c r="U3249" s="12"/>
      <c r="V3249" s="12"/>
      <c r="W3249" s="12"/>
      <c r="X3249" s="12"/>
      <c r="Y3249" s="12"/>
      <c r="Z3249" s="12"/>
      <c r="AA3249" s="12"/>
    </row>
    <row r="3250" ht="26.25" customHeight="1">
      <c r="A3250" s="34" t="s">
        <v>6510</v>
      </c>
      <c r="B3250" s="35" t="s">
        <v>6511</v>
      </c>
      <c r="C3250" s="36">
        <v>3.0</v>
      </c>
      <c r="D3250" s="37">
        <v>225.0</v>
      </c>
      <c r="E3250" s="37">
        <v>5.0</v>
      </c>
      <c r="F3250" s="24" t="str">
        <f t="array" ref="F3250">"https://www.google.com/maps/search/?api=1&amp;query=" &amp; A3250 &amp; "," &amp; B3250</f>
        <v>https://www.google.com/maps/search/?api=1&amp;query=-30.89963405716900,-5.55443476787419</v>
      </c>
      <c r="G3250" s="25" t="str">
        <f t="array" ref="G3250">"https://earth.google.com/web/search/" &amp; A3250 &amp; "," &amp; B3250</f>
        <v>https://earth.google.com/web/search/-30.89963405716900,-5.55443476787419</v>
      </c>
      <c r="H3250" s="12"/>
      <c r="I3250" s="12"/>
      <c r="J3250" s="12"/>
      <c r="K3250" s="12"/>
      <c r="L3250" s="12"/>
      <c r="M3250" s="12"/>
      <c r="N3250" s="12"/>
      <c r="O3250" s="12"/>
      <c r="P3250" s="12"/>
      <c r="Q3250" s="12"/>
      <c r="R3250" s="12"/>
      <c r="S3250" s="12"/>
      <c r="T3250" s="12"/>
      <c r="U3250" s="12"/>
      <c r="V3250" s="12"/>
      <c r="W3250" s="12"/>
      <c r="X3250" s="12"/>
      <c r="Y3250" s="12"/>
      <c r="Z3250" s="12"/>
      <c r="AA3250" s="12"/>
    </row>
    <row r="3251" ht="26.25" customHeight="1">
      <c r="A3251" s="28" t="s">
        <v>6512</v>
      </c>
      <c r="B3251" s="29" t="s">
        <v>6513</v>
      </c>
      <c r="C3251" s="30">
        <v>3.0</v>
      </c>
      <c r="D3251" s="31">
        <v>225.0</v>
      </c>
      <c r="E3251" s="31">
        <v>6.0</v>
      </c>
      <c r="F3251" s="32" t="str">
        <f t="array" ref="F3251">"https://www.google.com/maps/search/?api=1&amp;query=" &amp; A3251 &amp; "," &amp; B3251</f>
        <v>https://www.google.com/maps/search/?api=1&amp;query=-30.89959942185070,-5.55444256128643</v>
      </c>
      <c r="G3251" s="33" t="str">
        <f t="array" ref="G3251">"https://earth.google.com/web/search/" &amp; A3251 &amp; "," &amp; B3251</f>
        <v>https://earth.google.com/web/search/-30.89959942185070,-5.55444256128643</v>
      </c>
      <c r="H3251" s="12"/>
      <c r="I3251" s="12"/>
      <c r="J3251" s="12"/>
      <c r="K3251" s="12"/>
      <c r="L3251" s="12"/>
      <c r="M3251" s="12"/>
      <c r="N3251" s="12"/>
      <c r="O3251" s="12"/>
      <c r="P3251" s="12"/>
      <c r="Q3251" s="12"/>
      <c r="R3251" s="12"/>
      <c r="S3251" s="12"/>
      <c r="T3251" s="12"/>
      <c r="U3251" s="12"/>
      <c r="V3251" s="12"/>
      <c r="W3251" s="12"/>
      <c r="X3251" s="12"/>
      <c r="Y3251" s="12"/>
      <c r="Z3251" s="12"/>
      <c r="AA3251" s="12"/>
    </row>
    <row r="3252" ht="26.25" customHeight="1">
      <c r="A3252" s="34" t="s">
        <v>6514</v>
      </c>
      <c r="B3252" s="35" t="s">
        <v>6515</v>
      </c>
      <c r="C3252" s="36">
        <v>3.0</v>
      </c>
      <c r="D3252" s="37">
        <v>225.0</v>
      </c>
      <c r="E3252" s="37">
        <v>7.0</v>
      </c>
      <c r="F3252" s="24" t="str">
        <f t="array" ref="F3252">"https://www.google.com/maps/search/?api=1&amp;query=" &amp; A3252 &amp; "," &amp; B3252</f>
        <v>https://www.google.com/maps/search/?api=1&amp;query=-30.89896728690300,-55.54380410044500</v>
      </c>
      <c r="G3252" s="25" t="str">
        <f t="array" ref="G3252">"https://earth.google.com/web/search/" &amp; A3252 &amp; "," &amp; B3252</f>
        <v>https://earth.google.com/web/search/-30.89896728690300,-55.54380410044500</v>
      </c>
      <c r="H3252" s="12"/>
      <c r="I3252" s="12"/>
      <c r="J3252" s="12"/>
      <c r="K3252" s="12"/>
      <c r="L3252" s="12"/>
      <c r="M3252" s="12"/>
      <c r="N3252" s="12"/>
      <c r="O3252" s="12"/>
      <c r="P3252" s="12"/>
      <c r="Q3252" s="12"/>
      <c r="R3252" s="12"/>
      <c r="S3252" s="12"/>
      <c r="T3252" s="12"/>
      <c r="U3252" s="12"/>
      <c r="V3252" s="12"/>
      <c r="W3252" s="12"/>
      <c r="X3252" s="12"/>
      <c r="Y3252" s="12"/>
      <c r="Z3252" s="12"/>
      <c r="AA3252" s="12"/>
    </row>
    <row r="3253" ht="26.25" customHeight="1">
      <c r="A3253" s="28" t="s">
        <v>6516</v>
      </c>
      <c r="B3253" s="29" t="s">
        <v>6517</v>
      </c>
      <c r="C3253" s="30">
        <v>3.0</v>
      </c>
      <c r="D3253" s="31">
        <v>225.0</v>
      </c>
      <c r="E3253" s="31">
        <v>8.0</v>
      </c>
      <c r="F3253" s="32" t="str">
        <f t="array" ref="F3253">"https://www.google.com/maps/search/?api=1&amp;query=" &amp; A3253 &amp; "," &amp; B3253</f>
        <v>https://www.google.com/maps/search/?api=1&amp;query=-30.89910970171110,-55.54355468002020</v>
      </c>
      <c r="G3253" s="33" t="str">
        <f t="array" ref="G3253">"https://earth.google.com/web/search/" &amp; A3253 &amp; "," &amp; B3253</f>
        <v>https://earth.google.com/web/search/-30.89910970171110,-55.54355468002020</v>
      </c>
      <c r="H3253" s="12"/>
      <c r="I3253" s="12"/>
      <c r="J3253" s="12"/>
      <c r="K3253" s="12"/>
      <c r="L3253" s="12"/>
      <c r="M3253" s="12"/>
      <c r="N3253" s="12"/>
      <c r="O3253" s="12"/>
      <c r="P3253" s="12"/>
      <c r="Q3253" s="12"/>
      <c r="R3253" s="12"/>
      <c r="S3253" s="12"/>
      <c r="T3253" s="12"/>
      <c r="U3253" s="12"/>
      <c r="V3253" s="12"/>
      <c r="W3253" s="12"/>
      <c r="X3253" s="12"/>
      <c r="Y3253" s="12"/>
      <c r="Z3253" s="12"/>
      <c r="AA3253" s="12"/>
    </row>
    <row r="3254" ht="26.25" customHeight="1">
      <c r="A3254" s="34" t="s">
        <v>6518</v>
      </c>
      <c r="B3254" s="35" t="s">
        <v>6519</v>
      </c>
      <c r="C3254" s="36">
        <v>3.0</v>
      </c>
      <c r="D3254" s="37">
        <v>225.0</v>
      </c>
      <c r="E3254" s="37">
        <v>9.0</v>
      </c>
      <c r="F3254" s="24" t="str">
        <f t="array" ref="F3254">"https://www.google.com/maps/search/?api=1&amp;query=" &amp; A3254 &amp; "," &amp; B3254</f>
        <v>https://www.google.com/maps/search/?api=1&amp;query=-30.89951963379210,-55.54343808561390</v>
      </c>
      <c r="G3254" s="25" t="str">
        <f t="array" ref="G3254">"https://earth.google.com/web/search/" &amp; A3254 &amp; "," &amp; B3254</f>
        <v>https://earth.google.com/web/search/-30.89951963379210,-55.54343808561390</v>
      </c>
      <c r="H3254" s="12"/>
      <c r="I3254" s="12"/>
      <c r="J3254" s="12"/>
      <c r="K3254" s="12"/>
      <c r="L3254" s="12"/>
      <c r="M3254" s="12"/>
      <c r="N3254" s="12"/>
      <c r="O3254" s="12"/>
      <c r="P3254" s="12"/>
      <c r="Q3254" s="12"/>
      <c r="R3254" s="12"/>
      <c r="S3254" s="12"/>
      <c r="T3254" s="12"/>
      <c r="U3254" s="12"/>
      <c r="V3254" s="12"/>
      <c r="W3254" s="12"/>
      <c r="X3254" s="12"/>
      <c r="Y3254" s="12"/>
      <c r="Z3254" s="12"/>
      <c r="AA3254" s="12"/>
    </row>
    <row r="3255" ht="26.25" customHeight="1">
      <c r="A3255" s="28" t="s">
        <v>6520</v>
      </c>
      <c r="B3255" s="29" t="s">
        <v>6521</v>
      </c>
      <c r="C3255" s="30">
        <v>3.0</v>
      </c>
      <c r="D3255" s="31">
        <v>225.0</v>
      </c>
      <c r="E3255" s="31">
        <v>10.0</v>
      </c>
      <c r="F3255" s="32" t="str">
        <f t="array" ref="F3255">"https://www.google.com/maps/search/?api=1&amp;query=" &amp; A3255 &amp; "," &amp; B3255</f>
        <v>https://www.google.com/maps/search/?api=1&amp;query=-30.89955820792130,-55.54348880941510</v>
      </c>
      <c r="G3255" s="33" t="str">
        <f t="array" ref="G3255">"https://earth.google.com/web/search/" &amp; A3255 &amp; "," &amp; B3255</f>
        <v>https://earth.google.com/web/search/-30.89955820792130,-55.54348880941510</v>
      </c>
      <c r="H3255" s="12"/>
      <c r="I3255" s="12"/>
      <c r="J3255" s="12"/>
      <c r="K3255" s="12"/>
      <c r="L3255" s="12"/>
      <c r="M3255" s="12"/>
      <c r="N3255" s="12"/>
      <c r="O3255" s="12"/>
      <c r="P3255" s="12"/>
      <c r="Q3255" s="12"/>
      <c r="R3255" s="12"/>
      <c r="S3255" s="12"/>
      <c r="T3255" s="12"/>
      <c r="U3255" s="12"/>
      <c r="V3255" s="12"/>
      <c r="W3255" s="12"/>
      <c r="X3255" s="12"/>
      <c r="Y3255" s="12"/>
      <c r="Z3255" s="12"/>
      <c r="AA3255" s="12"/>
    </row>
    <row r="3256" ht="26.25" customHeight="1">
      <c r="A3256" s="34" t="s">
        <v>6522</v>
      </c>
      <c r="B3256" s="35" t="s">
        <v>6523</v>
      </c>
      <c r="C3256" s="36">
        <v>3.0</v>
      </c>
      <c r="D3256" s="37">
        <v>225.0</v>
      </c>
      <c r="E3256" s="37">
        <v>11.0</v>
      </c>
      <c r="F3256" s="24" t="str">
        <f t="array" ref="F3256">"https://www.google.com/maps/search/?api=1&amp;query=" &amp; A3256 &amp; "," &amp; B3256</f>
        <v>https://www.google.com/maps/search/?api=1&amp;query=-0.30899605013095,-55.54350419876760</v>
      </c>
      <c r="G3256" s="25" t="str">
        <f t="array" ref="G3256">"https://earth.google.com/web/search/" &amp; A3256 &amp; "," &amp; B3256</f>
        <v>https://earth.google.com/web/search/-0.30899605013095,-55.54350419876760</v>
      </c>
      <c r="H3256" s="12"/>
      <c r="I3256" s="12"/>
      <c r="J3256" s="12"/>
      <c r="K3256" s="12"/>
      <c r="L3256" s="12"/>
      <c r="M3256" s="12"/>
      <c r="N3256" s="12"/>
      <c r="O3256" s="12"/>
      <c r="P3256" s="12"/>
      <c r="Q3256" s="12"/>
      <c r="R3256" s="12"/>
      <c r="S3256" s="12"/>
      <c r="T3256" s="12"/>
      <c r="U3256" s="12"/>
      <c r="V3256" s="12"/>
      <c r="W3256" s="12"/>
      <c r="X3256" s="12"/>
      <c r="Y3256" s="12"/>
      <c r="Z3256" s="12"/>
      <c r="AA3256" s="12"/>
    </row>
    <row r="3257" ht="26.25" customHeight="1">
      <c r="A3257" s="28" t="s">
        <v>6524</v>
      </c>
      <c r="B3257" s="29" t="s">
        <v>6525</v>
      </c>
      <c r="C3257" s="30">
        <v>3.0</v>
      </c>
      <c r="D3257" s="31">
        <v>225.0</v>
      </c>
      <c r="E3257" s="31">
        <v>12.0</v>
      </c>
      <c r="F3257" s="32" t="str">
        <f t="array" ref="F3257">"https://www.google.com/maps/search/?api=1&amp;query=" &amp; A3257 &amp; "," &amp; B3257</f>
        <v>https://www.google.com/maps/search/?api=1&amp;query=-30.89965254025360,-55.54354675523720</v>
      </c>
      <c r="G3257" s="33" t="str">
        <f t="array" ref="G3257">"https://earth.google.com/web/search/" &amp; A3257 &amp; "," &amp; B3257</f>
        <v>https://earth.google.com/web/search/-30.89965254025360,-55.54354675523720</v>
      </c>
      <c r="H3257" s="12"/>
      <c r="I3257" s="12"/>
      <c r="J3257" s="12"/>
      <c r="K3257" s="12"/>
      <c r="L3257" s="12"/>
      <c r="M3257" s="12"/>
      <c r="N3257" s="12"/>
      <c r="O3257" s="12"/>
      <c r="P3257" s="12"/>
      <c r="Q3257" s="12"/>
      <c r="R3257" s="12"/>
      <c r="S3257" s="12"/>
      <c r="T3257" s="12"/>
      <c r="U3257" s="12"/>
      <c r="V3257" s="12"/>
      <c r="W3257" s="12"/>
      <c r="X3257" s="12"/>
      <c r="Y3257" s="12"/>
      <c r="Z3257" s="12"/>
      <c r="AA3257" s="12"/>
    </row>
    <row r="3258" ht="26.25" customHeight="1">
      <c r="A3258" s="34" t="s">
        <v>6526</v>
      </c>
      <c r="B3258" s="35" t="s">
        <v>6527</v>
      </c>
      <c r="C3258" s="36">
        <v>4.0</v>
      </c>
      <c r="D3258" s="37">
        <v>4.0</v>
      </c>
      <c r="E3258" s="37"/>
      <c r="F3258" s="24" t="str">
        <f t="array" ref="F3258">"https://www.google.com/maps/search/?api=1&amp;query=" &amp; A3258 &amp; "," &amp; B3258</f>
        <v>https://www.google.com/maps/search/?api=1&amp;query=-30.89085928141580,-55.55080173775810</v>
      </c>
      <c r="G3258" s="25" t="str">
        <f t="array" ref="G3258">"https://earth.google.com/web/search/" &amp; A3258 &amp; "," &amp; B3258</f>
        <v>https://earth.google.com/web/search/-30.89085928141580,-55.55080173775810</v>
      </c>
      <c r="H3258" s="12"/>
      <c r="I3258" s="12"/>
      <c r="J3258" s="12"/>
      <c r="K3258" s="12"/>
      <c r="L3258" s="12"/>
      <c r="M3258" s="12"/>
      <c r="N3258" s="12"/>
      <c r="O3258" s="12"/>
      <c r="P3258" s="12"/>
      <c r="Q3258" s="12"/>
      <c r="R3258" s="12"/>
      <c r="S3258" s="12"/>
      <c r="T3258" s="12"/>
      <c r="U3258" s="12"/>
      <c r="V3258" s="12"/>
      <c r="W3258" s="12"/>
      <c r="X3258" s="12"/>
      <c r="Y3258" s="12"/>
      <c r="Z3258" s="12"/>
      <c r="AA3258" s="12"/>
    </row>
    <row r="3259" ht="26.25" customHeight="1">
      <c r="A3259" s="28" t="s">
        <v>6528</v>
      </c>
      <c r="B3259" s="29" t="s">
        <v>6529</v>
      </c>
      <c r="C3259" s="30">
        <v>4.0</v>
      </c>
      <c r="D3259" s="31">
        <v>925.0</v>
      </c>
      <c r="E3259" s="31"/>
      <c r="F3259" s="32" t="str">
        <f t="array" ref="F3259">"https://www.google.com/maps/search/?api=1&amp;query=" &amp; A3259 &amp; "," &amp; B3259</f>
        <v>https://www.google.com/maps/search/?api=1&amp;query=-30.89237923883840,-55.55163457604480</v>
      </c>
      <c r="G3259" s="33" t="str">
        <f t="array" ref="G3259">"https://earth.google.com/web/search/" &amp; A3259 &amp; "," &amp; B3259</f>
        <v>https://earth.google.com/web/search/-30.89237923883840,-55.55163457604480</v>
      </c>
      <c r="H3259" s="12"/>
      <c r="I3259" s="12"/>
      <c r="J3259" s="12"/>
      <c r="K3259" s="12"/>
      <c r="L3259" s="12"/>
      <c r="M3259" s="12"/>
      <c r="N3259" s="12"/>
      <c r="O3259" s="12"/>
      <c r="P3259" s="12"/>
      <c r="Q3259" s="12"/>
      <c r="R3259" s="12"/>
      <c r="S3259" s="12"/>
      <c r="T3259" s="12"/>
      <c r="U3259" s="12"/>
      <c r="V3259" s="12"/>
      <c r="W3259" s="12"/>
      <c r="X3259" s="12"/>
      <c r="Y3259" s="12"/>
      <c r="Z3259" s="12"/>
      <c r="AA3259" s="12"/>
    </row>
    <row r="3260" ht="26.25" customHeight="1">
      <c r="A3260" s="34" t="s">
        <v>6530</v>
      </c>
      <c r="B3260" s="35" t="s">
        <v>6531</v>
      </c>
      <c r="C3260" s="36">
        <v>4.0</v>
      </c>
      <c r="D3260" s="37">
        <v>11.0</v>
      </c>
      <c r="E3260" s="37">
        <v>1.0</v>
      </c>
      <c r="F3260" s="24" t="str">
        <f t="array" ref="F3260">"https://www.google.com/maps/search/?api=1&amp;query=" &amp; A3260 &amp; "," &amp; B3260</f>
        <v>https://www.google.com/maps/search/?api=1&amp;query=-30.88579899991540,-55.55016343873900</v>
      </c>
      <c r="G3260" s="25" t="str">
        <f t="array" ref="G3260">"https://earth.google.com/web/search/" &amp; A3260 &amp; "," &amp; B3260</f>
        <v>https://earth.google.com/web/search/-30.88579899991540,-55.55016343873900</v>
      </c>
      <c r="H3260" s="12"/>
      <c r="I3260" s="12"/>
      <c r="J3260" s="12"/>
      <c r="K3260" s="12"/>
      <c r="L3260" s="12"/>
      <c r="M3260" s="12"/>
      <c r="N3260" s="12"/>
      <c r="O3260" s="12"/>
      <c r="P3260" s="12"/>
      <c r="Q3260" s="12"/>
      <c r="R3260" s="12"/>
      <c r="S3260" s="12"/>
      <c r="T3260" s="12"/>
      <c r="U3260" s="12"/>
      <c r="V3260" s="12"/>
      <c r="W3260" s="12"/>
      <c r="X3260" s="12"/>
      <c r="Y3260" s="12"/>
      <c r="Z3260" s="12"/>
      <c r="AA3260" s="12"/>
    </row>
    <row r="3261" ht="26.25" customHeight="1">
      <c r="A3261" s="28" t="s">
        <v>6532</v>
      </c>
      <c r="B3261" s="29" t="s">
        <v>6533</v>
      </c>
      <c r="C3261" s="30">
        <v>4.0</v>
      </c>
      <c r="D3261" s="31">
        <v>11.0</v>
      </c>
      <c r="E3261" s="31">
        <v>2.0</v>
      </c>
      <c r="F3261" s="32" t="str">
        <f t="array" ref="F3261">"https://www.google.com/maps/search/?api=1&amp;query=" &amp; A3261 &amp; "," &amp; B3261</f>
        <v>https://www.google.com/maps/search/?api=1&amp;query=-30.88572966861180,-55.55026008027240</v>
      </c>
      <c r="G3261" s="33" t="str">
        <f t="array" ref="G3261">"https://earth.google.com/web/search/" &amp; A3261 &amp; "," &amp; B3261</f>
        <v>https://earth.google.com/web/search/-30.88572966861180,-55.55026008027240</v>
      </c>
      <c r="H3261" s="12"/>
      <c r="I3261" s="12"/>
      <c r="J3261" s="12"/>
      <c r="K3261" s="12"/>
      <c r="L3261" s="12"/>
      <c r="M3261" s="12"/>
      <c r="N3261" s="12"/>
      <c r="O3261" s="12"/>
      <c r="P3261" s="12"/>
      <c r="Q3261" s="12"/>
      <c r="R3261" s="12"/>
      <c r="S3261" s="12"/>
      <c r="T3261" s="12"/>
      <c r="U3261" s="12"/>
      <c r="V3261" s="12"/>
      <c r="W3261" s="12"/>
      <c r="X3261" s="12"/>
      <c r="Y3261" s="12"/>
      <c r="Z3261" s="12"/>
      <c r="AA3261" s="12"/>
    </row>
    <row r="3262" ht="26.25" customHeight="1">
      <c r="A3262" s="34" t="s">
        <v>6534</v>
      </c>
      <c r="B3262" s="35" t="s">
        <v>6535</v>
      </c>
      <c r="C3262" s="36">
        <v>4.0</v>
      </c>
      <c r="D3262" s="37">
        <v>11.0</v>
      </c>
      <c r="E3262" s="37">
        <v>3.0</v>
      </c>
      <c r="F3262" s="24" t="str">
        <f t="array" ref="F3262">"https://www.google.com/maps/search/?api=1&amp;query=" &amp; A3262 &amp; "," &amp; B3262</f>
        <v>https://www.google.com/maps/search/?api=1&amp;query=-30.88521163932890,-55.55022686984810</v>
      </c>
      <c r="G3262" s="25" t="str">
        <f t="array" ref="G3262">"https://earth.google.com/web/search/" &amp; A3262 &amp; "," &amp; B3262</f>
        <v>https://earth.google.com/web/search/-30.88521163932890,-55.55022686984810</v>
      </c>
      <c r="H3262" s="12"/>
      <c r="I3262" s="12"/>
      <c r="J3262" s="12"/>
      <c r="K3262" s="12"/>
      <c r="L3262" s="12"/>
      <c r="M3262" s="12"/>
      <c r="N3262" s="12"/>
      <c r="O3262" s="12"/>
      <c r="P3262" s="12"/>
      <c r="Q3262" s="12"/>
      <c r="R3262" s="12"/>
      <c r="S3262" s="12"/>
      <c r="T3262" s="12"/>
      <c r="U3262" s="12"/>
      <c r="V3262" s="12"/>
      <c r="W3262" s="12"/>
      <c r="X3262" s="12"/>
      <c r="Y3262" s="12"/>
      <c r="Z3262" s="12"/>
      <c r="AA3262" s="12"/>
    </row>
    <row r="3263" ht="26.25" customHeight="1">
      <c r="A3263" s="28" t="s">
        <v>6536</v>
      </c>
      <c r="B3263" s="29" t="s">
        <v>6537</v>
      </c>
      <c r="C3263" s="30">
        <v>4.0</v>
      </c>
      <c r="D3263" s="31">
        <v>17.0</v>
      </c>
      <c r="E3263" s="31">
        <v>1.0</v>
      </c>
      <c r="F3263" s="32" t="str">
        <f t="array" ref="F3263">"https://www.google.com/maps/search/?api=1&amp;query=" &amp; A3263 &amp; "," &amp; B3263</f>
        <v>https://www.google.com/maps/search/?api=1&amp;query=-30.88627173054460,-55.55129265275840</v>
      </c>
      <c r="G3263" s="33" t="str">
        <f t="array" ref="G3263">"https://earth.google.com/web/search/" &amp; A3263 &amp; "," &amp; B3263</f>
        <v>https://earth.google.com/web/search/-30.88627173054460,-55.55129265275840</v>
      </c>
      <c r="H3263" s="12"/>
      <c r="I3263" s="12"/>
      <c r="J3263" s="12"/>
      <c r="K3263" s="12"/>
      <c r="L3263" s="12"/>
      <c r="M3263" s="12"/>
      <c r="N3263" s="12"/>
      <c r="O3263" s="12"/>
      <c r="P3263" s="12"/>
      <c r="Q3263" s="12"/>
      <c r="R3263" s="12"/>
      <c r="S3263" s="12"/>
      <c r="T3263" s="12"/>
      <c r="U3263" s="12"/>
      <c r="V3263" s="12"/>
      <c r="W3263" s="12"/>
      <c r="X3263" s="12"/>
      <c r="Y3263" s="12"/>
      <c r="Z3263" s="12"/>
      <c r="AA3263" s="12"/>
    </row>
    <row r="3264" ht="26.25" customHeight="1">
      <c r="A3264" s="34" t="s">
        <v>6538</v>
      </c>
      <c r="B3264" s="35" t="s">
        <v>6539</v>
      </c>
      <c r="C3264" s="36">
        <v>4.0</v>
      </c>
      <c r="D3264" s="37">
        <v>17.0</v>
      </c>
      <c r="E3264" s="37">
        <v>2.0</v>
      </c>
      <c r="F3264" s="24" t="str">
        <f t="array" ref="F3264">"https://www.google.com/maps/search/?api=1&amp;query=" &amp; A3264 &amp; "," &amp; B3264</f>
        <v>https://www.google.com/maps/search/?api=1&amp;query=-30.88632775534650,-5.55511677925372</v>
      </c>
      <c r="G3264" s="25" t="str">
        <f t="array" ref="G3264">"https://earth.google.com/web/search/" &amp; A3264 &amp; "," &amp; B3264</f>
        <v>https://earth.google.com/web/search/-30.88632775534650,-5.55511677925372</v>
      </c>
      <c r="H3264" s="12"/>
      <c r="I3264" s="12"/>
      <c r="J3264" s="12"/>
      <c r="K3264" s="12"/>
      <c r="L3264" s="12"/>
      <c r="M3264" s="12"/>
      <c r="N3264" s="12"/>
      <c r="O3264" s="12"/>
      <c r="P3264" s="12"/>
      <c r="Q3264" s="12"/>
      <c r="R3264" s="12"/>
      <c r="S3264" s="12"/>
      <c r="T3264" s="12"/>
      <c r="U3264" s="12"/>
      <c r="V3264" s="12"/>
      <c r="W3264" s="12"/>
      <c r="X3264" s="12"/>
      <c r="Y3264" s="12"/>
      <c r="Z3264" s="12"/>
      <c r="AA3264" s="12"/>
    </row>
    <row r="3265" ht="26.25" customHeight="1">
      <c r="A3265" s="28" t="s">
        <v>6540</v>
      </c>
      <c r="B3265" s="29" t="s">
        <v>6541</v>
      </c>
      <c r="C3265" s="30">
        <v>4.0</v>
      </c>
      <c r="D3265" s="31">
        <v>17.0</v>
      </c>
      <c r="E3265" s="31">
        <v>3.0</v>
      </c>
      <c r="F3265" s="32" t="str">
        <f t="array" ref="F3265">"https://www.google.com/maps/search/?api=1&amp;query=" &amp; A3265 &amp; "," &amp; B3265</f>
        <v>https://www.google.com/maps/search/?api=1&amp;query=-30.88571098166850,-55.55048330981490</v>
      </c>
      <c r="G3265" s="33" t="str">
        <f t="array" ref="G3265">"https://earth.google.com/web/search/" &amp; A3265 &amp; "," &amp; B3265</f>
        <v>https://earth.google.com/web/search/-30.88571098166850,-55.55048330981490</v>
      </c>
      <c r="H3265" s="12"/>
      <c r="I3265" s="12"/>
      <c r="J3265" s="12"/>
      <c r="K3265" s="12"/>
      <c r="L3265" s="12"/>
      <c r="M3265" s="12"/>
      <c r="N3265" s="12"/>
      <c r="O3265" s="12"/>
      <c r="P3265" s="12"/>
      <c r="Q3265" s="12"/>
      <c r="R3265" s="12"/>
      <c r="S3265" s="12"/>
      <c r="T3265" s="12"/>
      <c r="U3265" s="12"/>
      <c r="V3265" s="12"/>
      <c r="W3265" s="12"/>
      <c r="X3265" s="12"/>
      <c r="Y3265" s="12"/>
      <c r="Z3265" s="12"/>
      <c r="AA3265" s="12"/>
    </row>
    <row r="3266" ht="26.25" customHeight="1">
      <c r="A3266" s="34" t="s">
        <v>6542</v>
      </c>
      <c r="B3266" s="35" t="s">
        <v>6543</v>
      </c>
      <c r="C3266" s="36">
        <v>4.0</v>
      </c>
      <c r="D3266" s="37">
        <v>17.0</v>
      </c>
      <c r="E3266" s="37">
        <v>4.0</v>
      </c>
      <c r="F3266" s="24" t="str">
        <f t="array" ref="F3266">"https://www.google.com/maps/search/?api=1&amp;query=" &amp; A3266 &amp; "," &amp; B3266</f>
        <v>https://www.google.com/maps/search/?api=1&amp;query=-30.88557859654680,-55.55075795559130</v>
      </c>
      <c r="G3266" s="25" t="str">
        <f t="array" ref="G3266">"https://earth.google.com/web/search/" &amp; A3266 &amp; "," &amp; B3266</f>
        <v>https://earth.google.com/web/search/-30.88557859654680,-55.55075795559130</v>
      </c>
      <c r="H3266" s="12"/>
      <c r="I3266" s="12"/>
      <c r="J3266" s="12"/>
      <c r="K3266" s="12"/>
      <c r="L3266" s="12"/>
      <c r="M3266" s="12"/>
      <c r="N3266" s="12"/>
      <c r="O3266" s="12"/>
      <c r="P3266" s="12"/>
      <c r="Q3266" s="12"/>
      <c r="R3266" s="12"/>
      <c r="S3266" s="12"/>
      <c r="T3266" s="12"/>
      <c r="U3266" s="12"/>
      <c r="V3266" s="12"/>
      <c r="W3266" s="12"/>
      <c r="X3266" s="12"/>
      <c r="Y3266" s="12"/>
      <c r="Z3266" s="12"/>
      <c r="AA3266" s="12"/>
    </row>
    <row r="3267" ht="26.25" customHeight="1">
      <c r="A3267" s="28" t="s">
        <v>6544</v>
      </c>
      <c r="B3267" s="29" t="s">
        <v>6545</v>
      </c>
      <c r="C3267" s="30">
        <v>4.0</v>
      </c>
      <c r="D3267" s="31">
        <v>17.0</v>
      </c>
      <c r="E3267" s="31">
        <v>5.0</v>
      </c>
      <c r="F3267" s="32" t="str">
        <f t="array" ref="F3267">"https://www.google.com/maps/search/?api=1&amp;query=" &amp; A3267 &amp; "," &amp; B3267</f>
        <v>https://www.google.com/maps/search/?api=1&amp;query=-30.88564193191120,-55.55094770981160</v>
      </c>
      <c r="G3267" s="33" t="str">
        <f t="array" ref="G3267">"https://earth.google.com/web/search/" &amp; A3267 &amp; "," &amp; B3267</f>
        <v>https://earth.google.com/web/search/-30.88564193191120,-55.55094770981160</v>
      </c>
      <c r="H3267" s="12"/>
      <c r="I3267" s="12"/>
      <c r="J3267" s="12"/>
      <c r="K3267" s="12"/>
      <c r="L3267" s="12"/>
      <c r="M3267" s="12"/>
      <c r="N3267" s="12"/>
      <c r="O3267" s="12"/>
      <c r="P3267" s="12"/>
      <c r="Q3267" s="12"/>
      <c r="R3267" s="12"/>
      <c r="S3267" s="12"/>
      <c r="T3267" s="12"/>
      <c r="U3267" s="12"/>
      <c r="V3267" s="12"/>
      <c r="W3267" s="12"/>
      <c r="X3267" s="12"/>
      <c r="Y3267" s="12"/>
      <c r="Z3267" s="12"/>
      <c r="AA3267" s="12"/>
    </row>
    <row r="3268" ht="26.25" customHeight="1">
      <c r="A3268" s="34" t="s">
        <v>6546</v>
      </c>
      <c r="B3268" s="35" t="s">
        <v>6547</v>
      </c>
      <c r="C3268" s="36">
        <v>4.0</v>
      </c>
      <c r="D3268" s="37">
        <v>17.0</v>
      </c>
      <c r="E3268" s="37">
        <v>6.0</v>
      </c>
      <c r="F3268" s="24" t="str">
        <f t="array" ref="F3268">"https://www.google.com/maps/search/?api=1&amp;query=" &amp; A3268 &amp; "," &amp; B3268</f>
        <v>https://www.google.com/maps/search/?api=1&amp;query=-30.88579369625670,-55.55106499231450</v>
      </c>
      <c r="G3268" s="25" t="str">
        <f t="array" ref="G3268">"https://earth.google.com/web/search/" &amp; A3268 &amp; "," &amp; B3268</f>
        <v>https://earth.google.com/web/search/-30.88579369625670,-55.55106499231450</v>
      </c>
      <c r="H3268" s="12"/>
      <c r="I3268" s="12"/>
      <c r="J3268" s="12"/>
      <c r="K3268" s="12"/>
      <c r="L3268" s="12"/>
      <c r="M3268" s="12"/>
      <c r="N3268" s="12"/>
      <c r="O3268" s="12"/>
      <c r="P3268" s="12"/>
      <c r="Q3268" s="12"/>
      <c r="R3268" s="12"/>
      <c r="S3268" s="12"/>
      <c r="T3268" s="12"/>
      <c r="U3268" s="12"/>
      <c r="V3268" s="12"/>
      <c r="W3268" s="12"/>
      <c r="X3268" s="12"/>
      <c r="Y3268" s="12"/>
      <c r="Z3268" s="12"/>
      <c r="AA3268" s="12"/>
    </row>
    <row r="3269" ht="26.25" customHeight="1">
      <c r="A3269" s="28" t="s">
        <v>6548</v>
      </c>
      <c r="B3269" s="29" t="s">
        <v>6549</v>
      </c>
      <c r="C3269" s="30">
        <v>4.0</v>
      </c>
      <c r="D3269" s="31">
        <v>17.0</v>
      </c>
      <c r="E3269" s="31">
        <v>7.0</v>
      </c>
      <c r="F3269" s="32" t="str">
        <f t="array" ref="F3269">"https://www.google.com/maps/search/?api=1&amp;query=" &amp; A3269 &amp; "," &amp; B3269</f>
        <v>https://www.google.com/maps/search/?api=1&amp;query=-30.88592609921220,-55.55113673813580</v>
      </c>
      <c r="G3269" s="33" t="str">
        <f t="array" ref="G3269">"https://earth.google.com/web/search/" &amp; A3269 &amp; "," &amp; B3269</f>
        <v>https://earth.google.com/web/search/-30.88592609921220,-55.55113673813580</v>
      </c>
      <c r="H3269" s="12"/>
      <c r="I3269" s="12"/>
      <c r="J3269" s="12"/>
      <c r="K3269" s="12"/>
      <c r="L3269" s="12"/>
      <c r="M3269" s="12"/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/>
      <c r="AA3269" s="12"/>
    </row>
    <row r="3270" ht="26.25" customHeight="1">
      <c r="A3270" s="34" t="s">
        <v>6550</v>
      </c>
      <c r="B3270" s="35" t="s">
        <v>6551</v>
      </c>
      <c r="C3270" s="36">
        <v>4.0</v>
      </c>
      <c r="D3270" s="37">
        <v>17.0</v>
      </c>
      <c r="E3270" s="37">
        <v>8.0</v>
      </c>
      <c r="F3270" s="24" t="str">
        <f t="array" ref="F3270">"https://www.google.com/maps/search/?api=1&amp;query=" &amp; A3270 &amp; "," &amp; B3270</f>
        <v>https://www.google.com/maps/search/?api=1&amp;query=-30.88608645776200,-55.55125624648370</v>
      </c>
      <c r="G3270" s="25" t="str">
        <f t="array" ref="G3270">"https://earth.google.com/web/search/" &amp; A3270 &amp; "," &amp; B3270</f>
        <v>https://earth.google.com/web/search/-30.88608645776200,-55.55125624648370</v>
      </c>
      <c r="H3270" s="12"/>
      <c r="I3270" s="12"/>
      <c r="J3270" s="12"/>
      <c r="K3270" s="12"/>
      <c r="L3270" s="12"/>
      <c r="M3270" s="12"/>
      <c r="N3270" s="12"/>
      <c r="O3270" s="12"/>
      <c r="P3270" s="12"/>
      <c r="Q3270" s="12"/>
      <c r="R3270" s="12"/>
      <c r="S3270" s="12"/>
      <c r="T3270" s="12"/>
      <c r="U3270" s="12"/>
      <c r="V3270" s="12"/>
      <c r="W3270" s="12"/>
      <c r="X3270" s="12"/>
      <c r="Y3270" s="12"/>
      <c r="Z3270" s="12"/>
      <c r="AA3270" s="12"/>
    </row>
    <row r="3271" ht="26.25" customHeight="1">
      <c r="A3271" s="28" t="s">
        <v>6552</v>
      </c>
      <c r="B3271" s="29" t="s">
        <v>6553</v>
      </c>
      <c r="C3271" s="30">
        <v>4.0</v>
      </c>
      <c r="D3271" s="31">
        <v>17.0</v>
      </c>
      <c r="E3271" s="31">
        <v>9.0</v>
      </c>
      <c r="F3271" s="32" t="str">
        <f t="array" ref="F3271">"https://www.google.com/maps/search/?api=1&amp;query=" &amp; A3271 &amp; "," &amp; B3271</f>
        <v>https://www.google.com/maps/search/?api=1&amp;query=-30.88617289892630,-55.55132444125760</v>
      </c>
      <c r="G3271" s="33" t="str">
        <f t="array" ref="G3271">"https://earth.google.com/web/search/" &amp; A3271 &amp; "," &amp; B3271</f>
        <v>https://earth.google.com/web/search/-30.88617289892630,-55.55132444125760</v>
      </c>
      <c r="H3271" s="12"/>
      <c r="I3271" s="12"/>
      <c r="J3271" s="12"/>
      <c r="K3271" s="12"/>
      <c r="L3271" s="12"/>
      <c r="M3271" s="12"/>
      <c r="N3271" s="12"/>
      <c r="O3271" s="12"/>
      <c r="P3271" s="12"/>
      <c r="Q3271" s="12"/>
      <c r="R3271" s="12"/>
      <c r="S3271" s="12"/>
      <c r="T3271" s="12"/>
      <c r="U3271" s="12"/>
      <c r="V3271" s="12"/>
      <c r="W3271" s="12"/>
      <c r="X3271" s="12"/>
      <c r="Y3271" s="12"/>
      <c r="Z3271" s="12"/>
      <c r="AA3271" s="12"/>
    </row>
    <row r="3272" ht="26.25" customHeight="1">
      <c r="A3272" s="34" t="s">
        <v>6554</v>
      </c>
      <c r="B3272" s="35" t="s">
        <v>6555</v>
      </c>
      <c r="C3272" s="36">
        <v>4.0</v>
      </c>
      <c r="D3272" s="37">
        <v>18.0</v>
      </c>
      <c r="E3272" s="37">
        <v>1.0</v>
      </c>
      <c r="F3272" s="24" t="str">
        <f t="array" ref="F3272">"https://www.google.com/maps/search/?api=1&amp;query=" &amp; A3272 &amp; "," &amp; B3272</f>
        <v>https://www.google.com/maps/search/?api=1&amp;query=-30.88631666692310,-55.54926936298390</v>
      </c>
      <c r="G3272" s="25" t="str">
        <f t="array" ref="G3272">"https://earth.google.com/web/search/" &amp; A3272 &amp; "," &amp; B3272</f>
        <v>https://earth.google.com/web/search/-30.88631666692310,-55.54926936298390</v>
      </c>
      <c r="H3272" s="12"/>
      <c r="I3272" s="12"/>
      <c r="J3272" s="12"/>
      <c r="K3272" s="12"/>
      <c r="L3272" s="12"/>
      <c r="M3272" s="12"/>
      <c r="N3272" s="12"/>
      <c r="O3272" s="12"/>
      <c r="P3272" s="12"/>
      <c r="Q3272" s="12"/>
      <c r="R3272" s="12"/>
      <c r="S3272" s="12"/>
      <c r="T3272" s="12"/>
      <c r="U3272" s="12"/>
      <c r="V3272" s="12"/>
      <c r="W3272" s="12"/>
      <c r="X3272" s="12"/>
      <c r="Y3272" s="12"/>
      <c r="Z3272" s="12"/>
      <c r="AA3272" s="12"/>
    </row>
    <row r="3273" ht="26.25" customHeight="1">
      <c r="A3273" s="28" t="s">
        <v>6556</v>
      </c>
      <c r="B3273" s="29" t="s">
        <v>6557</v>
      </c>
      <c r="C3273" s="30">
        <v>4.0</v>
      </c>
      <c r="D3273" s="31">
        <v>18.0</v>
      </c>
      <c r="E3273" s="31">
        <v>2.0</v>
      </c>
      <c r="F3273" s="32" t="str">
        <f t="array" ref="F3273">"https://www.google.com/maps/search/?api=1&amp;query=" &amp; A3273 &amp; "," &amp; B3273</f>
        <v>https://www.google.com/maps/search/?api=1&amp;query=-30.88618226347460,-0.55549453781591</v>
      </c>
      <c r="G3273" s="33" t="str">
        <f t="array" ref="G3273">"https://earth.google.com/web/search/" &amp; A3273 &amp; "," &amp; B3273</f>
        <v>https://earth.google.com/web/search/-30.88618226347460,-0.55549453781591</v>
      </c>
      <c r="H3273" s="12"/>
      <c r="I3273" s="12"/>
      <c r="J3273" s="12"/>
      <c r="K3273" s="12"/>
      <c r="L3273" s="12"/>
      <c r="M3273" s="12"/>
      <c r="N3273" s="12"/>
      <c r="O3273" s="12"/>
      <c r="P3273" s="12"/>
      <c r="Q3273" s="12"/>
      <c r="R3273" s="12"/>
      <c r="S3273" s="12"/>
      <c r="T3273" s="12"/>
      <c r="U3273" s="12"/>
      <c r="V3273" s="12"/>
      <c r="W3273" s="12"/>
      <c r="X3273" s="12"/>
      <c r="Y3273" s="12"/>
      <c r="Z3273" s="12"/>
      <c r="AA3273" s="12"/>
    </row>
    <row r="3274" ht="26.25" customHeight="1">
      <c r="A3274" s="34" t="s">
        <v>6558</v>
      </c>
      <c r="B3274" s="35" t="s">
        <v>6559</v>
      </c>
      <c r="C3274" s="36">
        <v>4.0</v>
      </c>
      <c r="D3274" s="37">
        <v>18.0</v>
      </c>
      <c r="E3274" s="37">
        <v>3.0</v>
      </c>
      <c r="F3274" s="24" t="str">
        <f t="array" ref="F3274">"https://www.google.com/maps/search/?api=1&amp;query=" &amp; A3274 &amp; "," &amp; B3274</f>
        <v>https://www.google.com/maps/search/?api=1&amp;query=-30.88619120442170,-55.55007570561620</v>
      </c>
      <c r="G3274" s="25" t="str">
        <f t="array" ref="G3274">"https://earth.google.com/web/search/" &amp; A3274 &amp; "," &amp; B3274</f>
        <v>https://earth.google.com/web/search/-30.88619120442170,-55.55007570561620</v>
      </c>
      <c r="H3274" s="12"/>
      <c r="I3274" s="12"/>
      <c r="J3274" s="12"/>
      <c r="K3274" s="12"/>
      <c r="L3274" s="12"/>
      <c r="M3274" s="12"/>
      <c r="N3274" s="12"/>
      <c r="O3274" s="12"/>
      <c r="P3274" s="12"/>
      <c r="Q3274" s="12"/>
      <c r="R3274" s="12"/>
      <c r="S3274" s="12"/>
      <c r="T3274" s="12"/>
      <c r="U3274" s="12"/>
      <c r="V3274" s="12"/>
      <c r="W3274" s="12"/>
      <c r="X3274" s="12"/>
      <c r="Y3274" s="12"/>
      <c r="Z3274" s="12"/>
      <c r="AA3274" s="12"/>
    </row>
    <row r="3275" ht="26.25" customHeight="1">
      <c r="A3275" s="28" t="s">
        <v>6560</v>
      </c>
      <c r="B3275" s="29" t="s">
        <v>6561</v>
      </c>
      <c r="C3275" s="30">
        <v>4.0</v>
      </c>
      <c r="D3275" s="31">
        <v>18.0</v>
      </c>
      <c r="E3275" s="31">
        <v>4.0</v>
      </c>
      <c r="F3275" s="32" t="str">
        <f t="array" ref="F3275">"https://www.google.com/maps/search/?api=1&amp;query=" &amp; A3275 &amp; "," &amp; B3275</f>
        <v>https://www.google.com/maps/search/?api=1&amp;query=-30.88627804270220,-55.55012388255090</v>
      </c>
      <c r="G3275" s="33" t="str">
        <f t="array" ref="G3275">"https://earth.google.com/web/search/" &amp; A3275 &amp; "," &amp; B3275</f>
        <v>https://earth.google.com/web/search/-30.88627804270220,-55.55012388255090</v>
      </c>
      <c r="H3275" s="12"/>
      <c r="I3275" s="12"/>
      <c r="J3275" s="12"/>
      <c r="K3275" s="12"/>
      <c r="L3275" s="12"/>
      <c r="M3275" s="12"/>
      <c r="N3275" s="12"/>
      <c r="O3275" s="12"/>
      <c r="P3275" s="12"/>
      <c r="Q3275" s="12"/>
      <c r="R3275" s="12"/>
      <c r="S3275" s="12"/>
      <c r="T3275" s="12"/>
      <c r="U3275" s="12"/>
      <c r="V3275" s="12"/>
      <c r="W3275" s="12"/>
      <c r="X3275" s="12"/>
      <c r="Y3275" s="12"/>
      <c r="Z3275" s="12"/>
      <c r="AA3275" s="12"/>
    </row>
    <row r="3276" ht="26.25" customHeight="1">
      <c r="A3276" s="34" t="s">
        <v>6562</v>
      </c>
      <c r="B3276" s="35" t="s">
        <v>6563</v>
      </c>
      <c r="C3276" s="36">
        <v>4.0</v>
      </c>
      <c r="D3276" s="37">
        <v>18.0</v>
      </c>
      <c r="E3276" s="37">
        <v>5.0</v>
      </c>
      <c r="F3276" s="24" t="str">
        <f t="array" ref="F3276">"https://www.google.com/maps/search/?api=1&amp;query=" &amp; A3276 &amp; "," &amp; B3276</f>
        <v>https://www.google.com/maps/search/?api=1&amp;query=-30.88636058479820,-55.55019396676850</v>
      </c>
      <c r="G3276" s="25" t="str">
        <f t="array" ref="G3276">"https://earth.google.com/web/search/" &amp; A3276 &amp; "," &amp; B3276</f>
        <v>https://earth.google.com/web/search/-30.88636058479820,-55.55019396676850</v>
      </c>
      <c r="H3276" s="12"/>
      <c r="I3276" s="12"/>
      <c r="J3276" s="12"/>
      <c r="K3276" s="12"/>
      <c r="L3276" s="12"/>
      <c r="M3276" s="12"/>
      <c r="N3276" s="12"/>
      <c r="O3276" s="12"/>
      <c r="P3276" s="12"/>
      <c r="Q3276" s="12"/>
      <c r="R3276" s="12"/>
      <c r="S3276" s="12"/>
      <c r="T3276" s="12"/>
      <c r="U3276" s="12"/>
      <c r="V3276" s="12"/>
      <c r="W3276" s="12"/>
      <c r="X3276" s="12"/>
      <c r="Y3276" s="12"/>
      <c r="Z3276" s="12"/>
      <c r="AA3276" s="12"/>
    </row>
    <row r="3277" ht="26.25" customHeight="1">
      <c r="A3277" s="28" t="s">
        <v>6564</v>
      </c>
      <c r="B3277" s="29" t="s">
        <v>6565</v>
      </c>
      <c r="C3277" s="30">
        <v>4.0</v>
      </c>
      <c r="D3277" s="31">
        <v>18.0</v>
      </c>
      <c r="E3277" s="31">
        <v>6.0</v>
      </c>
      <c r="F3277" s="32" t="str">
        <f t="array" ref="F3277">"https://www.google.com/maps/search/?api=1&amp;query=" &amp; A3277 &amp; "," &amp; B3277</f>
        <v>https://www.google.com/maps/search/?api=1&amp;query=-3.08865846793061,-55.55037762124030</v>
      </c>
      <c r="G3277" s="33" t="str">
        <f t="array" ref="G3277">"https://earth.google.com/web/search/" &amp; A3277 &amp; "," &amp; B3277</f>
        <v>https://earth.google.com/web/search/-3.08865846793061,-55.55037762124030</v>
      </c>
      <c r="H3277" s="12"/>
      <c r="I3277" s="12"/>
      <c r="J3277" s="12"/>
      <c r="K3277" s="12"/>
      <c r="L3277" s="12"/>
      <c r="M3277" s="12"/>
      <c r="N3277" s="12"/>
      <c r="O3277" s="12"/>
      <c r="P3277" s="12"/>
      <c r="Q3277" s="12"/>
      <c r="R3277" s="12"/>
      <c r="S3277" s="12"/>
      <c r="T3277" s="12"/>
      <c r="U3277" s="12"/>
      <c r="V3277" s="12"/>
      <c r="W3277" s="12"/>
      <c r="X3277" s="12"/>
      <c r="Y3277" s="12"/>
      <c r="Z3277" s="12"/>
      <c r="AA3277" s="12"/>
    </row>
    <row r="3278" ht="26.25" customHeight="1">
      <c r="A3278" s="34" t="s">
        <v>6566</v>
      </c>
      <c r="B3278" s="35" t="s">
        <v>6567</v>
      </c>
      <c r="C3278" s="36">
        <v>4.0</v>
      </c>
      <c r="D3278" s="37">
        <v>19.0</v>
      </c>
      <c r="E3278" s="37">
        <v>1.0</v>
      </c>
      <c r="F3278" s="24" t="str">
        <f t="array" ref="F3278">"https://www.google.com/maps/search/?api=1&amp;query=" &amp; A3278 &amp; "," &amp; B3278</f>
        <v>https://www.google.com/maps/search/?api=1&amp;query=-30.88748509274870,-55.54899915492080</v>
      </c>
      <c r="G3278" s="25" t="str">
        <f t="array" ref="G3278">"https://earth.google.com/web/search/" &amp; A3278 &amp; "," &amp; B3278</f>
        <v>https://earth.google.com/web/search/-30.88748509274870,-55.54899915492080</v>
      </c>
      <c r="H3278" s="12"/>
      <c r="I3278" s="12"/>
      <c r="J3278" s="12"/>
      <c r="K3278" s="12"/>
      <c r="L3278" s="12"/>
      <c r="M3278" s="12"/>
      <c r="N3278" s="12"/>
      <c r="O3278" s="12"/>
      <c r="P3278" s="12"/>
      <c r="Q3278" s="12"/>
      <c r="R3278" s="12"/>
      <c r="S3278" s="12"/>
      <c r="T3278" s="12"/>
      <c r="U3278" s="12"/>
      <c r="V3278" s="12"/>
      <c r="W3278" s="12"/>
      <c r="X3278" s="12"/>
      <c r="Y3278" s="12"/>
      <c r="Z3278" s="12"/>
      <c r="AA3278" s="12"/>
    </row>
    <row r="3279" ht="26.25" customHeight="1">
      <c r="A3279" s="28" t="s">
        <v>6568</v>
      </c>
      <c r="B3279" s="29" t="s">
        <v>6569</v>
      </c>
      <c r="C3279" s="30">
        <v>4.0</v>
      </c>
      <c r="D3279" s="31">
        <v>19.0</v>
      </c>
      <c r="E3279" s="31">
        <v>2.0</v>
      </c>
      <c r="F3279" s="32" t="str">
        <f t="array" ref="F3279">"https://www.google.com/maps/search/?api=1&amp;query=" &amp; A3279 &amp; "," &amp; B3279</f>
        <v>https://www.google.com/maps/search/?api=1&amp;query=-30.88752767616100,-5.55488890389529</v>
      </c>
      <c r="G3279" s="33" t="str">
        <f t="array" ref="G3279">"https://earth.google.com/web/search/" &amp; A3279 &amp; "," &amp; B3279</f>
        <v>https://earth.google.com/web/search/-30.88752767616100,-5.55488890389529</v>
      </c>
      <c r="H3279" s="12"/>
      <c r="I3279" s="12"/>
      <c r="J3279" s="12"/>
      <c r="K3279" s="12"/>
      <c r="L3279" s="12"/>
      <c r="M3279" s="12"/>
      <c r="N3279" s="12"/>
      <c r="O3279" s="12"/>
      <c r="P3279" s="12"/>
      <c r="Q3279" s="12"/>
      <c r="R3279" s="12"/>
      <c r="S3279" s="12"/>
      <c r="T3279" s="12"/>
      <c r="U3279" s="12"/>
      <c r="V3279" s="12"/>
      <c r="W3279" s="12"/>
      <c r="X3279" s="12"/>
      <c r="Y3279" s="12"/>
      <c r="Z3279" s="12"/>
      <c r="AA3279" s="12"/>
    </row>
    <row r="3280" ht="26.25" customHeight="1">
      <c r="A3280" s="34" t="s">
        <v>6570</v>
      </c>
      <c r="B3280" s="35" t="s">
        <v>6571</v>
      </c>
      <c r="C3280" s="36">
        <v>4.0</v>
      </c>
      <c r="D3280" s="37">
        <v>19.0</v>
      </c>
      <c r="E3280" s="37">
        <v>3.0</v>
      </c>
      <c r="F3280" s="24" t="str">
        <f t="array" ref="F3280">"https://www.google.com/maps/search/?api=1&amp;query=" &amp; A3280 &amp; "," &amp; B3280</f>
        <v>https://www.google.com/maps/search/?api=1&amp;query=-30.88752331052210,-55.54867785516180</v>
      </c>
      <c r="G3280" s="25" t="str">
        <f t="array" ref="G3280">"https://earth.google.com/web/search/" &amp; A3280 &amp; "," &amp; B3280</f>
        <v>https://earth.google.com/web/search/-30.88752331052210,-55.54867785516180</v>
      </c>
      <c r="H3280" s="12"/>
      <c r="I3280" s="12"/>
      <c r="J3280" s="12"/>
      <c r="K3280" s="12"/>
      <c r="L3280" s="12"/>
      <c r="M3280" s="12"/>
      <c r="N3280" s="12"/>
      <c r="O3280" s="12"/>
      <c r="P3280" s="12"/>
      <c r="Q3280" s="12"/>
      <c r="R3280" s="12"/>
      <c r="S3280" s="12"/>
      <c r="T3280" s="12"/>
      <c r="U3280" s="12"/>
      <c r="V3280" s="12"/>
      <c r="W3280" s="12"/>
      <c r="X3280" s="12"/>
      <c r="Y3280" s="12"/>
      <c r="Z3280" s="12"/>
      <c r="AA3280" s="12"/>
    </row>
    <row r="3281" ht="26.25" customHeight="1">
      <c r="A3281" s="28" t="s">
        <v>6572</v>
      </c>
      <c r="B3281" s="29" t="s">
        <v>6573</v>
      </c>
      <c r="C3281" s="30">
        <v>4.0</v>
      </c>
      <c r="D3281" s="31">
        <v>19.0</v>
      </c>
      <c r="E3281" s="31">
        <v>4.0</v>
      </c>
      <c r="F3281" s="32" t="str">
        <f t="array" ref="F3281">"https://www.google.com/maps/search/?api=1&amp;query=" &amp; A3281 &amp; "," &amp; B3281</f>
        <v>https://www.google.com/maps/search/?api=1&amp;query=-30.88703556954850,-55.54846528618900</v>
      </c>
      <c r="G3281" s="33" t="str">
        <f t="array" ref="G3281">"https://earth.google.com/web/search/" &amp; A3281 &amp; "," &amp; B3281</f>
        <v>https://earth.google.com/web/search/-30.88703556954850,-55.54846528618900</v>
      </c>
      <c r="H3281" s="12"/>
      <c r="I3281" s="12"/>
      <c r="J3281" s="12"/>
      <c r="K3281" s="12"/>
      <c r="L3281" s="12"/>
      <c r="M3281" s="12"/>
      <c r="N3281" s="12"/>
      <c r="O3281" s="12"/>
      <c r="P3281" s="12"/>
      <c r="Q3281" s="12"/>
      <c r="R3281" s="12"/>
      <c r="S3281" s="12"/>
      <c r="T3281" s="12"/>
      <c r="U3281" s="12"/>
      <c r="V3281" s="12"/>
      <c r="W3281" s="12"/>
      <c r="X3281" s="12"/>
      <c r="Y3281" s="12"/>
      <c r="Z3281" s="12"/>
      <c r="AA3281" s="12"/>
    </row>
    <row r="3282" ht="26.25" customHeight="1">
      <c r="A3282" s="34" t="s">
        <v>6574</v>
      </c>
      <c r="B3282" s="35" t="s">
        <v>6575</v>
      </c>
      <c r="C3282" s="36">
        <v>4.0</v>
      </c>
      <c r="D3282" s="37">
        <v>19.0</v>
      </c>
      <c r="E3282" s="37">
        <v>5.0</v>
      </c>
      <c r="F3282" s="24" t="str">
        <f t="array" ref="F3282">"https://www.google.com/maps/search/?api=1&amp;query=" &amp; A3282 &amp; "," &amp; B3282</f>
        <v>https://www.google.com/maps/search/?api=1&amp;query=-30.88668674832120,-55.54889372508390</v>
      </c>
      <c r="G3282" s="25" t="str">
        <f t="array" ref="G3282">"https://earth.google.com/web/search/" &amp; A3282 &amp; "," &amp; B3282</f>
        <v>https://earth.google.com/web/search/-30.88668674832120,-55.54889372508390</v>
      </c>
      <c r="H3282" s="12"/>
      <c r="I3282" s="12"/>
      <c r="J3282" s="12"/>
      <c r="K3282" s="12"/>
      <c r="L3282" s="12"/>
      <c r="M3282" s="12"/>
      <c r="N3282" s="12"/>
      <c r="O3282" s="12"/>
      <c r="P3282" s="12"/>
      <c r="Q3282" s="12"/>
      <c r="R3282" s="12"/>
      <c r="S3282" s="12"/>
      <c r="T3282" s="12"/>
      <c r="U3282" s="12"/>
      <c r="V3282" s="12"/>
      <c r="W3282" s="12"/>
      <c r="X3282" s="12"/>
      <c r="Y3282" s="12"/>
      <c r="Z3282" s="12"/>
      <c r="AA3282" s="12"/>
    </row>
    <row r="3283" ht="26.25" customHeight="1">
      <c r="A3283" s="28" t="s">
        <v>6576</v>
      </c>
      <c r="B3283" s="29" t="s">
        <v>6577</v>
      </c>
      <c r="C3283" s="30">
        <v>4.0</v>
      </c>
      <c r="D3283" s="31">
        <v>19.0</v>
      </c>
      <c r="E3283" s="31">
        <v>6.0</v>
      </c>
      <c r="F3283" s="32" t="str">
        <f t="array" ref="F3283">"https://www.google.com/maps/search/?api=1&amp;query=" &amp; A3283 &amp; "," &amp; B3283</f>
        <v>https://www.google.com/maps/search/?api=1&amp;query=-30.88681076477490,-55.54928607964160</v>
      </c>
      <c r="G3283" s="33" t="str">
        <f t="array" ref="G3283">"https://earth.google.com/web/search/" &amp; A3283 &amp; "," &amp; B3283</f>
        <v>https://earth.google.com/web/search/-30.88681076477490,-55.54928607964160</v>
      </c>
      <c r="H3283" s="12"/>
      <c r="I3283" s="12"/>
      <c r="J3283" s="12"/>
      <c r="K3283" s="12"/>
      <c r="L3283" s="12"/>
      <c r="M3283" s="12"/>
      <c r="N3283" s="12"/>
      <c r="O3283" s="12"/>
      <c r="P3283" s="12"/>
      <c r="Q3283" s="12"/>
      <c r="R3283" s="12"/>
      <c r="S3283" s="12"/>
      <c r="T3283" s="12"/>
      <c r="U3283" s="12"/>
      <c r="V3283" s="12"/>
      <c r="W3283" s="12"/>
      <c r="X3283" s="12"/>
      <c r="Y3283" s="12"/>
      <c r="Z3283" s="12"/>
      <c r="AA3283" s="12"/>
    </row>
    <row r="3284" ht="26.25" customHeight="1">
      <c r="A3284" s="34" t="s">
        <v>6578</v>
      </c>
      <c r="B3284" s="35" t="s">
        <v>6579</v>
      </c>
      <c r="C3284" s="36">
        <v>4.0</v>
      </c>
      <c r="D3284" s="37">
        <v>19.0</v>
      </c>
      <c r="E3284" s="37">
        <v>7.0</v>
      </c>
      <c r="F3284" s="24" t="str">
        <f t="array" ref="F3284">"https://www.google.com/maps/search/?api=1&amp;query=" &amp; A3284 &amp; "," &amp; B3284</f>
        <v>https://www.google.com/maps/search/?api=1&amp;query=-30.88689386554920,-55.54933153309100</v>
      </c>
      <c r="G3284" s="25" t="str">
        <f t="array" ref="G3284">"https://earth.google.com/web/search/" &amp; A3284 &amp; "," &amp; B3284</f>
        <v>https://earth.google.com/web/search/-30.88689386554920,-55.54933153309100</v>
      </c>
      <c r="H3284" s="12"/>
      <c r="I3284" s="12"/>
      <c r="J3284" s="12"/>
      <c r="K3284" s="12"/>
      <c r="L3284" s="12"/>
      <c r="M3284" s="12"/>
      <c r="N3284" s="12"/>
      <c r="O3284" s="12"/>
      <c r="P3284" s="12"/>
      <c r="Q3284" s="12"/>
      <c r="R3284" s="12"/>
      <c r="S3284" s="12"/>
      <c r="T3284" s="12"/>
      <c r="U3284" s="12"/>
      <c r="V3284" s="12"/>
      <c r="W3284" s="12"/>
      <c r="X3284" s="12"/>
      <c r="Y3284" s="12"/>
      <c r="Z3284" s="12"/>
      <c r="AA3284" s="12"/>
    </row>
    <row r="3285" ht="26.25" customHeight="1">
      <c r="A3285" s="28" t="s">
        <v>6580</v>
      </c>
      <c r="B3285" s="29" t="s">
        <v>6581</v>
      </c>
      <c r="C3285" s="30">
        <v>4.0</v>
      </c>
      <c r="D3285" s="31">
        <v>19.0</v>
      </c>
      <c r="E3285" s="31">
        <v>8.0</v>
      </c>
      <c r="F3285" s="32" t="str">
        <f t="array" ref="F3285">"https://www.google.com/maps/search/?api=1&amp;query=" &amp; A3285 &amp; "," &amp; B3285</f>
        <v>https://www.google.com/maps/search/?api=1&amp;query=-30.88696872753350,-55.54938677372220</v>
      </c>
      <c r="G3285" s="33" t="str">
        <f t="array" ref="G3285">"https://earth.google.com/web/search/" &amp; A3285 &amp; "," &amp; B3285</f>
        <v>https://earth.google.com/web/search/-30.88696872753350,-55.54938677372220</v>
      </c>
      <c r="H3285" s="12"/>
      <c r="I3285" s="12"/>
      <c r="J3285" s="12"/>
      <c r="K3285" s="12"/>
      <c r="L3285" s="12"/>
      <c r="M3285" s="12"/>
      <c r="N3285" s="12"/>
      <c r="O3285" s="12"/>
      <c r="P3285" s="12"/>
      <c r="Q3285" s="12"/>
      <c r="R3285" s="12"/>
      <c r="S3285" s="12"/>
      <c r="T3285" s="12"/>
      <c r="U3285" s="12"/>
      <c r="V3285" s="12"/>
      <c r="W3285" s="12"/>
      <c r="X3285" s="12"/>
      <c r="Y3285" s="12"/>
      <c r="Z3285" s="12"/>
      <c r="AA3285" s="12"/>
    </row>
    <row r="3286" ht="26.25" customHeight="1">
      <c r="A3286" s="34" t="s">
        <v>6582</v>
      </c>
      <c r="B3286" s="35" t="s">
        <v>6583</v>
      </c>
      <c r="C3286" s="36">
        <v>4.0</v>
      </c>
      <c r="D3286" s="37">
        <v>19.0</v>
      </c>
      <c r="E3286" s="37">
        <v>9.0</v>
      </c>
      <c r="F3286" s="24" t="str">
        <f t="array" ref="F3286">"https://www.google.com/maps/search/?api=1&amp;query=" &amp; A3286 &amp; "," &amp; B3286</f>
        <v>https://www.google.com/maps/search/?api=1&amp;query=-3.08870189606343,-5.55494111289073</v>
      </c>
      <c r="G3286" s="25" t="str">
        <f t="array" ref="G3286">"https://earth.google.com/web/search/" &amp; A3286 &amp; "," &amp; B3286</f>
        <v>https://earth.google.com/web/search/-3.08870189606343,-5.55494111289073</v>
      </c>
      <c r="H3286" s="12"/>
      <c r="I3286" s="12"/>
      <c r="J3286" s="12"/>
      <c r="K3286" s="12"/>
      <c r="L3286" s="12"/>
      <c r="M3286" s="12"/>
      <c r="N3286" s="12"/>
      <c r="O3286" s="12"/>
      <c r="P3286" s="12"/>
      <c r="Q3286" s="12"/>
      <c r="R3286" s="12"/>
      <c r="S3286" s="12"/>
      <c r="T3286" s="12"/>
      <c r="U3286" s="12"/>
      <c r="V3286" s="12"/>
      <c r="W3286" s="12"/>
      <c r="X3286" s="12"/>
      <c r="Y3286" s="12"/>
      <c r="Z3286" s="12"/>
      <c r="AA3286" s="12"/>
    </row>
    <row r="3287" ht="26.25" customHeight="1">
      <c r="A3287" s="28" t="s">
        <v>6584</v>
      </c>
      <c r="B3287" s="29" t="s">
        <v>6585</v>
      </c>
      <c r="C3287" s="30">
        <v>4.0</v>
      </c>
      <c r="D3287" s="31">
        <v>19.0</v>
      </c>
      <c r="E3287" s="31">
        <v>10.0</v>
      </c>
      <c r="F3287" s="32" t="str">
        <f t="array" ref="F3287">"https://www.google.com/maps/search/?api=1&amp;query=" &amp; A3287 &amp; "," &amp; B3287</f>
        <v>https://www.google.com/maps/search/?api=1&amp;query=-30.88706105390990,-55.54945741911390</v>
      </c>
      <c r="G3287" s="33" t="str">
        <f t="array" ref="G3287">"https://earth.google.com/web/search/" &amp; A3287 &amp; "," &amp; B3287</f>
        <v>https://earth.google.com/web/search/-30.88706105390990,-55.54945741911390</v>
      </c>
      <c r="H3287" s="12"/>
      <c r="I3287" s="12"/>
      <c r="J3287" s="12"/>
      <c r="K3287" s="12"/>
      <c r="L3287" s="12"/>
      <c r="M3287" s="12"/>
      <c r="N3287" s="12"/>
      <c r="O3287" s="12"/>
      <c r="P3287" s="12"/>
      <c r="Q3287" s="12"/>
      <c r="R3287" s="12"/>
      <c r="S3287" s="12"/>
      <c r="T3287" s="12"/>
      <c r="U3287" s="12"/>
      <c r="V3287" s="12"/>
      <c r="W3287" s="12"/>
      <c r="X3287" s="12"/>
      <c r="Y3287" s="12"/>
      <c r="Z3287" s="12"/>
      <c r="AA3287" s="12"/>
    </row>
    <row r="3288" ht="26.25" customHeight="1">
      <c r="A3288" s="34" t="s">
        <v>6586</v>
      </c>
      <c r="B3288" s="35" t="s">
        <v>6587</v>
      </c>
      <c r="C3288" s="36">
        <v>4.0</v>
      </c>
      <c r="D3288" s="37">
        <v>19.0</v>
      </c>
      <c r="E3288" s="37">
        <v>10.0</v>
      </c>
      <c r="F3288" s="24" t="str">
        <f t="array" ref="F3288">"https://www.google.com/maps/search/?api=1&amp;query=" &amp; A3288 &amp; "," &amp; B3288</f>
        <v>https://www.google.com/maps/search/?api=1&amp;query=-30.88714002371330,-55.54949580845030</v>
      </c>
      <c r="G3288" s="25" t="str">
        <f t="array" ref="G3288">"https://earth.google.com/web/search/" &amp; A3288 &amp; "," &amp; B3288</f>
        <v>https://earth.google.com/web/search/-30.88714002371330,-55.54949580845030</v>
      </c>
      <c r="H3288" s="12"/>
      <c r="I3288" s="12"/>
      <c r="J3288" s="12"/>
      <c r="K3288" s="12"/>
      <c r="L3288" s="12"/>
      <c r="M3288" s="12"/>
      <c r="N3288" s="12"/>
      <c r="O3288" s="12"/>
      <c r="P3288" s="12"/>
      <c r="Q3288" s="12"/>
      <c r="R3288" s="12"/>
      <c r="S3288" s="12"/>
      <c r="T3288" s="12"/>
      <c r="U3288" s="12"/>
      <c r="V3288" s="12"/>
      <c r="W3288" s="12"/>
      <c r="X3288" s="12"/>
      <c r="Y3288" s="12"/>
      <c r="Z3288" s="12"/>
      <c r="AA3288" s="12"/>
    </row>
    <row r="3289" ht="26.25" customHeight="1">
      <c r="A3289" s="28" t="s">
        <v>6588</v>
      </c>
      <c r="B3289" s="29" t="s">
        <v>6589</v>
      </c>
      <c r="C3289" s="30">
        <v>4.0</v>
      </c>
      <c r="D3289" s="31">
        <v>25.0</v>
      </c>
      <c r="E3289" s="31">
        <v>1.0</v>
      </c>
      <c r="F3289" s="32" t="str">
        <f t="array" ref="F3289">"https://www.google.com/maps/search/?api=1&amp;query=" &amp; A3289 &amp; "," &amp; B3289</f>
        <v>https://www.google.com/maps/search/?api=1&amp;query=-30.88704410858360,-55.55183814599730</v>
      </c>
      <c r="G3289" s="33" t="str">
        <f t="array" ref="G3289">"https://earth.google.com/web/search/" &amp; A3289 &amp; "," &amp; B3289</f>
        <v>https://earth.google.com/web/search/-30.88704410858360,-55.55183814599730</v>
      </c>
      <c r="H3289" s="12"/>
      <c r="I3289" s="12"/>
      <c r="J3289" s="12"/>
      <c r="K3289" s="12"/>
      <c r="L3289" s="12"/>
      <c r="M3289" s="12"/>
      <c r="N3289" s="12"/>
      <c r="O3289" s="12"/>
      <c r="P3289" s="12"/>
      <c r="Q3289" s="12"/>
      <c r="R3289" s="12"/>
      <c r="S3289" s="12"/>
      <c r="T3289" s="12"/>
      <c r="U3289" s="12"/>
      <c r="V3289" s="12"/>
      <c r="W3289" s="12"/>
      <c r="X3289" s="12"/>
      <c r="Y3289" s="12"/>
      <c r="Z3289" s="12"/>
      <c r="AA3289" s="12"/>
    </row>
    <row r="3290" ht="26.25" customHeight="1">
      <c r="A3290" s="34" t="s">
        <v>6590</v>
      </c>
      <c r="B3290" s="35" t="s">
        <v>6591</v>
      </c>
      <c r="C3290" s="36">
        <v>4.0</v>
      </c>
      <c r="D3290" s="37">
        <v>25.0</v>
      </c>
      <c r="E3290" s="37">
        <v>2.0</v>
      </c>
      <c r="F3290" s="24" t="str">
        <f t="array" ref="F3290">"https://www.google.com/maps/search/?api=1&amp;query=" &amp; A3290 &amp; "," &amp; B3290</f>
        <v>https://www.google.com/maps/search/?api=1&amp;query=-3.08872919648332,-55.55141476122550</v>
      </c>
      <c r="G3290" s="25" t="str">
        <f t="array" ref="G3290">"https://earth.google.com/web/search/" &amp; A3290 &amp; "," &amp; B3290</f>
        <v>https://earth.google.com/web/search/-3.08872919648332,-55.55141476122550</v>
      </c>
      <c r="H3290" s="12"/>
      <c r="I3290" s="12"/>
      <c r="J3290" s="12"/>
      <c r="K3290" s="12"/>
      <c r="L3290" s="12"/>
      <c r="M3290" s="12"/>
      <c r="N3290" s="12"/>
      <c r="O3290" s="12"/>
      <c r="P3290" s="12"/>
      <c r="Q3290" s="12"/>
      <c r="R3290" s="12"/>
      <c r="S3290" s="12"/>
      <c r="T3290" s="12"/>
      <c r="U3290" s="12"/>
      <c r="V3290" s="12"/>
      <c r="W3290" s="12"/>
      <c r="X3290" s="12"/>
      <c r="Y3290" s="12"/>
      <c r="Z3290" s="12"/>
      <c r="AA3290" s="12"/>
    </row>
    <row r="3291" ht="26.25" customHeight="1">
      <c r="A3291" s="28" t="s">
        <v>6592</v>
      </c>
      <c r="B3291" s="29" t="s">
        <v>6593</v>
      </c>
      <c r="C3291" s="30">
        <v>4.0</v>
      </c>
      <c r="D3291" s="31">
        <v>25.0</v>
      </c>
      <c r="E3291" s="31">
        <v>3.0</v>
      </c>
      <c r="F3291" s="32" t="str">
        <f t="array" ref="F3291">"https://www.google.com/maps/search/?api=1&amp;query=" &amp; A3291 &amp; "," &amp; B3291</f>
        <v>https://www.google.com/maps/search/?api=1&amp;query=-30.88738899195480,-55.55107462943570</v>
      </c>
      <c r="G3291" s="33" t="str">
        <f t="array" ref="G3291">"https://earth.google.com/web/search/" &amp; A3291 &amp; "," &amp; B3291</f>
        <v>https://earth.google.com/web/search/-30.88738899195480,-55.55107462943570</v>
      </c>
      <c r="H3291" s="12"/>
      <c r="I3291" s="12"/>
      <c r="J3291" s="12"/>
      <c r="K3291" s="12"/>
      <c r="L3291" s="12"/>
      <c r="M3291" s="12"/>
      <c r="N3291" s="12"/>
      <c r="O3291" s="12"/>
      <c r="P3291" s="12"/>
      <c r="Q3291" s="12"/>
      <c r="R3291" s="12"/>
      <c r="S3291" s="12"/>
      <c r="T3291" s="12"/>
      <c r="U3291" s="12"/>
      <c r="V3291" s="12"/>
      <c r="W3291" s="12"/>
      <c r="X3291" s="12"/>
      <c r="Y3291" s="12"/>
      <c r="Z3291" s="12"/>
      <c r="AA3291" s="12"/>
    </row>
    <row r="3292" ht="26.25" customHeight="1">
      <c r="A3292" s="34" t="s">
        <v>6594</v>
      </c>
      <c r="B3292" s="35" t="s">
        <v>6595</v>
      </c>
      <c r="C3292" s="36">
        <v>4.0</v>
      </c>
      <c r="D3292" s="37">
        <v>25.0</v>
      </c>
      <c r="E3292" s="37">
        <v>4.0</v>
      </c>
      <c r="F3292" s="24" t="str">
        <f t="array" ref="F3292">"https://www.google.com/maps/search/?api=1&amp;query=" &amp; A3292 &amp; "," &amp; B3292</f>
        <v>https://www.google.com/maps/search/?api=1&amp;query=-30.88636060996130,-55.55136332044850</v>
      </c>
      <c r="G3292" s="25" t="str">
        <f t="array" ref="G3292">"https://earth.google.com/web/search/" &amp; A3292 &amp; "," &amp; B3292</f>
        <v>https://earth.google.com/web/search/-30.88636060996130,-55.55136332044850</v>
      </c>
      <c r="H3292" s="12"/>
      <c r="I3292" s="12"/>
      <c r="J3292" s="12"/>
      <c r="K3292" s="12"/>
      <c r="L3292" s="12"/>
      <c r="M3292" s="12"/>
      <c r="N3292" s="12"/>
      <c r="O3292" s="12"/>
      <c r="P3292" s="12"/>
      <c r="Q3292" s="12"/>
      <c r="R3292" s="12"/>
      <c r="S3292" s="12"/>
      <c r="T3292" s="12"/>
      <c r="U3292" s="12"/>
      <c r="V3292" s="12"/>
      <c r="W3292" s="12"/>
      <c r="X3292" s="12"/>
      <c r="Y3292" s="12"/>
      <c r="Z3292" s="12"/>
      <c r="AA3292" s="12"/>
    </row>
    <row r="3293" ht="26.25" customHeight="1">
      <c r="A3293" s="28" t="s">
        <v>6596</v>
      </c>
      <c r="B3293" s="29" t="s">
        <v>6597</v>
      </c>
      <c r="C3293" s="30">
        <v>4.0</v>
      </c>
      <c r="D3293" s="31">
        <v>25.0</v>
      </c>
      <c r="E3293" s="31">
        <v>5.0</v>
      </c>
      <c r="F3293" s="32" t="str">
        <f t="array" ref="F3293">"https://www.google.com/maps/search/?api=1&amp;query=" &amp; A3293 &amp; "," &amp; B3293</f>
        <v>https://www.google.com/maps/search/?api=1&amp;query=-30.88644043086310,-5.55514859815673</v>
      </c>
      <c r="G3293" s="33" t="str">
        <f t="array" ref="G3293">"https://earth.google.com/web/search/" &amp; A3293 &amp; "," &amp; B3293</f>
        <v>https://earth.google.com/web/search/-30.88644043086310,-5.55514859815673</v>
      </c>
      <c r="H3293" s="12"/>
      <c r="I3293" s="12"/>
      <c r="J3293" s="12"/>
      <c r="K3293" s="12"/>
      <c r="L3293" s="12"/>
      <c r="M3293" s="12"/>
      <c r="N3293" s="12"/>
      <c r="O3293" s="12"/>
      <c r="P3293" s="12"/>
      <c r="Q3293" s="12"/>
      <c r="R3293" s="12"/>
      <c r="S3293" s="12"/>
      <c r="T3293" s="12"/>
      <c r="U3293" s="12"/>
      <c r="V3293" s="12"/>
      <c r="W3293" s="12"/>
      <c r="X3293" s="12"/>
      <c r="Y3293" s="12"/>
      <c r="Z3293" s="12"/>
      <c r="AA3293" s="12"/>
    </row>
    <row r="3294" ht="26.25" customHeight="1">
      <c r="A3294" s="34" t="s">
        <v>6598</v>
      </c>
      <c r="B3294" s="35" t="s">
        <v>6599</v>
      </c>
      <c r="C3294" s="36">
        <v>4.0</v>
      </c>
      <c r="D3294" s="37">
        <v>25.0</v>
      </c>
      <c r="E3294" s="37">
        <v>6.0</v>
      </c>
      <c r="F3294" s="24" t="str">
        <f t="array" ref="F3294">"https://www.google.com/maps/search/?api=1&amp;query=" &amp; A3294 &amp; "," &amp; B3294</f>
        <v>https://www.google.com/maps/search/?api=1&amp;query=-30.88686200919880,-55.55178955318260</v>
      </c>
      <c r="G3294" s="25" t="str">
        <f t="array" ref="G3294">"https://earth.google.com/web/search/" &amp; A3294 &amp; "," &amp; B3294</f>
        <v>https://earth.google.com/web/search/-30.88686200919880,-55.55178955318260</v>
      </c>
      <c r="H3294" s="12"/>
      <c r="I3294" s="12"/>
      <c r="J3294" s="12"/>
      <c r="K3294" s="12"/>
      <c r="L3294" s="12"/>
      <c r="M3294" s="12"/>
      <c r="N3294" s="12"/>
      <c r="O3294" s="12"/>
      <c r="P3294" s="12"/>
      <c r="Q3294" s="12"/>
      <c r="R3294" s="12"/>
      <c r="S3294" s="12"/>
      <c r="T3294" s="12"/>
      <c r="U3294" s="12"/>
      <c r="V3294" s="12"/>
      <c r="W3294" s="12"/>
      <c r="X3294" s="12"/>
      <c r="Y3294" s="12"/>
      <c r="Z3294" s="12"/>
      <c r="AA3294" s="12"/>
    </row>
    <row r="3295" ht="26.25" customHeight="1">
      <c r="A3295" s="28" t="s">
        <v>6600</v>
      </c>
      <c r="B3295" s="29" t="s">
        <v>6601</v>
      </c>
      <c r="C3295" s="30">
        <v>4.0</v>
      </c>
      <c r="D3295" s="31">
        <v>26.0</v>
      </c>
      <c r="E3295" s="31">
        <v>1.0</v>
      </c>
      <c r="F3295" s="32" t="str">
        <f t="array" ref="F3295">"https://www.google.com/maps/search/?api=1&amp;query=" &amp; A3295 &amp; "," &amp; B3295</f>
        <v>https://www.google.com/maps/search/?api=1&amp;query=-30.88753686965650,-55.55091872348240</v>
      </c>
      <c r="G3295" s="33" t="str">
        <f t="array" ref="G3295">"https://earth.google.com/web/search/" &amp; A3295 &amp; "," &amp; B3295</f>
        <v>https://earth.google.com/web/search/-30.88753686965650,-55.55091872348240</v>
      </c>
      <c r="H3295" s="12"/>
      <c r="I3295" s="12"/>
      <c r="J3295" s="12"/>
      <c r="K3295" s="12"/>
      <c r="L3295" s="12"/>
      <c r="M3295" s="12"/>
      <c r="N3295" s="12"/>
      <c r="O3295" s="12"/>
      <c r="P3295" s="12"/>
      <c r="Q3295" s="12"/>
      <c r="R3295" s="12"/>
      <c r="S3295" s="12"/>
      <c r="T3295" s="12"/>
      <c r="U3295" s="12"/>
      <c r="V3295" s="12"/>
      <c r="W3295" s="12"/>
      <c r="X3295" s="12"/>
      <c r="Y3295" s="12"/>
      <c r="Z3295" s="12"/>
      <c r="AA3295" s="12"/>
    </row>
    <row r="3296" ht="26.25" customHeight="1">
      <c r="A3296" s="34" t="s">
        <v>6602</v>
      </c>
      <c r="B3296" s="35" t="s">
        <v>6603</v>
      </c>
      <c r="C3296" s="36">
        <v>4.0</v>
      </c>
      <c r="D3296" s="37">
        <v>26.0</v>
      </c>
      <c r="E3296" s="37">
        <v>2.0</v>
      </c>
      <c r="F3296" s="24" t="str">
        <f t="array" ref="F3296">"https://www.google.com/maps/search/?api=1&amp;query=" &amp; A3296 &amp; "," &amp; B3296</f>
        <v>https://www.google.com/maps/search/?api=1&amp;query=-30.88764260822910,-55.55069430429340</v>
      </c>
      <c r="G3296" s="25" t="str">
        <f t="array" ref="G3296">"https://earth.google.com/web/search/" &amp; A3296 &amp; "," &amp; B3296</f>
        <v>https://earth.google.com/web/search/-30.88764260822910,-55.55069430429340</v>
      </c>
      <c r="H3296" s="12"/>
      <c r="I3296" s="12"/>
      <c r="J3296" s="12"/>
      <c r="K3296" s="12"/>
      <c r="L3296" s="12"/>
      <c r="M3296" s="12"/>
      <c r="N3296" s="12"/>
      <c r="O3296" s="12"/>
      <c r="P3296" s="12"/>
      <c r="Q3296" s="12"/>
      <c r="R3296" s="12"/>
      <c r="S3296" s="12"/>
      <c r="T3296" s="12"/>
      <c r="U3296" s="12"/>
      <c r="V3296" s="12"/>
      <c r="W3296" s="12"/>
      <c r="X3296" s="12"/>
      <c r="Y3296" s="12"/>
      <c r="Z3296" s="12"/>
      <c r="AA3296" s="12"/>
    </row>
    <row r="3297" ht="26.25" customHeight="1">
      <c r="A3297" s="28" t="s">
        <v>6604</v>
      </c>
      <c r="B3297" s="29" t="s">
        <v>6605</v>
      </c>
      <c r="C3297" s="30">
        <v>4.0</v>
      </c>
      <c r="D3297" s="31">
        <v>26.0</v>
      </c>
      <c r="E3297" s="31">
        <v>3.0</v>
      </c>
      <c r="F3297" s="32" t="str">
        <f t="array" ref="F3297">"https://www.google.com/maps/search/?api=1&amp;query=" &amp; A3297 &amp; "," &amp; B3297</f>
        <v>https://www.google.com/maps/search/?api=1&amp;query=-30.88775768496680,-55.55050050454630</v>
      </c>
      <c r="G3297" s="33" t="str">
        <f t="array" ref="G3297">"https://earth.google.com/web/search/" &amp; A3297 &amp; "," &amp; B3297</f>
        <v>https://earth.google.com/web/search/-30.88775768496680,-55.55050050454630</v>
      </c>
      <c r="H3297" s="12"/>
      <c r="I3297" s="12"/>
      <c r="J3297" s="12"/>
      <c r="K3297" s="12"/>
      <c r="L3297" s="12"/>
      <c r="M3297" s="12"/>
      <c r="N3297" s="12"/>
      <c r="O3297" s="12"/>
      <c r="P3297" s="12"/>
      <c r="Q3297" s="12"/>
      <c r="R3297" s="12"/>
      <c r="S3297" s="12"/>
      <c r="T3297" s="12"/>
      <c r="U3297" s="12"/>
      <c r="V3297" s="12"/>
      <c r="W3297" s="12"/>
      <c r="X3297" s="12"/>
      <c r="Y3297" s="12"/>
      <c r="Z3297" s="12"/>
      <c r="AA3297" s="12"/>
    </row>
    <row r="3298" ht="26.25" customHeight="1">
      <c r="A3298" s="34" t="s">
        <v>6606</v>
      </c>
      <c r="B3298" s="35" t="s">
        <v>6607</v>
      </c>
      <c r="C3298" s="36">
        <v>4.0</v>
      </c>
      <c r="D3298" s="37">
        <v>26.0</v>
      </c>
      <c r="E3298" s="37">
        <v>4.0</v>
      </c>
      <c r="F3298" s="24" t="str">
        <f t="array" ref="F3298">"https://www.google.com/maps/search/?api=1&amp;query=" &amp; A3298 &amp; "," &amp; B3298</f>
        <v>https://www.google.com/maps/search/?api=1&amp;query=-30.88772807646310,-55.55002796511030</v>
      </c>
      <c r="G3298" s="25" t="str">
        <f t="array" ref="G3298">"https://earth.google.com/web/search/" &amp; A3298 &amp; "," &amp; B3298</f>
        <v>https://earth.google.com/web/search/-30.88772807646310,-55.55002796511030</v>
      </c>
      <c r="H3298" s="12"/>
      <c r="I3298" s="12"/>
      <c r="J3298" s="12"/>
      <c r="K3298" s="12"/>
      <c r="L3298" s="12"/>
      <c r="M3298" s="12"/>
      <c r="N3298" s="12"/>
      <c r="O3298" s="12"/>
      <c r="P3298" s="12"/>
      <c r="Q3298" s="12"/>
      <c r="R3298" s="12"/>
      <c r="S3298" s="12"/>
      <c r="T3298" s="12"/>
      <c r="U3298" s="12"/>
      <c r="V3298" s="12"/>
      <c r="W3298" s="12"/>
      <c r="X3298" s="12"/>
      <c r="Y3298" s="12"/>
      <c r="Z3298" s="12"/>
      <c r="AA3298" s="12"/>
    </row>
    <row r="3299" ht="26.25" customHeight="1">
      <c r="A3299" s="28" t="s">
        <v>6608</v>
      </c>
      <c r="B3299" s="29" t="s">
        <v>6609</v>
      </c>
      <c r="C3299" s="30">
        <v>4.0</v>
      </c>
      <c r="D3299" s="31">
        <v>26.0</v>
      </c>
      <c r="E3299" s="31">
        <v>5.0</v>
      </c>
      <c r="F3299" s="32" t="str">
        <f t="array" ref="F3299">"https://www.google.com/maps/search/?api=1&amp;query=" &amp; A3299 &amp; "," &amp; B3299</f>
        <v>https://www.google.com/maps/search/?api=1&amp;query=-30.88690407684470,-55.55032254598340</v>
      </c>
      <c r="G3299" s="33" t="str">
        <f t="array" ref="G3299">"https://earth.google.com/web/search/" &amp; A3299 &amp; "," &amp; B3299</f>
        <v>https://earth.google.com/web/search/-30.88690407684470,-55.55032254598340</v>
      </c>
      <c r="H3299" s="12"/>
      <c r="I3299" s="12"/>
      <c r="J3299" s="12"/>
      <c r="K3299" s="12"/>
      <c r="L3299" s="12"/>
      <c r="M3299" s="12"/>
      <c r="N3299" s="12"/>
      <c r="O3299" s="12"/>
      <c r="P3299" s="12"/>
      <c r="Q3299" s="12"/>
      <c r="R3299" s="12"/>
      <c r="S3299" s="12"/>
      <c r="T3299" s="12"/>
      <c r="U3299" s="12"/>
      <c r="V3299" s="12"/>
      <c r="W3299" s="12"/>
      <c r="X3299" s="12"/>
      <c r="Y3299" s="12"/>
      <c r="Z3299" s="12"/>
      <c r="AA3299" s="12"/>
    </row>
    <row r="3300" ht="26.25" customHeight="1">
      <c r="A3300" s="34" t="s">
        <v>6610</v>
      </c>
      <c r="B3300" s="35" t="s">
        <v>6611</v>
      </c>
      <c r="C3300" s="36">
        <v>4.0</v>
      </c>
      <c r="D3300" s="37">
        <v>26.0</v>
      </c>
      <c r="E3300" s="37">
        <v>6.0</v>
      </c>
      <c r="F3300" s="24" t="str">
        <f t="array" ref="F3300">"https://www.google.com/maps/search/?api=1&amp;query=" &amp; A3300 &amp; "," &amp; B3300</f>
        <v>https://www.google.com/maps/search/?api=1&amp;query=-30.88687462415280,-55.55055608034170</v>
      </c>
      <c r="G3300" s="25" t="str">
        <f t="array" ref="G3300">"https://earth.google.com/web/search/" &amp; A3300 &amp; "," &amp; B3300</f>
        <v>https://earth.google.com/web/search/-30.88687462415280,-55.55055608034170</v>
      </c>
      <c r="H3300" s="12"/>
      <c r="I3300" s="12"/>
      <c r="J3300" s="12"/>
      <c r="K3300" s="12"/>
      <c r="L3300" s="12"/>
      <c r="M3300" s="12"/>
      <c r="N3300" s="12"/>
      <c r="O3300" s="12"/>
      <c r="P3300" s="12"/>
      <c r="Q3300" s="12"/>
      <c r="R3300" s="12"/>
      <c r="S3300" s="12"/>
      <c r="T3300" s="12"/>
      <c r="U3300" s="12"/>
      <c r="V3300" s="12"/>
      <c r="W3300" s="12"/>
      <c r="X3300" s="12"/>
      <c r="Y3300" s="12"/>
      <c r="Z3300" s="12"/>
      <c r="AA3300" s="12"/>
    </row>
    <row r="3301" ht="26.25" customHeight="1">
      <c r="A3301" s="28" t="s">
        <v>6612</v>
      </c>
      <c r="B3301" s="29" t="s">
        <v>6613</v>
      </c>
      <c r="C3301" s="30">
        <v>4.0</v>
      </c>
      <c r="D3301" s="31">
        <v>26.0</v>
      </c>
      <c r="E3301" s="31">
        <v>7.0</v>
      </c>
      <c r="F3301" s="32" t="str">
        <f t="array" ref="F3301">"https://www.google.com/maps/search/?api=1&amp;query=" &amp; A3301 &amp; "," &amp; B3301</f>
        <v>https://www.google.com/maps/search/?api=1&amp;query=-3.08869797126592,-55.55063100601200</v>
      </c>
      <c r="G3301" s="33" t="str">
        <f t="array" ref="G3301">"https://earth.google.com/web/search/" &amp; A3301 &amp; "," &amp; B3301</f>
        <v>https://earth.google.com/web/search/-3.08869797126592,-55.55063100601200</v>
      </c>
      <c r="H3301" s="12"/>
      <c r="I3301" s="12"/>
      <c r="J3301" s="12"/>
      <c r="K3301" s="12"/>
      <c r="L3301" s="12"/>
      <c r="M3301" s="12"/>
      <c r="N3301" s="12"/>
      <c r="O3301" s="12"/>
      <c r="P3301" s="12"/>
      <c r="Q3301" s="12"/>
      <c r="R3301" s="12"/>
      <c r="S3301" s="12"/>
      <c r="T3301" s="12"/>
      <c r="U3301" s="12"/>
      <c r="V3301" s="12"/>
      <c r="W3301" s="12"/>
      <c r="X3301" s="12"/>
      <c r="Y3301" s="12"/>
      <c r="Z3301" s="12"/>
      <c r="AA3301" s="12"/>
    </row>
    <row r="3302" ht="26.25" customHeight="1">
      <c r="A3302" s="34" t="s">
        <v>6614</v>
      </c>
      <c r="B3302" s="35" t="s">
        <v>6615</v>
      </c>
      <c r="C3302" s="36">
        <v>4.0</v>
      </c>
      <c r="D3302" s="37">
        <v>26.0</v>
      </c>
      <c r="E3302" s="37">
        <v>8.0</v>
      </c>
      <c r="F3302" s="24" t="str">
        <f t="array" ref="F3302">"https://www.google.com/maps/search/?api=1&amp;query=" &amp; A3302 &amp; "," &amp; B3302</f>
        <v>https://www.google.com/maps/search/?api=1&amp;query=-30.88712633894800,-5.55507466802727</v>
      </c>
      <c r="G3302" s="25" t="str">
        <f t="array" ref="G3302">"https://earth.google.com/web/search/" &amp; A3302 &amp; "," &amp; B3302</f>
        <v>https://earth.google.com/web/search/-30.88712633894800,-5.55507466802727</v>
      </c>
      <c r="H3302" s="12"/>
      <c r="I3302" s="12"/>
      <c r="J3302" s="12"/>
      <c r="K3302" s="12"/>
      <c r="L3302" s="12"/>
      <c r="M3302" s="12"/>
      <c r="N3302" s="12"/>
      <c r="O3302" s="12"/>
      <c r="P3302" s="12"/>
      <c r="Q3302" s="12"/>
      <c r="R3302" s="12"/>
      <c r="S3302" s="12"/>
      <c r="T3302" s="12"/>
      <c r="U3302" s="12"/>
      <c r="V3302" s="12"/>
      <c r="W3302" s="12"/>
      <c r="X3302" s="12"/>
      <c r="Y3302" s="12"/>
      <c r="Z3302" s="12"/>
      <c r="AA3302" s="12"/>
    </row>
    <row r="3303" ht="26.25" customHeight="1">
      <c r="A3303" s="28" t="s">
        <v>6616</v>
      </c>
      <c r="B3303" s="29" t="s">
        <v>6617</v>
      </c>
      <c r="C3303" s="30">
        <v>4.0</v>
      </c>
      <c r="D3303" s="31">
        <v>26.0</v>
      </c>
      <c r="E3303" s="31">
        <v>9.0</v>
      </c>
      <c r="F3303" s="32" t="str">
        <f t="array" ref="F3303">"https://www.google.com/maps/search/?api=1&amp;query=" &amp; A3303 &amp; "," &amp; B3303</f>
        <v>https://www.google.com/maps/search/?api=1&amp;query=-30.88746088704440,-55.55097025783530</v>
      </c>
      <c r="G3303" s="33" t="str">
        <f t="array" ref="G3303">"https://earth.google.com/web/search/" &amp; A3303 &amp; "," &amp; B3303</f>
        <v>https://earth.google.com/web/search/-30.88746088704440,-55.55097025783530</v>
      </c>
      <c r="H3303" s="12"/>
      <c r="I3303" s="12"/>
      <c r="J3303" s="12"/>
      <c r="K3303" s="12"/>
      <c r="L3303" s="12"/>
      <c r="M3303" s="12"/>
      <c r="N3303" s="12"/>
      <c r="O3303" s="12"/>
      <c r="P3303" s="12"/>
      <c r="Q3303" s="12"/>
      <c r="R3303" s="12"/>
      <c r="S3303" s="12"/>
      <c r="T3303" s="12"/>
      <c r="U3303" s="12"/>
      <c r="V3303" s="12"/>
      <c r="W3303" s="12"/>
      <c r="X3303" s="12"/>
      <c r="Y3303" s="12"/>
      <c r="Z3303" s="12"/>
      <c r="AA3303" s="12"/>
    </row>
    <row r="3304" ht="26.25" customHeight="1">
      <c r="A3304" s="34" t="s">
        <v>6618</v>
      </c>
      <c r="B3304" s="35" t="s">
        <v>6619</v>
      </c>
      <c r="C3304" s="36">
        <v>4.0</v>
      </c>
      <c r="D3304" s="37">
        <v>27.0</v>
      </c>
      <c r="E3304" s="37">
        <v>1.0</v>
      </c>
      <c r="F3304" s="24" t="str">
        <f t="array" ref="F3304">"https://www.google.com/maps/search/?api=1&amp;query=" &amp; A3304 &amp; "," &amp; B3304</f>
        <v>https://www.google.com/maps/search/?api=1&amp;query=-30.88824678928160,-55.54916314412730</v>
      </c>
      <c r="G3304" s="25" t="str">
        <f t="array" ref="G3304">"https://earth.google.com/web/search/" &amp; A3304 &amp; "," &amp; B3304</f>
        <v>https://earth.google.com/web/search/-30.88824678928160,-55.54916314412730</v>
      </c>
      <c r="H3304" s="12"/>
      <c r="I3304" s="12"/>
      <c r="J3304" s="12"/>
      <c r="K3304" s="12"/>
      <c r="L3304" s="12"/>
      <c r="M3304" s="12"/>
      <c r="N3304" s="12"/>
      <c r="O3304" s="12"/>
      <c r="P3304" s="12"/>
      <c r="Q3304" s="12"/>
      <c r="R3304" s="12"/>
      <c r="S3304" s="12"/>
      <c r="T3304" s="12"/>
      <c r="U3304" s="12"/>
      <c r="V3304" s="12"/>
      <c r="W3304" s="12"/>
      <c r="X3304" s="12"/>
      <c r="Y3304" s="12"/>
      <c r="Z3304" s="12"/>
      <c r="AA3304" s="12"/>
    </row>
    <row r="3305" ht="26.25" customHeight="1">
      <c r="A3305" s="28" t="s">
        <v>6620</v>
      </c>
      <c r="B3305" s="29" t="s">
        <v>6621</v>
      </c>
      <c r="C3305" s="30">
        <v>4.0</v>
      </c>
      <c r="D3305" s="31">
        <v>27.0</v>
      </c>
      <c r="E3305" s="31">
        <v>2.0</v>
      </c>
      <c r="F3305" s="32" t="str">
        <f t="array" ref="F3305">"https://www.google.com/maps/search/?api=1&amp;query=" &amp; A3305 &amp; "," &amp; B3305</f>
        <v>https://www.google.com/maps/search/?api=1&amp;query=-3.08875328731498,-55.54912268041750</v>
      </c>
      <c r="G3305" s="33" t="str">
        <f t="array" ref="G3305">"https://earth.google.com/web/search/" &amp; A3305 &amp; "," &amp; B3305</f>
        <v>https://earth.google.com/web/search/-3.08875328731498,-55.54912268041750</v>
      </c>
      <c r="H3305" s="12"/>
      <c r="I3305" s="12"/>
      <c r="J3305" s="12"/>
      <c r="K3305" s="12"/>
      <c r="L3305" s="12"/>
      <c r="M3305" s="12"/>
      <c r="N3305" s="12"/>
      <c r="O3305" s="12"/>
      <c r="P3305" s="12"/>
      <c r="Q3305" s="12"/>
      <c r="R3305" s="12"/>
      <c r="S3305" s="12"/>
      <c r="T3305" s="12"/>
      <c r="U3305" s="12"/>
      <c r="V3305" s="12"/>
      <c r="W3305" s="12"/>
      <c r="X3305" s="12"/>
      <c r="Y3305" s="12"/>
      <c r="Z3305" s="12"/>
      <c r="AA3305" s="12"/>
    </row>
    <row r="3306" ht="26.25" customHeight="1">
      <c r="A3306" s="34" t="s">
        <v>6622</v>
      </c>
      <c r="B3306" s="35" t="s">
        <v>6623</v>
      </c>
      <c r="C3306" s="36">
        <v>4.0</v>
      </c>
      <c r="D3306" s="37">
        <v>27.0</v>
      </c>
      <c r="E3306" s="37">
        <v>3.0</v>
      </c>
      <c r="F3306" s="24" t="str">
        <f t="array" ref="F3306">"https://www.google.com/maps/search/?api=1&amp;query=" &amp; A3306 &amp; "," &amp; B3306</f>
        <v>https://www.google.com/maps/search/?api=1&amp;query=-30.88776237700560,-0.55549963772495</v>
      </c>
      <c r="G3306" s="25" t="str">
        <f t="array" ref="G3306">"https://earth.google.com/web/search/" &amp; A3306 &amp; "," &amp; B3306</f>
        <v>https://earth.google.com/web/search/-30.88776237700560,-0.55549963772495</v>
      </c>
      <c r="H3306" s="12"/>
      <c r="I3306" s="12"/>
      <c r="J3306" s="12"/>
      <c r="K3306" s="12"/>
      <c r="L3306" s="12"/>
      <c r="M3306" s="12"/>
      <c r="N3306" s="12"/>
      <c r="O3306" s="12"/>
      <c r="P3306" s="12"/>
      <c r="Q3306" s="12"/>
      <c r="R3306" s="12"/>
      <c r="S3306" s="12"/>
      <c r="T3306" s="12"/>
      <c r="U3306" s="12"/>
      <c r="V3306" s="12"/>
      <c r="W3306" s="12"/>
      <c r="X3306" s="12"/>
      <c r="Y3306" s="12"/>
      <c r="Z3306" s="12"/>
      <c r="AA3306" s="12"/>
    </row>
    <row r="3307" ht="26.25" customHeight="1">
      <c r="A3307" s="28" t="s">
        <v>6624</v>
      </c>
      <c r="B3307" s="29" t="s">
        <v>6625</v>
      </c>
      <c r="C3307" s="30">
        <v>4.0</v>
      </c>
      <c r="D3307" s="31">
        <v>28.0</v>
      </c>
      <c r="E3307" s="31">
        <v>1.0</v>
      </c>
      <c r="F3307" s="32" t="str">
        <f t="array" ref="F3307">"https://www.google.com/maps/search/?api=1&amp;query=" &amp; A3307 &amp; "," &amp; B3307</f>
        <v>https://www.google.com/maps/search/?api=1&amp;query=-30.88856471882570,-55.54896807730350</v>
      </c>
      <c r="G3307" s="33" t="str">
        <f t="array" ref="G3307">"https://earth.google.com/web/search/" &amp; A3307 &amp; "," &amp; B3307</f>
        <v>https://earth.google.com/web/search/-30.88856471882570,-55.54896807730350</v>
      </c>
      <c r="H3307" s="12"/>
      <c r="I3307" s="12"/>
      <c r="J3307" s="12"/>
      <c r="K3307" s="12"/>
      <c r="L3307" s="12"/>
      <c r="M3307" s="12"/>
      <c r="N3307" s="12"/>
      <c r="O3307" s="12"/>
      <c r="P3307" s="12"/>
      <c r="Q3307" s="12"/>
      <c r="R3307" s="12"/>
      <c r="S3307" s="12"/>
      <c r="T3307" s="12"/>
      <c r="U3307" s="12"/>
      <c r="V3307" s="12"/>
      <c r="W3307" s="12"/>
      <c r="X3307" s="12"/>
      <c r="Y3307" s="12"/>
      <c r="Z3307" s="12"/>
      <c r="AA3307" s="12"/>
    </row>
    <row r="3308" ht="26.25" customHeight="1">
      <c r="A3308" s="34" t="s">
        <v>6626</v>
      </c>
      <c r="B3308" s="35" t="s">
        <v>6627</v>
      </c>
      <c r="C3308" s="36">
        <v>4.0</v>
      </c>
      <c r="D3308" s="37">
        <v>28.0</v>
      </c>
      <c r="E3308" s="37">
        <v>2.0</v>
      </c>
      <c r="F3308" s="24" t="str">
        <f t="array" ref="F3308">"https://www.google.com/maps/search/?api=1&amp;query=" &amp; A3308 &amp; "," &amp; B3308</f>
        <v>https://www.google.com/maps/search/?api=1&amp;query=-3.08886285039779,-55.54883934242680</v>
      </c>
      <c r="G3308" s="25" t="str">
        <f t="array" ref="G3308">"https://earth.google.com/web/search/" &amp; A3308 &amp; "," &amp; B3308</f>
        <v>https://earth.google.com/web/search/-3.08886285039779,-55.54883934242680</v>
      </c>
      <c r="H3308" s="12"/>
      <c r="I3308" s="12"/>
      <c r="J3308" s="12"/>
      <c r="K3308" s="12"/>
      <c r="L3308" s="12"/>
      <c r="M3308" s="12"/>
      <c r="N3308" s="12"/>
      <c r="O3308" s="12"/>
      <c r="P3308" s="12"/>
      <c r="Q3308" s="12"/>
      <c r="R3308" s="12"/>
      <c r="S3308" s="12"/>
      <c r="T3308" s="12"/>
      <c r="U3308" s="12"/>
      <c r="V3308" s="12"/>
      <c r="W3308" s="12"/>
      <c r="X3308" s="12"/>
      <c r="Y3308" s="12"/>
      <c r="Z3308" s="12"/>
      <c r="AA3308" s="12"/>
    </row>
    <row r="3309" ht="26.25" customHeight="1">
      <c r="A3309" s="28" t="s">
        <v>6628</v>
      </c>
      <c r="B3309" s="29" t="s">
        <v>6629</v>
      </c>
      <c r="C3309" s="30">
        <v>4.0</v>
      </c>
      <c r="D3309" s="31">
        <v>28.0</v>
      </c>
      <c r="E3309" s="31">
        <v>3.0</v>
      </c>
      <c r="F3309" s="32" t="str">
        <f t="array" ref="F3309">"https://www.google.com/maps/search/?api=1&amp;query=" &amp; A3309 &amp; "," &amp; B3309</f>
        <v>https://www.google.com/maps/search/?api=1&amp;query=-30.88880285695100,-0.55548557781355</v>
      </c>
      <c r="G3309" s="33" t="str">
        <f t="array" ref="G3309">"https://earth.google.com/web/search/" &amp; A3309 &amp; "," &amp; B3309</f>
        <v>https://earth.google.com/web/search/-30.88880285695100,-0.55548557781355</v>
      </c>
      <c r="H3309" s="12"/>
      <c r="I3309" s="12"/>
      <c r="J3309" s="12"/>
      <c r="K3309" s="12"/>
      <c r="L3309" s="12"/>
      <c r="M3309" s="12"/>
      <c r="N3309" s="12"/>
      <c r="O3309" s="12"/>
      <c r="P3309" s="12"/>
      <c r="Q3309" s="12"/>
      <c r="R3309" s="12"/>
      <c r="S3309" s="12"/>
      <c r="T3309" s="12"/>
      <c r="U3309" s="12"/>
      <c r="V3309" s="12"/>
      <c r="W3309" s="12"/>
      <c r="X3309" s="12"/>
      <c r="Y3309" s="12"/>
      <c r="Z3309" s="12"/>
      <c r="AA3309" s="12"/>
    </row>
    <row r="3310" ht="26.25" customHeight="1">
      <c r="A3310" s="34" t="s">
        <v>6630</v>
      </c>
      <c r="B3310" s="35" t="s">
        <v>6631</v>
      </c>
      <c r="C3310" s="36">
        <v>4.0</v>
      </c>
      <c r="D3310" s="37">
        <v>28.0</v>
      </c>
      <c r="E3310" s="37">
        <v>4.0</v>
      </c>
      <c r="F3310" s="24" t="str">
        <f t="array" ref="F3310">"https://www.google.com/maps/search/?api=1&amp;query=" &amp; A3310 &amp; "," &amp; B3310</f>
        <v>https://www.google.com/maps/search/?api=1&amp;query=-30.88887531646580,-55.54841205676080</v>
      </c>
      <c r="G3310" s="25" t="str">
        <f t="array" ref="G3310">"https://earth.google.com/web/search/" &amp; A3310 &amp; "," &amp; B3310</f>
        <v>https://earth.google.com/web/search/-30.88887531646580,-55.54841205676080</v>
      </c>
      <c r="H3310" s="12"/>
      <c r="I3310" s="12"/>
      <c r="J3310" s="12"/>
      <c r="K3310" s="12"/>
      <c r="L3310" s="12"/>
      <c r="M3310" s="12"/>
      <c r="N3310" s="12"/>
      <c r="O3310" s="12"/>
      <c r="P3310" s="12"/>
      <c r="Q3310" s="12"/>
      <c r="R3310" s="12"/>
      <c r="S3310" s="12"/>
      <c r="T3310" s="12"/>
      <c r="U3310" s="12"/>
      <c r="V3310" s="12"/>
      <c r="W3310" s="12"/>
      <c r="X3310" s="12"/>
      <c r="Y3310" s="12"/>
      <c r="Z3310" s="12"/>
      <c r="AA3310" s="12"/>
    </row>
    <row r="3311" ht="26.25" customHeight="1">
      <c r="A3311" s="28" t="s">
        <v>6632</v>
      </c>
      <c r="B3311" s="29" t="s">
        <v>6633</v>
      </c>
      <c r="C3311" s="30">
        <v>4.0</v>
      </c>
      <c r="D3311" s="31">
        <v>28.0</v>
      </c>
      <c r="E3311" s="31">
        <v>5.0</v>
      </c>
      <c r="F3311" s="32" t="str">
        <f t="array" ref="F3311">"https://www.google.com/maps/search/?api=1&amp;query=" &amp; A3311 &amp; "," &amp; B3311</f>
        <v>https://www.google.com/maps/search/?api=1&amp;query=-30.88852416551960,-55.54811922927900</v>
      </c>
      <c r="G3311" s="33" t="str">
        <f t="array" ref="G3311">"https://earth.google.com/web/search/" &amp; A3311 &amp; "," &amp; B3311</f>
        <v>https://earth.google.com/web/search/-30.88852416551960,-55.54811922927900</v>
      </c>
      <c r="H3311" s="12"/>
      <c r="I3311" s="12"/>
      <c r="J3311" s="12"/>
      <c r="K3311" s="12"/>
      <c r="L3311" s="12"/>
      <c r="M3311" s="12"/>
      <c r="N3311" s="12"/>
      <c r="O3311" s="12"/>
      <c r="P3311" s="12"/>
      <c r="Q3311" s="12"/>
      <c r="R3311" s="12"/>
      <c r="S3311" s="12"/>
      <c r="T3311" s="12"/>
      <c r="U3311" s="12"/>
      <c r="V3311" s="12"/>
      <c r="W3311" s="12"/>
      <c r="X3311" s="12"/>
      <c r="Y3311" s="12"/>
      <c r="Z3311" s="12"/>
      <c r="AA3311" s="12"/>
    </row>
    <row r="3312" ht="26.25" customHeight="1">
      <c r="A3312" s="34" t="s">
        <v>6634</v>
      </c>
      <c r="B3312" s="35" t="s">
        <v>6635</v>
      </c>
      <c r="C3312" s="36">
        <v>4.0</v>
      </c>
      <c r="D3312" s="37">
        <v>28.0</v>
      </c>
      <c r="E3312" s="37">
        <v>6.0</v>
      </c>
      <c r="F3312" s="24" t="str">
        <f t="array" ref="F3312">"https://www.google.com/maps/search/?api=1&amp;query=" &amp; A3312 &amp; "," &amp; B3312</f>
        <v>https://www.google.com/maps/search/?api=1&amp;query=-30.88822596729260,-55.54795292326730</v>
      </c>
      <c r="G3312" s="25" t="str">
        <f t="array" ref="G3312">"https://earth.google.com/web/search/" &amp; A3312 &amp; "," &amp; B3312</f>
        <v>https://earth.google.com/web/search/-30.88822596729260,-55.54795292326730</v>
      </c>
      <c r="H3312" s="12"/>
      <c r="I3312" s="12"/>
      <c r="J3312" s="12"/>
      <c r="K3312" s="12"/>
      <c r="L3312" s="12"/>
      <c r="M3312" s="12"/>
      <c r="N3312" s="12"/>
      <c r="O3312" s="12"/>
      <c r="P3312" s="12"/>
      <c r="Q3312" s="12"/>
      <c r="R3312" s="12"/>
      <c r="S3312" s="12"/>
      <c r="T3312" s="12"/>
      <c r="U3312" s="12"/>
      <c r="V3312" s="12"/>
      <c r="W3312" s="12"/>
      <c r="X3312" s="12"/>
      <c r="Y3312" s="12"/>
      <c r="Z3312" s="12"/>
      <c r="AA3312" s="12"/>
    </row>
    <row r="3313" ht="26.25" customHeight="1">
      <c r="A3313" s="28" t="s">
        <v>6636</v>
      </c>
      <c r="B3313" s="29" t="s">
        <v>6637</v>
      </c>
      <c r="C3313" s="30">
        <v>4.0</v>
      </c>
      <c r="D3313" s="31">
        <v>28.0</v>
      </c>
      <c r="E3313" s="31">
        <v>7.0</v>
      </c>
      <c r="F3313" s="32" t="str">
        <f t="array" ref="F3313">"https://www.google.com/maps/search/?api=1&amp;query=" &amp; A3313 &amp; "," &amp; B3313</f>
        <v>https://www.google.com/maps/search/?api=1&amp;query=-30.88778618570160,-55.54865882478010</v>
      </c>
      <c r="G3313" s="33" t="str">
        <f t="array" ref="G3313">"https://earth.google.com/web/search/" &amp; A3313 &amp; "," &amp; B3313</f>
        <v>https://earth.google.com/web/search/-30.88778618570160,-55.54865882478010</v>
      </c>
      <c r="H3313" s="12"/>
      <c r="I3313" s="12"/>
      <c r="J3313" s="12"/>
      <c r="K3313" s="12"/>
      <c r="L3313" s="12"/>
      <c r="M3313" s="12"/>
      <c r="N3313" s="12"/>
      <c r="O3313" s="12"/>
      <c r="P3313" s="12"/>
      <c r="Q3313" s="12"/>
      <c r="R3313" s="12"/>
      <c r="S3313" s="12"/>
      <c r="T3313" s="12"/>
      <c r="U3313" s="12"/>
      <c r="V3313" s="12"/>
      <c r="W3313" s="12"/>
      <c r="X3313" s="12"/>
      <c r="Y3313" s="12"/>
      <c r="Z3313" s="12"/>
      <c r="AA3313" s="12"/>
    </row>
    <row r="3314" ht="26.25" customHeight="1">
      <c r="A3314" s="34" t="s">
        <v>6638</v>
      </c>
      <c r="B3314" s="35" t="s">
        <v>6639</v>
      </c>
      <c r="C3314" s="36">
        <v>4.0</v>
      </c>
      <c r="D3314" s="37">
        <v>28.0</v>
      </c>
      <c r="E3314" s="37">
        <v>8.0</v>
      </c>
      <c r="F3314" s="24" t="str">
        <f t="array" ref="F3314">"https://www.google.com/maps/search/?api=1&amp;query=" &amp; A3314 &amp; "," &amp; B3314</f>
        <v>https://www.google.com/maps/search/?api=1&amp;query=-30.88780120860600,-55.54874977489020</v>
      </c>
      <c r="G3314" s="25" t="str">
        <f t="array" ref="G3314">"https://earth.google.com/web/search/" &amp; A3314 &amp; "," &amp; B3314</f>
        <v>https://earth.google.com/web/search/-30.88780120860600,-55.54874977489020</v>
      </c>
      <c r="H3314" s="12"/>
      <c r="I3314" s="12"/>
      <c r="J3314" s="12"/>
      <c r="K3314" s="12"/>
      <c r="L3314" s="12"/>
      <c r="M3314" s="12"/>
      <c r="N3314" s="12"/>
      <c r="O3314" s="12"/>
      <c r="P3314" s="12"/>
      <c r="Q3314" s="12"/>
      <c r="R3314" s="12"/>
      <c r="S3314" s="12"/>
      <c r="T3314" s="12"/>
      <c r="U3314" s="12"/>
      <c r="V3314" s="12"/>
      <c r="W3314" s="12"/>
      <c r="X3314" s="12"/>
      <c r="Y3314" s="12"/>
      <c r="Z3314" s="12"/>
      <c r="AA3314" s="12"/>
    </row>
    <row r="3315" ht="26.25" customHeight="1">
      <c r="A3315" s="28" t="s">
        <v>6640</v>
      </c>
      <c r="B3315" s="29" t="s">
        <v>6641</v>
      </c>
      <c r="C3315" s="30">
        <v>4.0</v>
      </c>
      <c r="D3315" s="31">
        <v>28.0</v>
      </c>
      <c r="E3315" s="31">
        <v>9.0</v>
      </c>
      <c r="F3315" s="32" t="str">
        <f t="array" ref="F3315">"https://www.google.com/maps/search/?api=1&amp;query=" &amp; A3315 &amp; "," &amp; B3315</f>
        <v>https://www.google.com/maps/search/?api=1&amp;query=-30.88788108629260,-5.55487862721091</v>
      </c>
      <c r="G3315" s="33" t="str">
        <f t="array" ref="G3315">"https://earth.google.com/web/search/" &amp; A3315 &amp; "," &amp; B3315</f>
        <v>https://earth.google.com/web/search/-30.88788108629260,-5.55487862721091</v>
      </c>
      <c r="H3315" s="12"/>
      <c r="I3315" s="12"/>
      <c r="J3315" s="12"/>
      <c r="K3315" s="12"/>
      <c r="L3315" s="12"/>
      <c r="M3315" s="12"/>
      <c r="N3315" s="12"/>
      <c r="O3315" s="12"/>
      <c r="P3315" s="12"/>
      <c r="Q3315" s="12"/>
      <c r="R3315" s="12"/>
      <c r="S3315" s="12"/>
      <c r="T3315" s="12"/>
      <c r="U3315" s="12"/>
      <c r="V3315" s="12"/>
      <c r="W3315" s="12"/>
      <c r="X3315" s="12"/>
      <c r="Y3315" s="12"/>
      <c r="Z3315" s="12"/>
      <c r="AA3315" s="12"/>
    </row>
    <row r="3316" ht="26.25" customHeight="1">
      <c r="A3316" s="34" t="s">
        <v>6642</v>
      </c>
      <c r="B3316" s="35" t="s">
        <v>6643</v>
      </c>
      <c r="C3316" s="36">
        <v>4.0</v>
      </c>
      <c r="D3316" s="37">
        <v>29.0</v>
      </c>
      <c r="E3316" s="37">
        <v>1.0</v>
      </c>
      <c r="F3316" s="24" t="str">
        <f t="array" ref="F3316">"https://www.google.com/maps/search/?api=1&amp;query=" &amp; A3316 &amp; "," &amp; B3316</f>
        <v>https://www.google.com/maps/search/?api=1&amp;query=-30.88900099444250,-5.55481228574378</v>
      </c>
      <c r="G3316" s="25" t="str">
        <f t="array" ref="G3316">"https://earth.google.com/web/search/" &amp; A3316 &amp; "," &amp; B3316</f>
        <v>https://earth.google.com/web/search/-30.88900099444250,-5.55481228574378</v>
      </c>
      <c r="H3316" s="12"/>
      <c r="I3316" s="12"/>
      <c r="J3316" s="12"/>
      <c r="K3316" s="12"/>
      <c r="L3316" s="12"/>
      <c r="M3316" s="12"/>
      <c r="N3316" s="12"/>
      <c r="O3316" s="12"/>
      <c r="P3316" s="12"/>
      <c r="Q3316" s="12"/>
      <c r="R3316" s="12"/>
      <c r="S3316" s="12"/>
      <c r="T3316" s="12"/>
      <c r="U3316" s="12"/>
      <c r="V3316" s="12"/>
      <c r="W3316" s="12"/>
      <c r="X3316" s="12"/>
      <c r="Y3316" s="12"/>
      <c r="Z3316" s="12"/>
      <c r="AA3316" s="12"/>
    </row>
    <row r="3317" ht="26.25" customHeight="1">
      <c r="A3317" s="28" t="s">
        <v>6644</v>
      </c>
      <c r="B3317" s="29" t="s">
        <v>6645</v>
      </c>
      <c r="C3317" s="30">
        <v>4.0</v>
      </c>
      <c r="D3317" s="31">
        <v>29.0</v>
      </c>
      <c r="E3317" s="31">
        <v>2.0</v>
      </c>
      <c r="F3317" s="32" t="str">
        <f t="array" ref="F3317">"https://www.google.com/maps/search/?api=1&amp;query=" &amp; A3317 &amp; "," &amp; B3317</f>
        <v>https://www.google.com/maps/search/?api=1&amp;query=-30.88911345431910,-55.54790473782280</v>
      </c>
      <c r="G3317" s="33" t="str">
        <f t="array" ref="G3317">"https://earth.google.com/web/search/" &amp; A3317 &amp; "," &amp; B3317</f>
        <v>https://earth.google.com/web/search/-30.88911345431910,-55.54790473782280</v>
      </c>
      <c r="H3317" s="12"/>
      <c r="I3317" s="12"/>
      <c r="J3317" s="12"/>
      <c r="K3317" s="12"/>
      <c r="L3317" s="12"/>
      <c r="M3317" s="12"/>
      <c r="N3317" s="12"/>
      <c r="O3317" s="12"/>
      <c r="P3317" s="12"/>
      <c r="Q3317" s="12"/>
      <c r="R3317" s="12"/>
      <c r="S3317" s="12"/>
      <c r="T3317" s="12"/>
      <c r="U3317" s="12"/>
      <c r="V3317" s="12"/>
      <c r="W3317" s="12"/>
      <c r="X3317" s="12"/>
      <c r="Y3317" s="12"/>
      <c r="Z3317" s="12"/>
      <c r="AA3317" s="12"/>
    </row>
    <row r="3318" ht="26.25" customHeight="1">
      <c r="A3318" s="34" t="s">
        <v>6646</v>
      </c>
      <c r="B3318" s="35" t="s">
        <v>6647</v>
      </c>
      <c r="C3318" s="36">
        <v>4.0</v>
      </c>
      <c r="D3318" s="37">
        <v>29.0</v>
      </c>
      <c r="E3318" s="37">
        <v>3.0</v>
      </c>
      <c r="F3318" s="24" t="str">
        <f t="array" ref="F3318">"https://www.google.com/maps/search/?api=1&amp;query=" &amp; A3318 &amp; "," &amp; B3318</f>
        <v>https://www.google.com/maps/search/?api=1&amp;query=-30.88893068464850,-55.54731460298300</v>
      </c>
      <c r="G3318" s="25" t="str">
        <f t="array" ref="G3318">"https://earth.google.com/web/search/" &amp; A3318 &amp; "," &amp; B3318</f>
        <v>https://earth.google.com/web/search/-30.88893068464850,-55.54731460298300</v>
      </c>
      <c r="H3318" s="12"/>
      <c r="I3318" s="12"/>
      <c r="J3318" s="12"/>
      <c r="K3318" s="12"/>
      <c r="L3318" s="12"/>
      <c r="M3318" s="12"/>
      <c r="N3318" s="12"/>
      <c r="O3318" s="12"/>
      <c r="P3318" s="12"/>
      <c r="Q3318" s="12"/>
      <c r="R3318" s="12"/>
      <c r="S3318" s="12"/>
      <c r="T3318" s="12"/>
      <c r="U3318" s="12"/>
      <c r="V3318" s="12"/>
      <c r="W3318" s="12"/>
      <c r="X3318" s="12"/>
      <c r="Y3318" s="12"/>
      <c r="Z3318" s="12"/>
      <c r="AA3318" s="12"/>
    </row>
    <row r="3319" ht="26.25" customHeight="1">
      <c r="A3319" s="28" t="s">
        <v>6648</v>
      </c>
      <c r="B3319" s="29" t="s">
        <v>6649</v>
      </c>
      <c r="C3319" s="30">
        <v>4.0</v>
      </c>
      <c r="D3319" s="31">
        <v>29.0</v>
      </c>
      <c r="E3319" s="31">
        <v>4.0</v>
      </c>
      <c r="F3319" s="32" t="str">
        <f t="array" ref="F3319">"https://www.google.com/maps/search/?api=1&amp;query=" &amp; A3319 &amp; "," &amp; B3319</f>
        <v>https://www.google.com/maps/search/?api=1&amp;query=-30.88843317713590,-55.54778323925970</v>
      </c>
      <c r="G3319" s="33" t="str">
        <f t="array" ref="G3319">"https://earth.google.com/web/search/" &amp; A3319 &amp; "," &amp; B3319</f>
        <v>https://earth.google.com/web/search/-30.88843317713590,-55.54778323925970</v>
      </c>
      <c r="H3319" s="12"/>
      <c r="I3319" s="12"/>
      <c r="J3319" s="12"/>
      <c r="K3319" s="12"/>
      <c r="L3319" s="12"/>
      <c r="M3319" s="12"/>
      <c r="N3319" s="12"/>
      <c r="O3319" s="12"/>
      <c r="P3319" s="12"/>
      <c r="Q3319" s="12"/>
      <c r="R3319" s="12"/>
      <c r="S3319" s="12"/>
      <c r="T3319" s="12"/>
      <c r="U3319" s="12"/>
      <c r="V3319" s="12"/>
      <c r="W3319" s="12"/>
      <c r="X3319" s="12"/>
      <c r="Y3319" s="12"/>
      <c r="Z3319" s="12"/>
      <c r="AA3319" s="12"/>
    </row>
    <row r="3320" ht="26.25" customHeight="1">
      <c r="A3320" s="34" t="s">
        <v>6650</v>
      </c>
      <c r="B3320" s="35" t="s">
        <v>6651</v>
      </c>
      <c r="C3320" s="36">
        <v>4.0</v>
      </c>
      <c r="D3320" s="37">
        <v>30.0</v>
      </c>
      <c r="E3320" s="37">
        <v>1.0</v>
      </c>
      <c r="F3320" s="24" t="str">
        <f t="array" ref="F3320">"https://www.google.com/maps/search/?api=1&amp;query=" &amp; A3320 &amp; "," &amp; B3320</f>
        <v>https://www.google.com/maps/search/?api=1&amp;query=-30.88973855470270,-55.54681502185650</v>
      </c>
      <c r="G3320" s="25" t="str">
        <f t="array" ref="G3320">"https://earth.google.com/web/search/" &amp; A3320 &amp; "," &amp; B3320</f>
        <v>https://earth.google.com/web/search/-30.88973855470270,-55.54681502185650</v>
      </c>
      <c r="H3320" s="12"/>
      <c r="I3320" s="12"/>
      <c r="J3320" s="12"/>
      <c r="K3320" s="12"/>
      <c r="L3320" s="12"/>
      <c r="M3320" s="12"/>
      <c r="N3320" s="12"/>
      <c r="O3320" s="12"/>
      <c r="P3320" s="12"/>
      <c r="Q3320" s="12"/>
      <c r="R3320" s="12"/>
      <c r="S3320" s="12"/>
      <c r="T3320" s="12"/>
      <c r="U3320" s="12"/>
      <c r="V3320" s="12"/>
      <c r="W3320" s="12"/>
      <c r="X3320" s="12"/>
      <c r="Y3320" s="12"/>
      <c r="Z3320" s="12"/>
      <c r="AA3320" s="12"/>
    </row>
    <row r="3321" ht="26.25" customHeight="1">
      <c r="A3321" s="28" t="s">
        <v>6652</v>
      </c>
      <c r="B3321" s="29" t="s">
        <v>6653</v>
      </c>
      <c r="C3321" s="30">
        <v>4.0</v>
      </c>
      <c r="D3321" s="31">
        <v>30.0</v>
      </c>
      <c r="E3321" s="31">
        <v>2.0</v>
      </c>
      <c r="F3321" s="32" t="str">
        <f t="array" ref="F3321">"https://www.google.com/maps/search/?api=1&amp;query=" &amp; A3321 &amp; "," &amp; B3321</f>
        <v>https://www.google.com/maps/search/?api=1&amp;query=-30.88973942458570,-55.54654446086730</v>
      </c>
      <c r="G3321" s="33" t="str">
        <f t="array" ref="G3321">"https://earth.google.com/web/search/" &amp; A3321 &amp; "," &amp; B3321</f>
        <v>https://earth.google.com/web/search/-30.88973942458570,-55.54654446086730</v>
      </c>
      <c r="H3321" s="12"/>
      <c r="I3321" s="12"/>
      <c r="J3321" s="12"/>
      <c r="K3321" s="12"/>
      <c r="L3321" s="12"/>
      <c r="M3321" s="12"/>
      <c r="N3321" s="12"/>
      <c r="O3321" s="12"/>
      <c r="P3321" s="12"/>
      <c r="Q3321" s="12"/>
      <c r="R3321" s="12"/>
      <c r="S3321" s="12"/>
      <c r="T3321" s="12"/>
      <c r="U3321" s="12"/>
      <c r="V3321" s="12"/>
      <c r="W3321" s="12"/>
      <c r="X3321" s="12"/>
      <c r="Y3321" s="12"/>
      <c r="Z3321" s="12"/>
      <c r="AA3321" s="12"/>
    </row>
    <row r="3322" ht="26.25" customHeight="1">
      <c r="A3322" s="34" t="s">
        <v>6654</v>
      </c>
      <c r="B3322" s="35" t="s">
        <v>6655</v>
      </c>
      <c r="C3322" s="36">
        <v>4.0</v>
      </c>
      <c r="D3322" s="37">
        <v>30.0</v>
      </c>
      <c r="E3322" s="37">
        <v>3.0</v>
      </c>
      <c r="F3322" s="24" t="str">
        <f t="array" ref="F3322">"https://www.google.com/maps/search/?api=1&amp;query=" &amp; A3322 &amp; "," &amp; B3322</f>
        <v>https://www.google.com/maps/search/?api=1&amp;query=-30.88943566663850,-55.54677301358240</v>
      </c>
      <c r="G3322" s="25" t="str">
        <f t="array" ref="G3322">"https://earth.google.com/web/search/" &amp; A3322 &amp; "," &amp; B3322</f>
        <v>https://earth.google.com/web/search/-30.88943566663850,-55.54677301358240</v>
      </c>
      <c r="H3322" s="12"/>
      <c r="I3322" s="12"/>
      <c r="J3322" s="12"/>
      <c r="K3322" s="12"/>
      <c r="L3322" s="12"/>
      <c r="M3322" s="12"/>
      <c r="N3322" s="12"/>
      <c r="O3322" s="12"/>
      <c r="P3322" s="12"/>
      <c r="Q3322" s="12"/>
      <c r="R3322" s="12"/>
      <c r="S3322" s="12"/>
      <c r="T3322" s="12"/>
      <c r="U3322" s="12"/>
      <c r="V3322" s="12"/>
      <c r="W3322" s="12"/>
      <c r="X3322" s="12"/>
      <c r="Y3322" s="12"/>
      <c r="Z3322" s="12"/>
      <c r="AA3322" s="12"/>
    </row>
    <row r="3323" ht="26.25" customHeight="1">
      <c r="A3323" s="28" t="s">
        <v>6656</v>
      </c>
      <c r="B3323" s="29" t="s">
        <v>6657</v>
      </c>
      <c r="C3323" s="30">
        <v>4.0</v>
      </c>
      <c r="D3323" s="31">
        <v>30.0</v>
      </c>
      <c r="E3323" s="31">
        <v>4.0</v>
      </c>
      <c r="F3323" s="32" t="str">
        <f t="array" ref="F3323">"https://www.google.com/maps/search/?api=1&amp;query=" &amp; A3323 &amp; "," &amp; B3323</f>
        <v>https://www.google.com/maps/search/?api=1&amp;query=-30.88922083775050,-55.54699815281330</v>
      </c>
      <c r="G3323" s="33" t="str">
        <f t="array" ref="G3323">"https://earth.google.com/web/search/" &amp; A3323 &amp; "," &amp; B3323</f>
        <v>https://earth.google.com/web/search/-30.88922083775050,-55.54699815281330</v>
      </c>
      <c r="H3323" s="12"/>
      <c r="I3323" s="12"/>
      <c r="J3323" s="12"/>
      <c r="K3323" s="12"/>
      <c r="L3323" s="12"/>
      <c r="M3323" s="12"/>
      <c r="N3323" s="12"/>
      <c r="O3323" s="12"/>
      <c r="P3323" s="12"/>
      <c r="Q3323" s="12"/>
      <c r="R3323" s="12"/>
      <c r="S3323" s="12"/>
      <c r="T3323" s="12"/>
      <c r="U3323" s="12"/>
      <c r="V3323" s="12"/>
      <c r="W3323" s="12"/>
      <c r="X3323" s="12"/>
      <c r="Y3323" s="12"/>
      <c r="Z3323" s="12"/>
      <c r="AA3323" s="12"/>
    </row>
    <row r="3324" ht="26.25" customHeight="1">
      <c r="A3324" s="34" t="s">
        <v>6658</v>
      </c>
      <c r="B3324" s="35" t="s">
        <v>6659</v>
      </c>
      <c r="C3324" s="36">
        <v>4.0</v>
      </c>
      <c r="D3324" s="37">
        <v>30.0</v>
      </c>
      <c r="E3324" s="37">
        <v>5.0</v>
      </c>
      <c r="F3324" s="24" t="str">
        <f t="array" ref="F3324">"https://www.google.com/maps/search/?api=1&amp;query=" &amp; A3324 &amp; "," &amp; B3324</f>
        <v>https://www.google.com/maps/search/?api=1&amp;query=-30.88929443455360,-55.54726438899240</v>
      </c>
      <c r="G3324" s="25" t="str">
        <f t="array" ref="G3324">"https://earth.google.com/web/search/" &amp; A3324 &amp; "," &amp; B3324</f>
        <v>https://earth.google.com/web/search/-30.88929443455360,-55.54726438899240</v>
      </c>
      <c r="H3324" s="12"/>
      <c r="I3324" s="12"/>
      <c r="J3324" s="12"/>
      <c r="K3324" s="12"/>
      <c r="L3324" s="12"/>
      <c r="M3324" s="12"/>
      <c r="N3324" s="12"/>
      <c r="O3324" s="12"/>
      <c r="P3324" s="12"/>
      <c r="Q3324" s="12"/>
      <c r="R3324" s="12"/>
      <c r="S3324" s="12"/>
      <c r="T3324" s="12"/>
      <c r="U3324" s="12"/>
      <c r="V3324" s="12"/>
      <c r="W3324" s="12"/>
      <c r="X3324" s="12"/>
      <c r="Y3324" s="12"/>
      <c r="Z3324" s="12"/>
      <c r="AA3324" s="12"/>
    </row>
    <row r="3325" ht="26.25" customHeight="1">
      <c r="A3325" s="28" t="s">
        <v>6660</v>
      </c>
      <c r="B3325" s="29" t="s">
        <v>6661</v>
      </c>
      <c r="C3325" s="30">
        <v>4.0</v>
      </c>
      <c r="D3325" s="31">
        <v>34.0</v>
      </c>
      <c r="E3325" s="31">
        <v>1.0</v>
      </c>
      <c r="F3325" s="32" t="str">
        <f t="array" ref="F3325">"https://www.google.com/maps/search/?api=1&amp;query=" &amp; A3325 &amp; "," &amp; B3325</f>
        <v>https://www.google.com/maps/search/?api=1&amp;query=-30.89076914080440,-55.54682747512360</v>
      </c>
      <c r="G3325" s="33" t="str">
        <f t="array" ref="G3325">"https://earth.google.com/web/search/" &amp; A3325 &amp; "," &amp; B3325</f>
        <v>https://earth.google.com/web/search/-30.89076914080440,-55.54682747512360</v>
      </c>
      <c r="H3325" s="12"/>
      <c r="I3325" s="12"/>
      <c r="J3325" s="12"/>
      <c r="K3325" s="12"/>
      <c r="L3325" s="12"/>
      <c r="M3325" s="12"/>
      <c r="N3325" s="12"/>
      <c r="O3325" s="12"/>
      <c r="P3325" s="12"/>
      <c r="Q3325" s="12"/>
      <c r="R3325" s="12"/>
      <c r="S3325" s="12"/>
      <c r="T3325" s="12"/>
      <c r="U3325" s="12"/>
      <c r="V3325" s="12"/>
      <c r="W3325" s="12"/>
      <c r="X3325" s="12"/>
      <c r="Y3325" s="12"/>
      <c r="Z3325" s="12"/>
      <c r="AA3325" s="12"/>
    </row>
    <row r="3326" ht="26.25" customHeight="1">
      <c r="A3326" s="34" t="s">
        <v>6662</v>
      </c>
      <c r="B3326" s="35" t="s">
        <v>6663</v>
      </c>
      <c r="C3326" s="36">
        <v>4.0</v>
      </c>
      <c r="D3326" s="37">
        <v>34.0</v>
      </c>
      <c r="E3326" s="37">
        <v>2.0</v>
      </c>
      <c r="F3326" s="24" t="str">
        <f t="array" ref="F3326">"https://www.google.com/maps/search/?api=1&amp;query=" &amp; A3326 &amp; "," &amp; B3326</f>
        <v>https://www.google.com/maps/search/?api=1&amp;query=-30.89088178774510,-55.54662794669530</v>
      </c>
      <c r="G3326" s="25" t="str">
        <f t="array" ref="G3326">"https://earth.google.com/web/search/" &amp; A3326 &amp; "," &amp; B3326</f>
        <v>https://earth.google.com/web/search/-30.89088178774510,-55.54662794669530</v>
      </c>
      <c r="H3326" s="12"/>
      <c r="I3326" s="12"/>
      <c r="J3326" s="12"/>
      <c r="K3326" s="12"/>
      <c r="L3326" s="12"/>
      <c r="M3326" s="12"/>
      <c r="N3326" s="12"/>
      <c r="O3326" s="12"/>
      <c r="P3326" s="12"/>
      <c r="Q3326" s="12"/>
      <c r="R3326" s="12"/>
      <c r="S3326" s="12"/>
      <c r="T3326" s="12"/>
      <c r="U3326" s="12"/>
      <c r="V3326" s="12"/>
      <c r="W3326" s="12"/>
      <c r="X3326" s="12"/>
      <c r="Y3326" s="12"/>
      <c r="Z3326" s="12"/>
      <c r="AA3326" s="12"/>
    </row>
    <row r="3327" ht="26.25" customHeight="1">
      <c r="A3327" s="28" t="s">
        <v>6664</v>
      </c>
      <c r="B3327" s="29" t="s">
        <v>6665</v>
      </c>
      <c r="C3327" s="30">
        <v>4.0</v>
      </c>
      <c r="D3327" s="31">
        <v>34.0</v>
      </c>
      <c r="E3327" s="31">
        <v>5.0</v>
      </c>
      <c r="F3327" s="32" t="str">
        <f t="array" ref="F3327">"https://www.google.com/maps/search/?api=1&amp;query=" &amp; A3327 &amp; "," &amp; B3327</f>
        <v>https://www.google.com/maps/search/?api=1&amp;query=-30.89105793248510,-55.54633548438610</v>
      </c>
      <c r="G3327" s="33" t="str">
        <f t="array" ref="G3327">"https://earth.google.com/web/search/" &amp; A3327 &amp; "," &amp; B3327</f>
        <v>https://earth.google.com/web/search/-30.89105793248510,-55.54633548438610</v>
      </c>
      <c r="H3327" s="12"/>
      <c r="I3327" s="12"/>
      <c r="J3327" s="12"/>
      <c r="K3327" s="12"/>
      <c r="L3327" s="12"/>
      <c r="M3327" s="12"/>
      <c r="N3327" s="12"/>
      <c r="O3327" s="12"/>
      <c r="P3327" s="12"/>
      <c r="Q3327" s="12"/>
      <c r="R3327" s="12"/>
      <c r="S3327" s="12"/>
      <c r="T3327" s="12"/>
      <c r="U3327" s="12"/>
      <c r="V3327" s="12"/>
      <c r="W3327" s="12"/>
      <c r="X3327" s="12"/>
      <c r="Y3327" s="12"/>
      <c r="Z3327" s="12"/>
      <c r="AA3327" s="12"/>
    </row>
    <row r="3328" ht="26.25" customHeight="1">
      <c r="A3328" s="34" t="s">
        <v>6666</v>
      </c>
      <c r="B3328" s="35" t="s">
        <v>6667</v>
      </c>
      <c r="C3328" s="36">
        <v>4.0</v>
      </c>
      <c r="D3328" s="37">
        <v>34.0</v>
      </c>
      <c r="E3328" s="37">
        <v>3.0</v>
      </c>
      <c r="F3328" s="24" t="str">
        <f t="array" ref="F3328">"https://www.google.com/maps/search/?api=1&amp;query=" &amp; A3328 &amp; "," &amp; B3328</f>
        <v>https://www.google.com/maps/search/?api=1&amp;query=-30.89098282024600,-55.54645045998920</v>
      </c>
      <c r="G3328" s="25" t="str">
        <f t="array" ref="G3328">"https://earth.google.com/web/search/" &amp; A3328 &amp; "," &amp; B3328</f>
        <v>https://earth.google.com/web/search/-30.89098282024600,-55.54645045998920</v>
      </c>
      <c r="H3328" s="12"/>
      <c r="I3328" s="12"/>
      <c r="J3328" s="12"/>
      <c r="K3328" s="12"/>
      <c r="L3328" s="12"/>
      <c r="M3328" s="12"/>
      <c r="N3328" s="12"/>
      <c r="O3328" s="12"/>
      <c r="P3328" s="12"/>
      <c r="Q3328" s="12"/>
      <c r="R3328" s="12"/>
      <c r="S3328" s="12"/>
      <c r="T3328" s="12"/>
      <c r="U3328" s="12"/>
      <c r="V3328" s="12"/>
      <c r="W3328" s="12"/>
      <c r="X3328" s="12"/>
      <c r="Y3328" s="12"/>
      <c r="Z3328" s="12"/>
      <c r="AA3328" s="12"/>
    </row>
    <row r="3329" ht="26.25" customHeight="1">
      <c r="A3329" s="28" t="s">
        <v>6668</v>
      </c>
      <c r="B3329" s="29" t="s">
        <v>6669</v>
      </c>
      <c r="C3329" s="30">
        <v>4.0</v>
      </c>
      <c r="D3329" s="31">
        <v>34.0</v>
      </c>
      <c r="E3329" s="31">
        <v>4.0</v>
      </c>
      <c r="F3329" s="32" t="str">
        <f t="array" ref="F3329">"https://www.google.com/maps/search/?api=1&amp;query=" &amp; A3329 &amp; "," &amp; B3329</f>
        <v>https://www.google.com/maps/search/?api=1&amp;query=-30.89100115323520,-55.54640681357180</v>
      </c>
      <c r="G3329" s="33" t="str">
        <f t="array" ref="G3329">"https://earth.google.com/web/search/" &amp; A3329 &amp; "," &amp; B3329</f>
        <v>https://earth.google.com/web/search/-30.89100115323520,-55.54640681357180</v>
      </c>
      <c r="H3329" s="12"/>
      <c r="I3329" s="12"/>
      <c r="J3329" s="12"/>
      <c r="K3329" s="12"/>
      <c r="L3329" s="12"/>
      <c r="M3329" s="12"/>
      <c r="N3329" s="12"/>
      <c r="O3329" s="12"/>
      <c r="P3329" s="12"/>
      <c r="Q3329" s="12"/>
      <c r="R3329" s="12"/>
      <c r="S3329" s="12"/>
      <c r="T3329" s="12"/>
      <c r="U3329" s="12"/>
      <c r="V3329" s="12"/>
      <c r="W3329" s="12"/>
      <c r="X3329" s="12"/>
      <c r="Y3329" s="12"/>
      <c r="Z3329" s="12"/>
      <c r="AA3329" s="12"/>
    </row>
    <row r="3330" ht="26.25" customHeight="1">
      <c r="A3330" s="34" t="s">
        <v>6670</v>
      </c>
      <c r="B3330" s="35" t="s">
        <v>6671</v>
      </c>
      <c r="C3330" s="36">
        <v>4.0</v>
      </c>
      <c r="D3330" s="37">
        <v>36.0</v>
      </c>
      <c r="E3330" s="37">
        <v>1.0</v>
      </c>
      <c r="F3330" s="24" t="str">
        <f t="array" ref="F3330">"https://www.google.com/maps/search/?api=1&amp;query=" &amp; A3330 &amp; "," &amp; B3330</f>
        <v>https://www.google.com/maps/search/?api=1&amp;query=-3.08899172360242,-55.54843825511670</v>
      </c>
      <c r="G3330" s="25" t="str">
        <f t="array" ref="G3330">"https://earth.google.com/web/search/" &amp; A3330 &amp; "," &amp; B3330</f>
        <v>https://earth.google.com/web/search/-3.08899172360242,-55.54843825511670</v>
      </c>
      <c r="H3330" s="12"/>
      <c r="I3330" s="12"/>
      <c r="J3330" s="12"/>
      <c r="K3330" s="12"/>
      <c r="L3330" s="12"/>
      <c r="M3330" s="12"/>
      <c r="N3330" s="12"/>
      <c r="O3330" s="12"/>
      <c r="P3330" s="12"/>
      <c r="Q3330" s="12"/>
      <c r="R3330" s="12"/>
      <c r="S3330" s="12"/>
      <c r="T3330" s="12"/>
      <c r="U3330" s="12"/>
      <c r="V3330" s="12"/>
      <c r="W3330" s="12"/>
      <c r="X3330" s="12"/>
      <c r="Y3330" s="12"/>
      <c r="Z3330" s="12"/>
      <c r="AA3330" s="12"/>
    </row>
    <row r="3331" ht="26.25" customHeight="1">
      <c r="A3331" s="28" t="s">
        <v>6672</v>
      </c>
      <c r="B3331" s="29" t="s">
        <v>6673</v>
      </c>
      <c r="C3331" s="30">
        <v>4.0</v>
      </c>
      <c r="D3331" s="31">
        <v>36.0</v>
      </c>
      <c r="E3331" s="31">
        <v>2.0</v>
      </c>
      <c r="F3331" s="32" t="str">
        <f t="array" ref="F3331">"https://www.google.com/maps/search/?api=1&amp;query=" &amp; A3331 &amp; "," &amp; B3331</f>
        <v>https://www.google.com/maps/search/?api=1&amp;query=-30.88935872429320,-55.54859501429130</v>
      </c>
      <c r="G3331" s="33" t="str">
        <f t="array" ref="G3331">"https://earth.google.com/web/search/" &amp; A3331 &amp; "," &amp; B3331</f>
        <v>https://earth.google.com/web/search/-30.88935872429320,-55.54859501429130</v>
      </c>
      <c r="H3331" s="12"/>
      <c r="I3331" s="12"/>
      <c r="J3331" s="12"/>
      <c r="K3331" s="12"/>
      <c r="L3331" s="12"/>
      <c r="M3331" s="12"/>
      <c r="N3331" s="12"/>
      <c r="O3331" s="12"/>
      <c r="P3331" s="12"/>
      <c r="Q3331" s="12"/>
      <c r="R3331" s="12"/>
      <c r="S3331" s="12"/>
      <c r="T3331" s="12"/>
      <c r="U3331" s="12"/>
      <c r="V3331" s="12"/>
      <c r="W3331" s="12"/>
      <c r="X3331" s="12"/>
      <c r="Y3331" s="12"/>
      <c r="Z3331" s="12"/>
      <c r="AA3331" s="12"/>
    </row>
    <row r="3332" ht="26.25" customHeight="1">
      <c r="A3332" s="34" t="s">
        <v>6674</v>
      </c>
      <c r="B3332" s="35" t="s">
        <v>6675</v>
      </c>
      <c r="C3332" s="36">
        <v>4.0</v>
      </c>
      <c r="D3332" s="37">
        <v>35.0</v>
      </c>
      <c r="E3332" s="37">
        <v>1.0</v>
      </c>
      <c r="F3332" s="24" t="str">
        <f t="array" ref="F3332">"https://www.google.com/maps/search/?api=1&amp;query=" &amp; A3332 &amp; "," &amp; B3332</f>
        <v>https://www.google.com/maps/search/?api=1&amp;query=-30.89028201631810,-55.54780066170380</v>
      </c>
      <c r="G3332" s="25" t="str">
        <f t="array" ref="G3332">"https://earth.google.com/web/search/" &amp; A3332 &amp; "," &amp; B3332</f>
        <v>https://earth.google.com/web/search/-30.89028201631810,-55.54780066170380</v>
      </c>
      <c r="H3332" s="12"/>
      <c r="I3332" s="12"/>
      <c r="J3332" s="12"/>
      <c r="K3332" s="12"/>
      <c r="L3332" s="12"/>
      <c r="M3332" s="12"/>
      <c r="N3332" s="12"/>
      <c r="O3332" s="12"/>
      <c r="P3332" s="12"/>
      <c r="Q3332" s="12"/>
      <c r="R3332" s="12"/>
      <c r="S3332" s="12"/>
      <c r="T3332" s="12"/>
      <c r="U3332" s="12"/>
      <c r="V3332" s="12"/>
      <c r="W3332" s="12"/>
      <c r="X3332" s="12"/>
      <c r="Y3332" s="12"/>
      <c r="Z3332" s="12"/>
      <c r="AA3332" s="12"/>
    </row>
    <row r="3333" ht="26.25" customHeight="1">
      <c r="A3333" s="28" t="s">
        <v>6676</v>
      </c>
      <c r="B3333" s="29" t="s">
        <v>6677</v>
      </c>
      <c r="C3333" s="30">
        <v>4.0</v>
      </c>
      <c r="D3333" s="31">
        <v>35.0</v>
      </c>
      <c r="E3333" s="31">
        <v>2.0</v>
      </c>
      <c r="F3333" s="32" t="str">
        <f t="array" ref="F3333">"https://www.google.com/maps/search/?api=1&amp;query=" &amp; A3333 &amp; "," &amp; B3333</f>
        <v>https://www.google.com/maps/search/?api=1&amp;query=-30.89057872649710,-55.54709373839290</v>
      </c>
      <c r="G3333" s="33" t="str">
        <f t="array" ref="G3333">"https://earth.google.com/web/search/" &amp; A3333 &amp; "," &amp; B3333</f>
        <v>https://earth.google.com/web/search/-30.89057872649710,-55.54709373839290</v>
      </c>
      <c r="H3333" s="12"/>
      <c r="I3333" s="12"/>
      <c r="J3333" s="12"/>
      <c r="K3333" s="12"/>
      <c r="L3333" s="12"/>
      <c r="M3333" s="12"/>
      <c r="N3333" s="12"/>
      <c r="O3333" s="12"/>
      <c r="P3333" s="12"/>
      <c r="Q3333" s="12"/>
      <c r="R3333" s="12"/>
      <c r="S3333" s="12"/>
      <c r="T3333" s="12"/>
      <c r="U3333" s="12"/>
      <c r="V3333" s="12"/>
      <c r="W3333" s="12"/>
      <c r="X3333" s="12"/>
      <c r="Y3333" s="12"/>
      <c r="Z3333" s="12"/>
      <c r="AA3333" s="12"/>
    </row>
    <row r="3334" ht="26.25" customHeight="1">
      <c r="A3334" s="34" t="s">
        <v>6678</v>
      </c>
      <c r="B3334" s="35" t="s">
        <v>6679</v>
      </c>
      <c r="C3334" s="36">
        <v>4.0</v>
      </c>
      <c r="D3334" s="37">
        <v>35.0</v>
      </c>
      <c r="E3334" s="37">
        <v>3.0</v>
      </c>
      <c r="F3334" s="24" t="str">
        <f t="array" ref="F3334">"https://www.google.com/maps/search/?api=1&amp;query=" &amp; A3334 &amp; "," &amp; B3334</f>
        <v>https://www.google.com/maps/search/?api=1&amp;query=-3.08904932275943,-55.54702677111780</v>
      </c>
      <c r="G3334" s="25" t="str">
        <f t="array" ref="G3334">"https://earth.google.com/web/search/" &amp; A3334 &amp; "," &amp; B3334</f>
        <v>https://earth.google.com/web/search/-3.08904932275943,-55.54702677111780</v>
      </c>
      <c r="H3334" s="12"/>
      <c r="I3334" s="12"/>
      <c r="J3334" s="12"/>
      <c r="K3334" s="12"/>
      <c r="L3334" s="12"/>
      <c r="M3334" s="12"/>
      <c r="N3334" s="12"/>
      <c r="O3334" s="12"/>
      <c r="P3334" s="12"/>
      <c r="Q3334" s="12"/>
      <c r="R3334" s="12"/>
      <c r="S3334" s="12"/>
      <c r="T3334" s="12"/>
      <c r="U3334" s="12"/>
      <c r="V3334" s="12"/>
      <c r="W3334" s="12"/>
      <c r="X3334" s="12"/>
      <c r="Y3334" s="12"/>
      <c r="Z3334" s="12"/>
      <c r="AA3334" s="12"/>
    </row>
    <row r="3335" ht="26.25" customHeight="1">
      <c r="A3335" s="28" t="s">
        <v>6680</v>
      </c>
      <c r="B3335" s="29" t="s">
        <v>6681</v>
      </c>
      <c r="C3335" s="30">
        <v>4.0</v>
      </c>
      <c r="D3335" s="31">
        <v>35.0</v>
      </c>
      <c r="E3335" s="31">
        <v>4.0</v>
      </c>
      <c r="F3335" s="32" t="str">
        <f t="array" ref="F3335">"https://www.google.com/maps/search/?api=1&amp;query=" &amp; A3335 &amp; "," &amp; B3335</f>
        <v>https://www.google.com/maps/search/?api=1&amp;query=-30.89037487141630,-55.54694103392580</v>
      </c>
      <c r="G3335" s="33" t="str">
        <f t="array" ref="G3335">"https://earth.google.com/web/search/" &amp; A3335 &amp; "," &amp; B3335</f>
        <v>https://earth.google.com/web/search/-30.89037487141630,-55.54694103392580</v>
      </c>
      <c r="H3335" s="12"/>
      <c r="I3335" s="12"/>
      <c r="J3335" s="12"/>
      <c r="K3335" s="12"/>
      <c r="L3335" s="12"/>
      <c r="M3335" s="12"/>
      <c r="N3335" s="12"/>
      <c r="O3335" s="12"/>
      <c r="P3335" s="12"/>
      <c r="Q3335" s="12"/>
      <c r="R3335" s="12"/>
      <c r="S3335" s="12"/>
      <c r="T3335" s="12"/>
      <c r="U3335" s="12"/>
      <c r="V3335" s="12"/>
      <c r="W3335" s="12"/>
      <c r="X3335" s="12"/>
      <c r="Y3335" s="12"/>
      <c r="Z3335" s="12"/>
      <c r="AA3335" s="12"/>
    </row>
    <row r="3336" ht="26.25" customHeight="1">
      <c r="A3336" s="34" t="s">
        <v>6682</v>
      </c>
      <c r="B3336" s="35" t="s">
        <v>6683</v>
      </c>
      <c r="C3336" s="36">
        <v>4.0</v>
      </c>
      <c r="D3336" s="37">
        <v>35.0</v>
      </c>
      <c r="E3336" s="37">
        <v>5.0</v>
      </c>
      <c r="F3336" s="24" t="str">
        <f t="array" ref="F3336">"https://www.google.com/maps/search/?api=1&amp;query=" &amp; A3336 &amp; "," &amp; B3336</f>
        <v>https://www.google.com/maps/search/?api=1&amp;query=-30.88986814367280,-55.54665253494490</v>
      </c>
      <c r="G3336" s="25" t="str">
        <f t="array" ref="G3336">"https://earth.google.com/web/search/" &amp; A3336 &amp; "," &amp; B3336</f>
        <v>https://earth.google.com/web/search/-30.88986814367280,-55.54665253494490</v>
      </c>
      <c r="H3336" s="12"/>
      <c r="I3336" s="12"/>
      <c r="J3336" s="12"/>
      <c r="K3336" s="12"/>
      <c r="L3336" s="12"/>
      <c r="M3336" s="12"/>
      <c r="N3336" s="12"/>
      <c r="O3336" s="12"/>
      <c r="P3336" s="12"/>
      <c r="Q3336" s="12"/>
      <c r="R3336" s="12"/>
      <c r="S3336" s="12"/>
      <c r="T3336" s="12"/>
      <c r="U3336" s="12"/>
      <c r="V3336" s="12"/>
      <c r="W3336" s="12"/>
      <c r="X3336" s="12"/>
      <c r="Y3336" s="12"/>
      <c r="Z3336" s="12"/>
      <c r="AA3336" s="12"/>
    </row>
    <row r="3337" ht="26.25" customHeight="1">
      <c r="A3337" s="28" t="s">
        <v>6684</v>
      </c>
      <c r="B3337" s="29" t="s">
        <v>6685</v>
      </c>
      <c r="C3337" s="30">
        <v>4.0</v>
      </c>
      <c r="D3337" s="31">
        <v>35.0</v>
      </c>
      <c r="E3337" s="31">
        <v>6.0</v>
      </c>
      <c r="F3337" s="32" t="str">
        <f t="array" ref="F3337">"https://www.google.com/maps/search/?api=1&amp;query=" &amp; A3337 &amp; "," &amp; B3337</f>
        <v>https://www.google.com/maps/search/?api=1&amp;query=-30.88990818259730,-55.54771778581490</v>
      </c>
      <c r="G3337" s="33" t="str">
        <f t="array" ref="G3337">"https://earth.google.com/web/search/" &amp; A3337 &amp; "," &amp; B3337</f>
        <v>https://earth.google.com/web/search/-30.88990818259730,-55.54771778581490</v>
      </c>
      <c r="H3337" s="12"/>
      <c r="I3337" s="12"/>
      <c r="J3337" s="12"/>
      <c r="K3337" s="12"/>
      <c r="L3337" s="12"/>
      <c r="M3337" s="12"/>
      <c r="N3337" s="12"/>
      <c r="O3337" s="12"/>
      <c r="P3337" s="12"/>
      <c r="Q3337" s="12"/>
      <c r="R3337" s="12"/>
      <c r="S3337" s="12"/>
      <c r="T3337" s="12"/>
      <c r="U3337" s="12"/>
      <c r="V3337" s="12"/>
      <c r="W3337" s="12"/>
      <c r="X3337" s="12"/>
      <c r="Y3337" s="12"/>
      <c r="Z3337" s="12"/>
      <c r="AA3337" s="12"/>
    </row>
    <row r="3338" ht="26.25" customHeight="1">
      <c r="A3338" s="34" t="s">
        <v>6686</v>
      </c>
      <c r="B3338" s="35" t="s">
        <v>6687</v>
      </c>
      <c r="C3338" s="36">
        <v>4.0</v>
      </c>
      <c r="D3338" s="37">
        <v>35.0</v>
      </c>
      <c r="E3338" s="37">
        <v>7.0</v>
      </c>
      <c r="F3338" s="24" t="str">
        <f t="array" ref="F3338">"https://www.google.com/maps/search/?api=1&amp;query=" &amp; A3338 &amp; "," &amp; B3338</f>
        <v>https://www.google.com/maps/search/?api=1&amp;query=-30.88995740854490,-55.54774210924250</v>
      </c>
      <c r="G3338" s="25" t="str">
        <f t="array" ref="G3338">"https://earth.google.com/web/search/" &amp; A3338 &amp; "," &amp; B3338</f>
        <v>https://earth.google.com/web/search/-30.88995740854490,-55.54774210924250</v>
      </c>
      <c r="H3338" s="12"/>
      <c r="I3338" s="12"/>
      <c r="J3338" s="12"/>
      <c r="K3338" s="12"/>
      <c r="L3338" s="12"/>
      <c r="M3338" s="12"/>
      <c r="N3338" s="12"/>
      <c r="O3338" s="12"/>
      <c r="P3338" s="12"/>
      <c r="Q3338" s="12"/>
      <c r="R3338" s="12"/>
      <c r="S3338" s="12"/>
      <c r="T3338" s="12"/>
      <c r="U3338" s="12"/>
      <c r="V3338" s="12"/>
      <c r="W3338" s="12"/>
      <c r="X3338" s="12"/>
      <c r="Y3338" s="12"/>
      <c r="Z3338" s="12"/>
      <c r="AA3338" s="12"/>
    </row>
    <row r="3339" ht="26.25" customHeight="1">
      <c r="A3339" s="28" t="s">
        <v>6688</v>
      </c>
      <c r="B3339" s="29" t="s">
        <v>6689</v>
      </c>
      <c r="C3339" s="30">
        <v>4.0</v>
      </c>
      <c r="D3339" s="31">
        <v>35.0</v>
      </c>
      <c r="E3339" s="31">
        <v>7.0</v>
      </c>
      <c r="F3339" s="32" t="str">
        <f t="array" ref="F3339">"https://www.google.com/maps/search/?api=1&amp;query=" &amp; A3339 &amp; "," &amp; B3339</f>
        <v>https://www.google.com/maps/search/?api=1&amp;query=-30.89003300556490,-55.54781517830590</v>
      </c>
      <c r="G3339" s="33" t="str">
        <f t="array" ref="G3339">"https://earth.google.com/web/search/" &amp; A3339 &amp; "," &amp; B3339</f>
        <v>https://earth.google.com/web/search/-30.89003300556490,-55.54781517830590</v>
      </c>
      <c r="H3339" s="12"/>
      <c r="I3339" s="12"/>
      <c r="J3339" s="12"/>
      <c r="K3339" s="12"/>
      <c r="L3339" s="12"/>
      <c r="M3339" s="12"/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/>
      <c r="AA3339" s="12"/>
    </row>
    <row r="3340" ht="26.25" customHeight="1">
      <c r="A3340" s="34" t="s">
        <v>6690</v>
      </c>
      <c r="B3340" s="35" t="s">
        <v>6691</v>
      </c>
      <c r="C3340" s="36">
        <v>4.0</v>
      </c>
      <c r="D3340" s="37">
        <v>37.0</v>
      </c>
      <c r="E3340" s="37">
        <v>1.0</v>
      </c>
      <c r="F3340" s="24" t="str">
        <f t="array" ref="F3340">"https://www.google.com/maps/search/?api=1&amp;query=" &amp; A3340 &amp; "," &amp; B3340</f>
        <v>https://www.google.com/maps/search/?api=1&amp;query=-30.88943209862380,-55.54940270018910</v>
      </c>
      <c r="G3340" s="25" t="str">
        <f t="array" ref="G3340">"https://earth.google.com/web/search/" &amp; A3340 &amp; "," &amp; B3340</f>
        <v>https://earth.google.com/web/search/-30.88943209862380,-55.54940270018910</v>
      </c>
      <c r="H3340" s="12"/>
      <c r="I3340" s="12"/>
      <c r="J3340" s="12"/>
      <c r="K3340" s="12"/>
      <c r="L3340" s="12"/>
      <c r="M3340" s="12"/>
      <c r="N3340" s="12"/>
      <c r="O3340" s="12"/>
      <c r="P3340" s="12"/>
      <c r="Q3340" s="12"/>
      <c r="R3340" s="12"/>
      <c r="S3340" s="12"/>
      <c r="T3340" s="12"/>
      <c r="U3340" s="12"/>
      <c r="V3340" s="12"/>
      <c r="W3340" s="12"/>
      <c r="X3340" s="12"/>
      <c r="Y3340" s="12"/>
      <c r="Z3340" s="12"/>
      <c r="AA3340" s="12"/>
    </row>
    <row r="3341" ht="26.25" customHeight="1">
      <c r="A3341" s="28" t="s">
        <v>6692</v>
      </c>
      <c r="B3341" s="29" t="s">
        <v>6693</v>
      </c>
      <c r="C3341" s="30">
        <v>4.0</v>
      </c>
      <c r="D3341" s="31">
        <v>37.0</v>
      </c>
      <c r="E3341" s="31">
        <v>2.0</v>
      </c>
      <c r="F3341" s="32" t="str">
        <f t="array" ref="F3341">"https://www.google.com/maps/search/?api=1&amp;query=" &amp; A3341 &amp; "," &amp; B3341</f>
        <v>https://www.google.com/maps/search/?api=1&amp;query=-30.88951299548880,-55.54881536999540</v>
      </c>
      <c r="G3341" s="33" t="str">
        <f t="array" ref="G3341">"https://earth.google.com/web/search/" &amp; A3341 &amp; "," &amp; B3341</f>
        <v>https://earth.google.com/web/search/-30.88951299548880,-55.54881536999540</v>
      </c>
      <c r="H3341" s="12"/>
      <c r="I3341" s="12"/>
      <c r="J3341" s="12"/>
      <c r="K3341" s="12"/>
      <c r="L3341" s="12"/>
      <c r="M3341" s="12"/>
      <c r="N3341" s="12"/>
      <c r="O3341" s="12"/>
      <c r="P3341" s="12"/>
      <c r="Q3341" s="12"/>
      <c r="R3341" s="12"/>
      <c r="S3341" s="12"/>
      <c r="T3341" s="12"/>
      <c r="U3341" s="12"/>
      <c r="V3341" s="12"/>
      <c r="W3341" s="12"/>
      <c r="X3341" s="12"/>
      <c r="Y3341" s="12"/>
      <c r="Z3341" s="12"/>
      <c r="AA3341" s="12"/>
    </row>
    <row r="3342" ht="26.25" customHeight="1">
      <c r="A3342" s="34" t="s">
        <v>6694</v>
      </c>
      <c r="B3342" s="35" t="s">
        <v>6695</v>
      </c>
      <c r="C3342" s="36">
        <v>4.0</v>
      </c>
      <c r="D3342" s="37">
        <v>37.0</v>
      </c>
      <c r="E3342" s="37">
        <v>3.0</v>
      </c>
      <c r="F3342" s="24" t="str">
        <f t="array" ref="F3342">"https://www.google.com/maps/search/?api=1&amp;query=" &amp; A3342 &amp; "," &amp; B3342</f>
        <v>https://www.google.com/maps/search/?api=1&amp;query=-30.88921981042800,-55.54863669579830</v>
      </c>
      <c r="G3342" s="25" t="str">
        <f t="array" ref="G3342">"https://earth.google.com/web/search/" &amp; A3342 &amp; "," &amp; B3342</f>
        <v>https://earth.google.com/web/search/-30.88921981042800,-55.54863669579830</v>
      </c>
      <c r="H3342" s="12"/>
      <c r="I3342" s="12"/>
      <c r="J3342" s="12"/>
      <c r="K3342" s="12"/>
      <c r="L3342" s="12"/>
      <c r="M3342" s="12"/>
      <c r="N3342" s="12"/>
      <c r="O3342" s="12"/>
      <c r="P3342" s="12"/>
      <c r="Q3342" s="12"/>
      <c r="R3342" s="12"/>
      <c r="S3342" s="12"/>
      <c r="T3342" s="12"/>
      <c r="U3342" s="12"/>
      <c r="V3342" s="12"/>
      <c r="W3342" s="12"/>
      <c r="X3342" s="12"/>
      <c r="Y3342" s="12"/>
      <c r="Z3342" s="12"/>
      <c r="AA3342" s="12"/>
    </row>
    <row r="3343" ht="26.25" customHeight="1">
      <c r="A3343" s="28" t="s">
        <v>6696</v>
      </c>
      <c r="B3343" s="29" t="s">
        <v>6697</v>
      </c>
      <c r="C3343" s="30">
        <v>4.0</v>
      </c>
      <c r="D3343" s="31">
        <v>37.0</v>
      </c>
      <c r="E3343" s="31">
        <v>4.0</v>
      </c>
      <c r="F3343" s="32" t="str">
        <f t="array" ref="F3343">"https://www.google.com/maps/search/?api=1&amp;query=" &amp; A3343 &amp; "," &amp; B3343</f>
        <v>https://www.google.com/maps/search/?api=1&amp;query=-30.88873517514990,-55.54891417327460</v>
      </c>
      <c r="G3343" s="33" t="str">
        <f t="array" ref="G3343">"https://earth.google.com/web/search/" &amp; A3343 &amp; "," &amp; B3343</f>
        <v>https://earth.google.com/web/search/-30.88873517514990,-55.54891417327460</v>
      </c>
      <c r="H3343" s="12"/>
      <c r="I3343" s="12"/>
      <c r="J3343" s="12"/>
      <c r="K3343" s="12"/>
      <c r="L3343" s="12"/>
      <c r="M3343" s="12"/>
      <c r="N3343" s="12"/>
      <c r="O3343" s="12"/>
      <c r="P3343" s="12"/>
      <c r="Q3343" s="12"/>
      <c r="R3343" s="12"/>
      <c r="S3343" s="12"/>
      <c r="T3343" s="12"/>
      <c r="U3343" s="12"/>
      <c r="V3343" s="12"/>
      <c r="W3343" s="12"/>
      <c r="X3343" s="12"/>
      <c r="Y3343" s="12"/>
      <c r="Z3343" s="12"/>
      <c r="AA3343" s="12"/>
    </row>
    <row r="3344" ht="26.25" customHeight="1">
      <c r="A3344" s="34" t="s">
        <v>6698</v>
      </c>
      <c r="B3344" s="35" t="s">
        <v>6699</v>
      </c>
      <c r="C3344" s="36">
        <v>4.0</v>
      </c>
      <c r="D3344" s="37">
        <v>37.0</v>
      </c>
      <c r="E3344" s="37">
        <v>5.0</v>
      </c>
      <c r="F3344" s="24" t="str">
        <f t="array" ref="F3344">"https://www.google.com/maps/search/?api=1&amp;query=" &amp; A3344 &amp; "," &amp; B3344</f>
        <v>https://www.google.com/maps/search/?api=1&amp;query=-30.88867567657130,-55.54905805767080</v>
      </c>
      <c r="G3344" s="25" t="str">
        <f t="array" ref="G3344">"https://earth.google.com/web/search/" &amp; A3344 &amp; "," &amp; B3344</f>
        <v>https://earth.google.com/web/search/-30.88867567657130,-55.54905805767080</v>
      </c>
      <c r="H3344" s="12"/>
      <c r="I3344" s="12"/>
      <c r="J3344" s="12"/>
      <c r="K3344" s="12"/>
      <c r="L3344" s="12"/>
      <c r="M3344" s="12"/>
      <c r="N3344" s="12"/>
      <c r="O3344" s="12"/>
      <c r="P3344" s="12"/>
      <c r="Q3344" s="12"/>
      <c r="R3344" s="12"/>
      <c r="S3344" s="12"/>
      <c r="T3344" s="12"/>
      <c r="U3344" s="12"/>
      <c r="V3344" s="12"/>
      <c r="W3344" s="12"/>
      <c r="X3344" s="12"/>
      <c r="Y3344" s="12"/>
      <c r="Z3344" s="12"/>
      <c r="AA3344" s="12"/>
    </row>
    <row r="3345" ht="26.25" customHeight="1">
      <c r="A3345" s="28" t="s">
        <v>6700</v>
      </c>
      <c r="B3345" s="29" t="s">
        <v>6701</v>
      </c>
      <c r="C3345" s="30">
        <v>4.0</v>
      </c>
      <c r="D3345" s="31">
        <v>37.0</v>
      </c>
      <c r="E3345" s="31">
        <v>6.0</v>
      </c>
      <c r="F3345" s="32" t="str">
        <f t="array" ref="F3345">"https://www.google.com/maps/search/?api=1&amp;query=" &amp; A3345 &amp; "," &amp; B3345</f>
        <v>https://www.google.com/maps/search/?api=1&amp;query=-30.88860222895490,-55.54914978676110</v>
      </c>
      <c r="G3345" s="33" t="str">
        <f t="array" ref="G3345">"https://earth.google.com/web/search/" &amp; A3345 &amp; "," &amp; B3345</f>
        <v>https://earth.google.com/web/search/-30.88860222895490,-55.54914978676110</v>
      </c>
      <c r="H3345" s="12"/>
      <c r="I3345" s="12"/>
      <c r="J3345" s="12"/>
      <c r="K3345" s="12"/>
      <c r="L3345" s="12"/>
      <c r="M3345" s="12"/>
      <c r="N3345" s="12"/>
      <c r="O3345" s="12"/>
      <c r="P3345" s="12"/>
      <c r="Q3345" s="12"/>
      <c r="R3345" s="12"/>
      <c r="S3345" s="12"/>
      <c r="T3345" s="12"/>
      <c r="U3345" s="12"/>
      <c r="V3345" s="12"/>
      <c r="W3345" s="12"/>
      <c r="X3345" s="12"/>
      <c r="Y3345" s="12"/>
      <c r="Z3345" s="12"/>
      <c r="AA3345" s="12"/>
    </row>
    <row r="3346" ht="26.25" customHeight="1">
      <c r="A3346" s="34" t="s">
        <v>6702</v>
      </c>
      <c r="B3346" s="35" t="s">
        <v>6703</v>
      </c>
      <c r="C3346" s="36">
        <v>4.0</v>
      </c>
      <c r="D3346" s="37">
        <v>37.0</v>
      </c>
      <c r="E3346" s="37">
        <v>7.0</v>
      </c>
      <c r="F3346" s="24" t="str">
        <f t="array" ref="F3346">"https://www.google.com/maps/search/?api=1&amp;query=" &amp; A3346 &amp; "," &amp; B3346</f>
        <v>https://www.google.com/maps/search/?api=1&amp;query=-30.88864316321380,-55.54932823658130</v>
      </c>
      <c r="G3346" s="25" t="str">
        <f t="array" ref="G3346">"https://earth.google.com/web/search/" &amp; A3346 &amp; "," &amp; B3346</f>
        <v>https://earth.google.com/web/search/-30.88864316321380,-55.54932823658130</v>
      </c>
      <c r="H3346" s="12"/>
      <c r="I3346" s="12"/>
      <c r="J3346" s="12"/>
      <c r="K3346" s="12"/>
      <c r="L3346" s="12"/>
      <c r="M3346" s="12"/>
      <c r="N3346" s="12"/>
      <c r="O3346" s="12"/>
      <c r="P3346" s="12"/>
      <c r="Q3346" s="12"/>
      <c r="R3346" s="12"/>
      <c r="S3346" s="12"/>
      <c r="T3346" s="12"/>
      <c r="U3346" s="12"/>
      <c r="V3346" s="12"/>
      <c r="W3346" s="12"/>
      <c r="X3346" s="12"/>
      <c r="Y3346" s="12"/>
      <c r="Z3346" s="12"/>
      <c r="AA3346" s="12"/>
    </row>
    <row r="3347" ht="26.25" customHeight="1">
      <c r="A3347" s="28" t="s">
        <v>6704</v>
      </c>
      <c r="B3347" s="29" t="s">
        <v>6705</v>
      </c>
      <c r="C3347" s="30">
        <v>4.0</v>
      </c>
      <c r="D3347" s="31">
        <v>37.0</v>
      </c>
      <c r="E3347" s="31">
        <v>8.0</v>
      </c>
      <c r="F3347" s="32" t="str">
        <f t="array" ref="F3347">"https://www.google.com/maps/search/?api=1&amp;query=" &amp; A3347 &amp; "," &amp; B3347</f>
        <v>https://www.google.com/maps/search/?api=1&amp;query=-30.88873815758360,-55.54940631232430</v>
      </c>
      <c r="G3347" s="33" t="str">
        <f t="array" ref="G3347">"https://earth.google.com/web/search/" &amp; A3347 &amp; "," &amp; B3347</f>
        <v>https://earth.google.com/web/search/-30.88873815758360,-55.54940631232430</v>
      </c>
      <c r="H3347" s="12"/>
      <c r="I3347" s="12"/>
      <c r="J3347" s="12"/>
      <c r="K3347" s="12"/>
      <c r="L3347" s="12"/>
      <c r="M3347" s="12"/>
      <c r="N3347" s="12"/>
      <c r="O3347" s="12"/>
      <c r="P3347" s="12"/>
      <c r="Q3347" s="12"/>
      <c r="R3347" s="12"/>
      <c r="S3347" s="12"/>
      <c r="T3347" s="12"/>
      <c r="U3347" s="12"/>
      <c r="V3347" s="12"/>
      <c r="W3347" s="12"/>
      <c r="X3347" s="12"/>
      <c r="Y3347" s="12"/>
      <c r="Z3347" s="12"/>
      <c r="AA3347" s="12"/>
    </row>
    <row r="3348" ht="26.25" customHeight="1">
      <c r="A3348" s="34" t="s">
        <v>6706</v>
      </c>
      <c r="B3348" s="35" t="s">
        <v>6707</v>
      </c>
      <c r="C3348" s="36">
        <v>4.0</v>
      </c>
      <c r="D3348" s="37">
        <v>37.0</v>
      </c>
      <c r="E3348" s="37">
        <v>9.0</v>
      </c>
      <c r="F3348" s="24" t="str">
        <f t="array" ref="F3348">"https://www.google.com/maps/search/?api=1&amp;query=" &amp; A3348 &amp; "," &amp; B3348</f>
        <v>https://www.google.com/maps/search/?api=1&amp;query=-30.88888205475640,-55.54949824463950</v>
      </c>
      <c r="G3348" s="25" t="str">
        <f t="array" ref="G3348">"https://earth.google.com/web/search/" &amp; A3348 &amp; "," &amp; B3348</f>
        <v>https://earth.google.com/web/search/-30.88888205475640,-55.54949824463950</v>
      </c>
      <c r="H3348" s="12"/>
      <c r="I3348" s="12"/>
      <c r="J3348" s="12"/>
      <c r="K3348" s="12"/>
      <c r="L3348" s="12"/>
      <c r="M3348" s="12"/>
      <c r="N3348" s="12"/>
      <c r="O3348" s="12"/>
      <c r="P3348" s="12"/>
      <c r="Q3348" s="12"/>
      <c r="R3348" s="12"/>
      <c r="S3348" s="12"/>
      <c r="T3348" s="12"/>
      <c r="U3348" s="12"/>
      <c r="V3348" s="12"/>
      <c r="W3348" s="12"/>
      <c r="X3348" s="12"/>
      <c r="Y3348" s="12"/>
      <c r="Z3348" s="12"/>
      <c r="AA3348" s="12"/>
    </row>
    <row r="3349" ht="26.25" customHeight="1">
      <c r="A3349" s="28" t="s">
        <v>6708</v>
      </c>
      <c r="B3349" s="29" t="s">
        <v>6709</v>
      </c>
      <c r="C3349" s="30">
        <v>4.0</v>
      </c>
      <c r="D3349" s="31">
        <v>37.0</v>
      </c>
      <c r="E3349" s="31">
        <v>10.0</v>
      </c>
      <c r="F3349" s="32" t="str">
        <f t="array" ref="F3349">"https://www.google.com/maps/search/?api=1&amp;query=" &amp; A3349 &amp; "," &amp; B3349</f>
        <v>https://www.google.com/maps/search/?api=1&amp;query=-30.88898448676210,-5.55495515045961</v>
      </c>
      <c r="G3349" s="33" t="str">
        <f t="array" ref="G3349">"https://earth.google.com/web/search/" &amp; A3349 &amp; "," &amp; B3349</f>
        <v>https://earth.google.com/web/search/-30.88898448676210,-5.55495515045961</v>
      </c>
      <c r="H3349" s="12"/>
      <c r="I3349" s="12"/>
      <c r="J3349" s="12"/>
      <c r="K3349" s="12"/>
      <c r="L3349" s="12"/>
      <c r="M3349" s="12"/>
      <c r="N3349" s="12"/>
      <c r="O3349" s="12"/>
      <c r="P3349" s="12"/>
      <c r="Q3349" s="12"/>
      <c r="R3349" s="12"/>
      <c r="S3349" s="12"/>
      <c r="T3349" s="12"/>
      <c r="U3349" s="12"/>
      <c r="V3349" s="12"/>
      <c r="W3349" s="12"/>
      <c r="X3349" s="12"/>
      <c r="Y3349" s="12"/>
      <c r="Z3349" s="12"/>
      <c r="AA3349" s="12"/>
    </row>
    <row r="3350" ht="26.25" customHeight="1">
      <c r="A3350" s="34" t="s">
        <v>6710</v>
      </c>
      <c r="B3350" s="35" t="s">
        <v>6711</v>
      </c>
      <c r="C3350" s="36">
        <v>4.0</v>
      </c>
      <c r="D3350" s="37">
        <v>37.0</v>
      </c>
      <c r="E3350" s="37">
        <v>11.0</v>
      </c>
      <c r="F3350" s="24" t="str">
        <f t="array" ref="F3350">"https://www.google.com/maps/search/?api=1&amp;query=" &amp; A3350 &amp; "," &amp; B3350</f>
        <v>https://www.google.com/maps/search/?api=1&amp;query=-30.88903713365640,-55.54961063828420</v>
      </c>
      <c r="G3350" s="25" t="str">
        <f t="array" ref="G3350">"https://earth.google.com/web/search/" &amp; A3350 &amp; "," &amp; B3350</f>
        <v>https://earth.google.com/web/search/-30.88903713365640,-55.54961063828420</v>
      </c>
      <c r="H3350" s="12"/>
      <c r="I3350" s="12"/>
      <c r="J3350" s="12"/>
      <c r="K3350" s="12"/>
      <c r="L3350" s="12"/>
      <c r="M3350" s="12"/>
      <c r="N3350" s="12"/>
      <c r="O3350" s="12"/>
      <c r="P3350" s="12"/>
      <c r="Q3350" s="12"/>
      <c r="R3350" s="12"/>
      <c r="S3350" s="12"/>
      <c r="T3350" s="12"/>
      <c r="U3350" s="12"/>
      <c r="V3350" s="12"/>
      <c r="W3350" s="12"/>
      <c r="X3350" s="12"/>
      <c r="Y3350" s="12"/>
      <c r="Z3350" s="12"/>
      <c r="AA3350" s="12"/>
    </row>
    <row r="3351" ht="26.25" customHeight="1">
      <c r="A3351" s="28" t="s">
        <v>6712</v>
      </c>
      <c r="B3351" s="29" t="s">
        <v>6713</v>
      </c>
      <c r="C3351" s="30">
        <v>4.0</v>
      </c>
      <c r="D3351" s="31">
        <v>37.0</v>
      </c>
      <c r="E3351" s="31">
        <v>12.0</v>
      </c>
      <c r="F3351" s="32" t="str">
        <f t="array" ref="F3351">"https://www.google.com/maps/search/?api=1&amp;query=" &amp; A3351 &amp; "," &amp; B3351</f>
        <v>https://www.google.com/maps/search/?api=1&amp;query=-30.88915097353110,-55.54967556111400</v>
      </c>
      <c r="G3351" s="33" t="str">
        <f t="array" ref="G3351">"https://earth.google.com/web/search/" &amp; A3351 &amp; "," &amp; B3351</f>
        <v>https://earth.google.com/web/search/-30.88915097353110,-55.54967556111400</v>
      </c>
      <c r="H3351" s="12"/>
      <c r="I3351" s="12"/>
      <c r="J3351" s="12"/>
      <c r="K3351" s="12"/>
      <c r="L3351" s="12"/>
      <c r="M3351" s="12"/>
      <c r="N3351" s="12"/>
      <c r="O3351" s="12"/>
      <c r="P3351" s="12"/>
      <c r="Q3351" s="12"/>
      <c r="R3351" s="12"/>
      <c r="S3351" s="12"/>
      <c r="T3351" s="12"/>
      <c r="U3351" s="12"/>
      <c r="V3351" s="12"/>
      <c r="W3351" s="12"/>
      <c r="X3351" s="12"/>
      <c r="Y3351" s="12"/>
      <c r="Z3351" s="12"/>
      <c r="AA3351" s="12"/>
    </row>
    <row r="3352" ht="26.25" customHeight="1">
      <c r="A3352" s="34" t="s">
        <v>6714</v>
      </c>
      <c r="B3352" s="35" t="s">
        <v>6715</v>
      </c>
      <c r="C3352" s="36">
        <v>4.0</v>
      </c>
      <c r="D3352" s="37">
        <v>37.0</v>
      </c>
      <c r="E3352" s="37">
        <v>13.0</v>
      </c>
      <c r="F3352" s="24" t="str">
        <f t="array" ref="F3352">"https://www.google.com/maps/search/?api=1&amp;query=" &amp; A3352 &amp; "," &amp; B3352</f>
        <v>https://www.google.com/maps/search/?api=1&amp;query=-30.88921774742000,-5.55497241143345</v>
      </c>
      <c r="G3352" s="25" t="str">
        <f t="array" ref="G3352">"https://earth.google.com/web/search/" &amp; A3352 &amp; "," &amp; B3352</f>
        <v>https://earth.google.com/web/search/-30.88921774742000,-5.55497241143345</v>
      </c>
      <c r="H3352" s="12"/>
      <c r="I3352" s="12"/>
      <c r="J3352" s="12"/>
      <c r="K3352" s="12"/>
      <c r="L3352" s="12"/>
      <c r="M3352" s="12"/>
      <c r="N3352" s="12"/>
      <c r="O3352" s="12"/>
      <c r="P3352" s="12"/>
      <c r="Q3352" s="12"/>
      <c r="R3352" s="12"/>
      <c r="S3352" s="12"/>
      <c r="T3352" s="12"/>
      <c r="U3352" s="12"/>
      <c r="V3352" s="12"/>
      <c r="W3352" s="12"/>
      <c r="X3352" s="12"/>
      <c r="Y3352" s="12"/>
      <c r="Z3352" s="12"/>
      <c r="AA3352" s="12"/>
    </row>
    <row r="3353" ht="26.25" customHeight="1">
      <c r="A3353" s="28" t="s">
        <v>6716</v>
      </c>
      <c r="B3353" s="29" t="s">
        <v>6717</v>
      </c>
      <c r="C3353" s="30">
        <v>4.0</v>
      </c>
      <c r="D3353" s="31">
        <v>38.0</v>
      </c>
      <c r="E3353" s="31">
        <v>1.0</v>
      </c>
      <c r="F3353" s="32" t="str">
        <f t="array" ref="F3353">"https://www.google.com/maps/search/?api=1&amp;query=" &amp; A3353 &amp; "," &amp; B3353</f>
        <v>https://www.google.com/maps/search/?api=1&amp;query=-30.88901088310730,-55.55019128581890</v>
      </c>
      <c r="G3353" s="33" t="str">
        <f t="array" ref="G3353">"https://earth.google.com/web/search/" &amp; A3353 &amp; "," &amp; B3353</f>
        <v>https://earth.google.com/web/search/-30.88901088310730,-55.55019128581890</v>
      </c>
      <c r="H3353" s="12"/>
      <c r="I3353" s="12"/>
      <c r="J3353" s="12"/>
      <c r="K3353" s="12"/>
      <c r="L3353" s="12"/>
      <c r="M3353" s="12"/>
      <c r="N3353" s="12"/>
      <c r="O3353" s="12"/>
      <c r="P3353" s="12"/>
      <c r="Q3353" s="12"/>
      <c r="R3353" s="12"/>
      <c r="S3353" s="12"/>
      <c r="T3353" s="12"/>
      <c r="U3353" s="12"/>
      <c r="V3353" s="12"/>
      <c r="W3353" s="12"/>
      <c r="X3353" s="12"/>
      <c r="Y3353" s="12"/>
      <c r="Z3353" s="12"/>
      <c r="AA3353" s="12"/>
    </row>
    <row r="3354" ht="26.25" customHeight="1">
      <c r="A3354" s="34" t="s">
        <v>6718</v>
      </c>
      <c r="B3354" s="35" t="s">
        <v>6719</v>
      </c>
      <c r="C3354" s="36">
        <v>4.0</v>
      </c>
      <c r="D3354" s="37">
        <v>38.0</v>
      </c>
      <c r="E3354" s="37">
        <v>2.0</v>
      </c>
      <c r="F3354" s="24" t="str">
        <f t="array" ref="F3354">"https://www.google.com/maps/search/?api=1&amp;query=" &amp; A3354 &amp; "," &amp; B3354</f>
        <v>https://www.google.com/maps/search/?api=1&amp;query=-30.88883919084280,-55.54958896410940</v>
      </c>
      <c r="G3354" s="25" t="str">
        <f t="array" ref="G3354">"https://earth.google.com/web/search/" &amp; A3354 &amp; "," &amp; B3354</f>
        <v>https://earth.google.com/web/search/-30.88883919084280,-55.54958896410940</v>
      </c>
      <c r="H3354" s="12"/>
      <c r="I3354" s="12"/>
      <c r="J3354" s="12"/>
      <c r="K3354" s="12"/>
      <c r="L3354" s="12"/>
      <c r="M3354" s="12"/>
      <c r="N3354" s="12"/>
      <c r="O3354" s="12"/>
      <c r="P3354" s="12"/>
      <c r="Q3354" s="12"/>
      <c r="R3354" s="12"/>
      <c r="S3354" s="12"/>
      <c r="T3354" s="12"/>
      <c r="U3354" s="12"/>
      <c r="V3354" s="12"/>
      <c r="W3354" s="12"/>
      <c r="X3354" s="12"/>
      <c r="Y3354" s="12"/>
      <c r="Z3354" s="12"/>
      <c r="AA3354" s="12"/>
    </row>
    <row r="3355" ht="26.25" customHeight="1">
      <c r="A3355" s="28" t="s">
        <v>6720</v>
      </c>
      <c r="B3355" s="29" t="s">
        <v>6721</v>
      </c>
      <c r="C3355" s="30">
        <v>4.0</v>
      </c>
      <c r="D3355" s="31">
        <v>38.0</v>
      </c>
      <c r="E3355" s="31">
        <v>3.0</v>
      </c>
      <c r="F3355" s="32" t="str">
        <f t="array" ref="F3355">"https://www.google.com/maps/search/?api=1&amp;query=" &amp; A3355 &amp; "," &amp; B3355</f>
        <v>https://www.google.com/maps/search/?api=1&amp;query=-30.88871639483800,-5.55494994746478</v>
      </c>
      <c r="G3355" s="33" t="str">
        <f t="array" ref="G3355">"https://earth.google.com/web/search/" &amp; A3355 &amp; "," &amp; B3355</f>
        <v>https://earth.google.com/web/search/-30.88871639483800,-5.55494994746478</v>
      </c>
      <c r="H3355" s="12"/>
      <c r="I3355" s="12"/>
      <c r="J3355" s="12"/>
      <c r="K3355" s="12"/>
      <c r="L3355" s="12"/>
      <c r="M3355" s="12"/>
      <c r="N3355" s="12"/>
      <c r="O3355" s="12"/>
      <c r="P3355" s="12"/>
      <c r="Q3355" s="12"/>
      <c r="R3355" s="12"/>
      <c r="S3355" s="12"/>
      <c r="T3355" s="12"/>
      <c r="U3355" s="12"/>
      <c r="V3355" s="12"/>
      <c r="W3355" s="12"/>
      <c r="X3355" s="12"/>
      <c r="Y3355" s="12"/>
      <c r="Z3355" s="12"/>
      <c r="AA3355" s="12"/>
    </row>
    <row r="3356" ht="26.25" customHeight="1">
      <c r="A3356" s="34" t="s">
        <v>6722</v>
      </c>
      <c r="B3356" s="35" t="s">
        <v>6723</v>
      </c>
      <c r="C3356" s="36">
        <v>4.0</v>
      </c>
      <c r="D3356" s="37">
        <v>38.0</v>
      </c>
      <c r="E3356" s="37">
        <v>4.0</v>
      </c>
      <c r="F3356" s="24" t="str">
        <f t="array" ref="F3356">"https://www.google.com/maps/search/?api=1&amp;query=" &amp; A3356 &amp; "," &amp; B3356</f>
        <v>https://www.google.com/maps/search/?api=1&amp;query=-30.88858671536500,-55.54940591755720</v>
      </c>
      <c r="G3356" s="25" t="str">
        <f t="array" ref="G3356">"https://earth.google.com/web/search/" &amp; A3356 &amp; "," &amp; B3356</f>
        <v>https://earth.google.com/web/search/-30.88858671536500,-55.54940591755720</v>
      </c>
      <c r="H3356" s="12"/>
      <c r="I3356" s="12"/>
      <c r="J3356" s="12"/>
      <c r="K3356" s="12"/>
      <c r="L3356" s="12"/>
      <c r="M3356" s="12"/>
      <c r="N3356" s="12"/>
      <c r="O3356" s="12"/>
      <c r="P3356" s="12"/>
      <c r="Q3356" s="12"/>
      <c r="R3356" s="12"/>
      <c r="S3356" s="12"/>
      <c r="T3356" s="12"/>
      <c r="U3356" s="12"/>
      <c r="V3356" s="12"/>
      <c r="W3356" s="12"/>
      <c r="X3356" s="12"/>
      <c r="Y3356" s="12"/>
      <c r="Z3356" s="12"/>
      <c r="AA3356" s="12"/>
    </row>
    <row r="3357" ht="26.25" customHeight="1">
      <c r="A3357" s="28" t="s">
        <v>6724</v>
      </c>
      <c r="B3357" s="29" t="s">
        <v>6725</v>
      </c>
      <c r="C3357" s="30">
        <v>4.0</v>
      </c>
      <c r="D3357" s="31">
        <v>38.0</v>
      </c>
      <c r="E3357" s="31">
        <v>5.0</v>
      </c>
      <c r="F3357" s="32" t="str">
        <f t="array" ref="F3357">"https://www.google.com/maps/search/?api=1&amp;query=" &amp; A3357 &amp; "," &amp; B3357</f>
        <v>https://www.google.com/maps/search/?api=1&amp;query=-30.88828055155430,-55.55031963211360</v>
      </c>
      <c r="G3357" s="33" t="str">
        <f t="array" ref="G3357">"https://earth.google.com/web/search/" &amp; A3357 &amp; "," &amp; B3357</f>
        <v>https://earth.google.com/web/search/-30.88828055155430,-55.55031963211360</v>
      </c>
      <c r="H3357" s="12"/>
      <c r="I3357" s="12"/>
      <c r="J3357" s="12"/>
      <c r="K3357" s="12"/>
      <c r="L3357" s="12"/>
      <c r="M3357" s="12"/>
      <c r="N3357" s="12"/>
      <c r="O3357" s="12"/>
      <c r="P3357" s="12"/>
      <c r="Q3357" s="12"/>
      <c r="R3357" s="12"/>
      <c r="S3357" s="12"/>
      <c r="T3357" s="12"/>
      <c r="U3357" s="12"/>
      <c r="V3357" s="12"/>
      <c r="W3357" s="12"/>
      <c r="X3357" s="12"/>
      <c r="Y3357" s="12"/>
      <c r="Z3357" s="12"/>
      <c r="AA3357" s="12"/>
    </row>
    <row r="3358" ht="26.25" customHeight="1">
      <c r="A3358" s="34" t="s">
        <v>6726</v>
      </c>
      <c r="B3358" s="35" t="s">
        <v>6727</v>
      </c>
      <c r="C3358" s="36">
        <v>4.0</v>
      </c>
      <c r="D3358" s="37">
        <v>38.0</v>
      </c>
      <c r="E3358" s="37">
        <v>6.0</v>
      </c>
      <c r="F3358" s="24" t="str">
        <f t="array" ref="F3358">"https://www.google.com/maps/search/?api=1&amp;query=" &amp; A3358 &amp; "," &amp; B3358</f>
        <v>https://www.google.com/maps/search/?api=1&amp;query=-30.88834387387010,-55.55036826101230</v>
      </c>
      <c r="G3358" s="25" t="str">
        <f t="array" ref="G3358">"https://earth.google.com/web/search/" &amp; A3358 &amp; "," &amp; B3358</f>
        <v>https://earth.google.com/web/search/-30.88834387387010,-55.55036826101230</v>
      </c>
      <c r="H3358" s="12"/>
      <c r="I3358" s="12"/>
      <c r="J3358" s="12"/>
      <c r="K3358" s="12"/>
      <c r="L3358" s="12"/>
      <c r="M3358" s="12"/>
      <c r="N3358" s="12"/>
      <c r="O3358" s="12"/>
      <c r="P3358" s="12"/>
      <c r="Q3358" s="12"/>
      <c r="R3358" s="12"/>
      <c r="S3358" s="12"/>
      <c r="T3358" s="12"/>
      <c r="U3358" s="12"/>
      <c r="V3358" s="12"/>
      <c r="W3358" s="12"/>
      <c r="X3358" s="12"/>
      <c r="Y3358" s="12"/>
      <c r="Z3358" s="12"/>
      <c r="AA3358" s="12"/>
    </row>
    <row r="3359" ht="26.25" customHeight="1">
      <c r="A3359" s="28" t="s">
        <v>6728</v>
      </c>
      <c r="B3359" s="29" t="s">
        <v>6729</v>
      </c>
      <c r="C3359" s="30">
        <v>4.0</v>
      </c>
      <c r="D3359" s="31">
        <v>38.0</v>
      </c>
      <c r="E3359" s="31">
        <v>7.0</v>
      </c>
      <c r="F3359" s="32" t="str">
        <f t="array" ref="F3359">"https://www.google.com/maps/search/?api=1&amp;query=" &amp; A3359 &amp; "," &amp; B3359</f>
        <v>https://www.google.com/maps/search/?api=1&amp;query=-30.88853441598170,-55.55049188270530</v>
      </c>
      <c r="G3359" s="33" t="str">
        <f t="array" ref="G3359">"https://earth.google.com/web/search/" &amp; A3359 &amp; "," &amp; B3359</f>
        <v>https://earth.google.com/web/search/-30.88853441598170,-55.55049188270530</v>
      </c>
      <c r="H3359" s="12"/>
      <c r="I3359" s="12"/>
      <c r="J3359" s="12"/>
      <c r="K3359" s="12"/>
      <c r="L3359" s="12"/>
      <c r="M3359" s="12"/>
      <c r="N3359" s="12"/>
      <c r="O3359" s="12"/>
      <c r="P3359" s="12"/>
      <c r="Q3359" s="12"/>
      <c r="R3359" s="12"/>
      <c r="S3359" s="12"/>
      <c r="T3359" s="12"/>
      <c r="U3359" s="12"/>
      <c r="V3359" s="12"/>
      <c r="W3359" s="12"/>
      <c r="X3359" s="12"/>
      <c r="Y3359" s="12"/>
      <c r="Z3359" s="12"/>
      <c r="AA3359" s="12"/>
    </row>
    <row r="3360" ht="26.25" customHeight="1">
      <c r="A3360" s="34" t="s">
        <v>6730</v>
      </c>
      <c r="B3360" s="35" t="s">
        <v>6731</v>
      </c>
      <c r="C3360" s="36">
        <v>4.0</v>
      </c>
      <c r="D3360" s="37">
        <v>38.0</v>
      </c>
      <c r="E3360" s="37">
        <v>8.0</v>
      </c>
      <c r="F3360" s="24" t="str">
        <f t="array" ref="F3360">"https://www.google.com/maps/search/?api=1&amp;query=" &amp; A3360 &amp; "," &amp; B3360</f>
        <v>https://www.google.com/maps/search/?api=1&amp;query=-30.88870985817050,-55.55060787335400</v>
      </c>
      <c r="G3360" s="25" t="str">
        <f t="array" ref="G3360">"https://earth.google.com/web/search/" &amp; A3360 &amp; "," &amp; B3360</f>
        <v>https://earth.google.com/web/search/-30.88870985817050,-55.55060787335400</v>
      </c>
      <c r="H3360" s="12"/>
      <c r="I3360" s="12"/>
      <c r="J3360" s="12"/>
      <c r="K3360" s="12"/>
      <c r="L3360" s="12"/>
      <c r="M3360" s="12"/>
      <c r="N3360" s="12"/>
      <c r="O3360" s="12"/>
      <c r="P3360" s="12"/>
      <c r="Q3360" s="12"/>
      <c r="R3360" s="12"/>
      <c r="S3360" s="12"/>
      <c r="T3360" s="12"/>
      <c r="U3360" s="12"/>
      <c r="V3360" s="12"/>
      <c r="W3360" s="12"/>
      <c r="X3360" s="12"/>
      <c r="Y3360" s="12"/>
      <c r="Z3360" s="12"/>
      <c r="AA3360" s="12"/>
    </row>
    <row r="3361" ht="26.25" customHeight="1">
      <c r="A3361" s="28" t="s">
        <v>6732</v>
      </c>
      <c r="B3361" s="29" t="s">
        <v>6733</v>
      </c>
      <c r="C3361" s="30">
        <v>4.0</v>
      </c>
      <c r="D3361" s="31">
        <v>39.0</v>
      </c>
      <c r="E3361" s="31">
        <v>1.0</v>
      </c>
      <c r="F3361" s="32" t="str">
        <f t="array" ref="F3361">"https://www.google.com/maps/search/?api=1&amp;query=" &amp; A3361 &amp; "," &amp; B3361</f>
        <v>https://www.google.com/maps/search/?api=1&amp;query=-30.88826542843240,-55.55152409322180</v>
      </c>
      <c r="G3361" s="33" t="str">
        <f t="array" ref="G3361">"https://earth.google.com/web/search/" &amp; A3361 &amp; "," &amp; B3361</f>
        <v>https://earth.google.com/web/search/-30.88826542843240,-55.55152409322180</v>
      </c>
      <c r="H3361" s="12"/>
      <c r="I3361" s="12"/>
      <c r="J3361" s="12"/>
      <c r="K3361" s="12"/>
      <c r="L3361" s="12"/>
      <c r="M3361" s="12"/>
      <c r="N3361" s="12"/>
      <c r="O3361" s="12"/>
      <c r="P3361" s="12"/>
      <c r="Q3361" s="12"/>
      <c r="R3361" s="12"/>
      <c r="S3361" s="12"/>
      <c r="T3361" s="12"/>
      <c r="U3361" s="12"/>
      <c r="V3361" s="12"/>
      <c r="W3361" s="12"/>
      <c r="X3361" s="12"/>
      <c r="Y3361" s="12"/>
      <c r="Z3361" s="12"/>
      <c r="AA3361" s="12"/>
    </row>
    <row r="3362" ht="26.25" customHeight="1">
      <c r="A3362" s="34" t="s">
        <v>6734</v>
      </c>
      <c r="B3362" s="35" t="s">
        <v>6735</v>
      </c>
      <c r="C3362" s="36">
        <v>4.0</v>
      </c>
      <c r="D3362" s="37">
        <v>39.0</v>
      </c>
      <c r="E3362" s="37">
        <v>2.0</v>
      </c>
      <c r="F3362" s="24" t="str">
        <f t="array" ref="F3362">"https://www.google.com/maps/search/?api=1&amp;query=" &amp; A3362 &amp; "," &amp; B3362</f>
        <v>https://www.google.com/maps/search/?api=1&amp;query=-30.88862823011920,-55.55092135229120</v>
      </c>
      <c r="G3362" s="25" t="str">
        <f t="array" ref="G3362">"https://earth.google.com/web/search/" &amp; A3362 &amp; "," &amp; B3362</f>
        <v>https://earth.google.com/web/search/-30.88862823011920,-55.55092135229120</v>
      </c>
      <c r="H3362" s="12"/>
      <c r="I3362" s="12"/>
      <c r="J3362" s="12"/>
      <c r="K3362" s="12"/>
      <c r="L3362" s="12"/>
      <c r="M3362" s="12"/>
      <c r="N3362" s="12"/>
      <c r="O3362" s="12"/>
      <c r="P3362" s="12"/>
      <c r="Q3362" s="12"/>
      <c r="R3362" s="12"/>
      <c r="S3362" s="12"/>
      <c r="T3362" s="12"/>
      <c r="U3362" s="12"/>
      <c r="V3362" s="12"/>
      <c r="W3362" s="12"/>
      <c r="X3362" s="12"/>
      <c r="Y3362" s="12"/>
      <c r="Z3362" s="12"/>
      <c r="AA3362" s="12"/>
    </row>
    <row r="3363" ht="26.25" customHeight="1">
      <c r="A3363" s="28" t="s">
        <v>6736</v>
      </c>
      <c r="B3363" s="29" t="s">
        <v>6737</v>
      </c>
      <c r="C3363" s="30">
        <v>4.0</v>
      </c>
      <c r="D3363" s="31">
        <v>39.0</v>
      </c>
      <c r="E3363" s="31">
        <v>3.0</v>
      </c>
      <c r="F3363" s="32" t="str">
        <f t="array" ref="F3363">"https://www.google.com/maps/search/?api=1&amp;query=" &amp; A3363 &amp; "," &amp; B3363</f>
        <v>https://www.google.com/maps/search/?api=1&amp;query=-30.88868589211960,-5.55507760963456</v>
      </c>
      <c r="G3363" s="33" t="str">
        <f t="array" ref="G3363">"https://earth.google.com/web/search/" &amp; A3363 &amp; "," &amp; B3363</f>
        <v>https://earth.google.com/web/search/-30.88868589211960,-5.55507760963456</v>
      </c>
      <c r="H3363" s="12"/>
      <c r="I3363" s="12"/>
      <c r="J3363" s="12"/>
      <c r="K3363" s="12"/>
      <c r="L3363" s="12"/>
      <c r="M3363" s="12"/>
      <c r="N3363" s="12"/>
      <c r="O3363" s="12"/>
      <c r="P3363" s="12"/>
      <c r="Q3363" s="12"/>
      <c r="R3363" s="12"/>
      <c r="S3363" s="12"/>
      <c r="T3363" s="12"/>
      <c r="U3363" s="12"/>
      <c r="V3363" s="12"/>
      <c r="W3363" s="12"/>
      <c r="X3363" s="12"/>
      <c r="Y3363" s="12"/>
      <c r="Z3363" s="12"/>
      <c r="AA3363" s="12"/>
    </row>
    <row r="3364" ht="26.25" customHeight="1">
      <c r="A3364" s="34" t="s">
        <v>6738</v>
      </c>
      <c r="B3364" s="35" t="s">
        <v>6739</v>
      </c>
      <c r="C3364" s="36">
        <v>4.0</v>
      </c>
      <c r="D3364" s="37">
        <v>39.0</v>
      </c>
      <c r="E3364" s="37">
        <v>4.0</v>
      </c>
      <c r="F3364" s="24" t="str">
        <f t="array" ref="F3364">"https://www.google.com/maps/search/?api=1&amp;query=" &amp; A3364 &amp; "," &amp; B3364</f>
        <v>https://www.google.com/maps/search/?api=1&amp;query=-30.88858992493670,-55.55064715465600</v>
      </c>
      <c r="G3364" s="25" t="str">
        <f t="array" ref="G3364">"https://earth.google.com/web/search/" &amp; A3364 &amp; "," &amp; B3364</f>
        <v>https://earth.google.com/web/search/-30.88858992493670,-55.55064715465600</v>
      </c>
      <c r="H3364" s="12"/>
      <c r="I3364" s="12"/>
      <c r="J3364" s="12"/>
      <c r="K3364" s="12"/>
      <c r="L3364" s="12"/>
      <c r="M3364" s="12"/>
      <c r="N3364" s="12"/>
      <c r="O3364" s="12"/>
      <c r="P3364" s="12"/>
      <c r="Q3364" s="12"/>
      <c r="R3364" s="12"/>
      <c r="S3364" s="12"/>
      <c r="T3364" s="12"/>
      <c r="U3364" s="12"/>
      <c r="V3364" s="12"/>
      <c r="W3364" s="12"/>
      <c r="X3364" s="12"/>
      <c r="Y3364" s="12"/>
      <c r="Z3364" s="12"/>
      <c r="AA3364" s="12"/>
    </row>
    <row r="3365" ht="26.25" customHeight="1">
      <c r="A3365" s="28" t="s">
        <v>6740</v>
      </c>
      <c r="B3365" s="29" t="s">
        <v>6741</v>
      </c>
      <c r="C3365" s="30">
        <v>4.0</v>
      </c>
      <c r="D3365" s="31">
        <v>39.0</v>
      </c>
      <c r="E3365" s="31">
        <v>5.0</v>
      </c>
      <c r="F3365" s="32" t="str">
        <f t="array" ref="F3365">"https://www.google.com/maps/search/?api=1&amp;query=" &amp; A3365 &amp; "," &amp; B3365</f>
        <v>https://www.google.com/maps/search/?api=1&amp;query=-30.88786253163100,-55.55053730249370</v>
      </c>
      <c r="G3365" s="33" t="str">
        <f t="array" ref="G3365">"https://earth.google.com/web/search/" &amp; A3365 &amp; "," &amp; B3365</f>
        <v>https://earth.google.com/web/search/-30.88786253163100,-55.55053730249370</v>
      </c>
      <c r="H3365" s="12"/>
      <c r="I3365" s="12"/>
      <c r="J3365" s="12"/>
      <c r="K3365" s="12"/>
      <c r="L3365" s="12"/>
      <c r="M3365" s="12"/>
      <c r="N3365" s="12"/>
      <c r="O3365" s="12"/>
      <c r="P3365" s="12"/>
      <c r="Q3365" s="12"/>
      <c r="R3365" s="12"/>
      <c r="S3365" s="12"/>
      <c r="T3365" s="12"/>
      <c r="U3365" s="12"/>
      <c r="V3365" s="12"/>
      <c r="W3365" s="12"/>
      <c r="X3365" s="12"/>
      <c r="Y3365" s="12"/>
      <c r="Z3365" s="12"/>
      <c r="AA3365" s="12"/>
    </row>
    <row r="3366" ht="26.25" customHeight="1">
      <c r="A3366" s="34" t="s">
        <v>6742</v>
      </c>
      <c r="B3366" s="35" t="s">
        <v>6743</v>
      </c>
      <c r="C3366" s="36">
        <v>4.0</v>
      </c>
      <c r="D3366" s="37">
        <v>39.0</v>
      </c>
      <c r="E3366" s="37">
        <v>6.0</v>
      </c>
      <c r="F3366" s="24" t="str">
        <f t="array" ref="F3366">"https://www.google.com/maps/search/?api=1&amp;query=" &amp; A3366 &amp; "," &amp; B3366</f>
        <v>https://www.google.com/maps/search/?api=1&amp;query=-3.08876674705097,-55.55092646988930</v>
      </c>
      <c r="G3366" s="25" t="str">
        <f t="array" ref="G3366">"https://earth.google.com/web/search/" &amp; A3366 &amp; "," &amp; B3366</f>
        <v>https://earth.google.com/web/search/-3.08876674705097,-55.55092646988930</v>
      </c>
      <c r="H3366" s="12"/>
      <c r="I3366" s="12"/>
      <c r="J3366" s="12"/>
      <c r="K3366" s="12"/>
      <c r="L3366" s="12"/>
      <c r="M3366" s="12"/>
      <c r="N3366" s="12"/>
      <c r="O3366" s="12"/>
      <c r="P3366" s="12"/>
      <c r="Q3366" s="12"/>
      <c r="R3366" s="12"/>
      <c r="S3366" s="12"/>
      <c r="T3366" s="12"/>
      <c r="U3366" s="12"/>
      <c r="V3366" s="12"/>
      <c r="W3366" s="12"/>
      <c r="X3366" s="12"/>
      <c r="Y3366" s="12"/>
      <c r="Z3366" s="12"/>
      <c r="AA3366" s="12"/>
    </row>
    <row r="3367" ht="26.25" customHeight="1">
      <c r="A3367" s="28" t="s">
        <v>6744</v>
      </c>
      <c r="B3367" s="29" t="s">
        <v>6745</v>
      </c>
      <c r="C3367" s="30">
        <v>4.0</v>
      </c>
      <c r="D3367" s="31">
        <v>39.0</v>
      </c>
      <c r="E3367" s="31">
        <v>7.0</v>
      </c>
      <c r="F3367" s="32" t="str">
        <f t="array" ref="F3367">"https://www.google.com/maps/search/?api=1&amp;query=" &amp; A3367 &amp; "," &amp; B3367</f>
        <v>https://www.google.com/maps/search/?api=1&amp;query=-30.88787537101380,-55.55128004747890</v>
      </c>
      <c r="G3367" s="33" t="str">
        <f t="array" ref="G3367">"https://earth.google.com/web/search/" &amp; A3367 &amp; "," &amp; B3367</f>
        <v>https://earth.google.com/web/search/-30.88787537101380,-55.55128004747890</v>
      </c>
      <c r="H3367" s="12"/>
      <c r="I3367" s="12"/>
      <c r="J3367" s="12"/>
      <c r="K3367" s="12"/>
      <c r="L3367" s="12"/>
      <c r="M3367" s="12"/>
      <c r="N3367" s="12"/>
      <c r="O3367" s="12"/>
      <c r="P3367" s="12"/>
      <c r="Q3367" s="12"/>
      <c r="R3367" s="12"/>
      <c r="S3367" s="12"/>
      <c r="T3367" s="12"/>
      <c r="U3367" s="12"/>
      <c r="V3367" s="12"/>
      <c r="W3367" s="12"/>
      <c r="X3367" s="12"/>
      <c r="Y3367" s="12"/>
      <c r="Z3367" s="12"/>
      <c r="AA3367" s="12"/>
    </row>
    <row r="3368" ht="26.25" customHeight="1">
      <c r="A3368" s="34" t="s">
        <v>6746</v>
      </c>
      <c r="B3368" s="35" t="s">
        <v>6747</v>
      </c>
      <c r="C3368" s="36">
        <v>4.0</v>
      </c>
      <c r="D3368" s="37">
        <v>39.0</v>
      </c>
      <c r="E3368" s="37">
        <v>8.0</v>
      </c>
      <c r="F3368" s="24" t="str">
        <f t="array" ref="F3368">"https://www.google.com/maps/search/?api=1&amp;query=" &amp; A3368 &amp; "," &amp; B3368</f>
        <v>https://www.google.com/maps/search/?api=1&amp;query=-30.88815915604510,-55.55147899254590</v>
      </c>
      <c r="G3368" s="25" t="str">
        <f t="array" ref="G3368">"https://earth.google.com/web/search/" &amp; A3368 &amp; "," &amp; B3368</f>
        <v>https://earth.google.com/web/search/-30.88815915604510,-55.55147899254590</v>
      </c>
      <c r="H3368" s="12"/>
      <c r="I3368" s="12"/>
      <c r="J3368" s="12"/>
      <c r="K3368" s="12"/>
      <c r="L3368" s="12"/>
      <c r="M3368" s="12"/>
      <c r="N3368" s="12"/>
      <c r="O3368" s="12"/>
      <c r="P3368" s="12"/>
      <c r="Q3368" s="12"/>
      <c r="R3368" s="12"/>
      <c r="S3368" s="12"/>
      <c r="T3368" s="12"/>
      <c r="U3368" s="12"/>
      <c r="V3368" s="12"/>
      <c r="W3368" s="12"/>
      <c r="X3368" s="12"/>
      <c r="Y3368" s="12"/>
      <c r="Z3368" s="12"/>
      <c r="AA3368" s="12"/>
    </row>
    <row r="3369" ht="26.25" customHeight="1">
      <c r="A3369" s="28" t="s">
        <v>6748</v>
      </c>
      <c r="B3369" s="29" t="s">
        <v>6749</v>
      </c>
      <c r="C3369" s="30">
        <v>4.0</v>
      </c>
      <c r="D3369" s="31">
        <v>40.0</v>
      </c>
      <c r="E3369" s="31">
        <v>1.0</v>
      </c>
      <c r="F3369" s="32" t="str">
        <f t="array" ref="F3369">"https://www.google.com/maps/search/?api=1&amp;query=" &amp; A3369 &amp; "," &amp; B3369</f>
        <v>https://www.google.com/maps/search/?api=1&amp;query=-30.88783646255380,-55.55240711144210</v>
      </c>
      <c r="G3369" s="33" t="str">
        <f t="array" ref="G3369">"https://earth.google.com/web/search/" &amp; A3369 &amp; "," &amp; B3369</f>
        <v>https://earth.google.com/web/search/-30.88783646255380,-55.55240711144210</v>
      </c>
      <c r="H3369" s="12"/>
      <c r="I3369" s="12"/>
      <c r="J3369" s="12"/>
      <c r="K3369" s="12"/>
      <c r="L3369" s="12"/>
      <c r="M3369" s="12"/>
      <c r="N3369" s="12"/>
      <c r="O3369" s="12"/>
      <c r="P3369" s="12"/>
      <c r="Q3369" s="12"/>
      <c r="R3369" s="12"/>
      <c r="S3369" s="12"/>
      <c r="T3369" s="12"/>
      <c r="U3369" s="12"/>
      <c r="V3369" s="12"/>
      <c r="W3369" s="12"/>
      <c r="X3369" s="12"/>
      <c r="Y3369" s="12"/>
      <c r="Z3369" s="12"/>
      <c r="AA3369" s="12"/>
    </row>
    <row r="3370" ht="26.25" customHeight="1">
      <c r="A3370" s="34" t="s">
        <v>6750</v>
      </c>
      <c r="B3370" s="35" t="s">
        <v>6751</v>
      </c>
      <c r="C3370" s="36">
        <v>4.0</v>
      </c>
      <c r="D3370" s="37">
        <v>40.0</v>
      </c>
      <c r="E3370" s="37">
        <v>2.0</v>
      </c>
      <c r="F3370" s="24" t="str">
        <f t="array" ref="F3370">"https://www.google.com/maps/search/?api=1&amp;query=" &amp; A3370 &amp; "," &amp; B3370</f>
        <v>https://www.google.com/maps/search/?api=1&amp;query=-30.88789751945770,-55.55230610867890</v>
      </c>
      <c r="G3370" s="25" t="str">
        <f t="array" ref="G3370">"https://earth.google.com/web/search/" &amp; A3370 &amp; "," &amp; B3370</f>
        <v>https://earth.google.com/web/search/-30.88789751945770,-55.55230610867890</v>
      </c>
      <c r="H3370" s="12"/>
      <c r="I3370" s="12"/>
      <c r="J3370" s="12"/>
      <c r="K3370" s="12"/>
      <c r="L3370" s="12"/>
      <c r="M3370" s="12"/>
      <c r="N3370" s="12"/>
      <c r="O3370" s="12"/>
      <c r="P3370" s="12"/>
      <c r="Q3370" s="12"/>
      <c r="R3370" s="12"/>
      <c r="S3370" s="12"/>
      <c r="T3370" s="12"/>
      <c r="U3370" s="12"/>
      <c r="V3370" s="12"/>
      <c r="W3370" s="12"/>
      <c r="X3370" s="12"/>
      <c r="Y3370" s="12"/>
      <c r="Z3370" s="12"/>
      <c r="AA3370" s="12"/>
    </row>
    <row r="3371" ht="26.25" customHeight="1">
      <c r="A3371" s="28" t="s">
        <v>6752</v>
      </c>
      <c r="B3371" s="29" t="s">
        <v>6753</v>
      </c>
      <c r="C3371" s="30">
        <v>4.0</v>
      </c>
      <c r="D3371" s="31">
        <v>40.0</v>
      </c>
      <c r="E3371" s="31">
        <v>3.0</v>
      </c>
      <c r="F3371" s="32" t="str">
        <f t="array" ref="F3371">"https://www.google.com/maps/search/?api=1&amp;query=" &amp; A3371 &amp; "," &amp; B3371</f>
        <v>https://www.google.com/maps/search/?api=1&amp;query=-3.08879545371259,-55.55214969435530</v>
      </c>
      <c r="G3371" s="33" t="str">
        <f t="array" ref="G3371">"https://earth.google.com/web/search/" &amp; A3371 &amp; "," &amp; B3371</f>
        <v>https://earth.google.com/web/search/-3.08879545371259,-55.55214969435530</v>
      </c>
      <c r="H3371" s="12"/>
      <c r="I3371" s="12"/>
      <c r="J3371" s="12"/>
      <c r="K3371" s="12"/>
      <c r="L3371" s="12"/>
      <c r="M3371" s="12"/>
      <c r="N3371" s="12"/>
      <c r="O3371" s="12"/>
      <c r="P3371" s="12"/>
      <c r="Q3371" s="12"/>
      <c r="R3371" s="12"/>
      <c r="S3371" s="12"/>
      <c r="T3371" s="12"/>
      <c r="U3371" s="12"/>
      <c r="V3371" s="12"/>
      <c r="W3371" s="12"/>
      <c r="X3371" s="12"/>
      <c r="Y3371" s="12"/>
      <c r="Z3371" s="12"/>
      <c r="AA3371" s="12"/>
    </row>
    <row r="3372" ht="26.25" customHeight="1">
      <c r="A3372" s="34" t="s">
        <v>6754</v>
      </c>
      <c r="B3372" s="35" t="s">
        <v>6755</v>
      </c>
      <c r="C3372" s="36">
        <v>4.0</v>
      </c>
      <c r="D3372" s="37">
        <v>40.0</v>
      </c>
      <c r="E3372" s="37">
        <v>4.0</v>
      </c>
      <c r="F3372" s="24" t="str">
        <f t="array" ref="F3372">"https://www.google.com/maps/search/?api=1&amp;query=" &amp; A3372 &amp; "," &amp; B3372</f>
        <v>https://www.google.com/maps/search/?api=1&amp;query=-30.88815364291790,-55.55179071111910</v>
      </c>
      <c r="G3372" s="25" t="str">
        <f t="array" ref="G3372">"https://earth.google.com/web/search/" &amp; A3372 &amp; "," &amp; B3372</f>
        <v>https://earth.google.com/web/search/-30.88815364291790,-55.55179071111910</v>
      </c>
      <c r="H3372" s="12"/>
      <c r="I3372" s="12"/>
      <c r="J3372" s="12"/>
      <c r="K3372" s="12"/>
      <c r="L3372" s="12"/>
      <c r="M3372" s="12"/>
      <c r="N3372" s="12"/>
      <c r="O3372" s="12"/>
      <c r="P3372" s="12"/>
      <c r="Q3372" s="12"/>
      <c r="R3372" s="12"/>
      <c r="S3372" s="12"/>
      <c r="T3372" s="12"/>
      <c r="U3372" s="12"/>
      <c r="V3372" s="12"/>
      <c r="W3372" s="12"/>
      <c r="X3372" s="12"/>
      <c r="Y3372" s="12"/>
      <c r="Z3372" s="12"/>
      <c r="AA3372" s="12"/>
    </row>
    <row r="3373" ht="26.25" customHeight="1">
      <c r="A3373" s="28" t="s">
        <v>6756</v>
      </c>
      <c r="B3373" s="29" t="s">
        <v>6757</v>
      </c>
      <c r="C3373" s="30">
        <v>4.0</v>
      </c>
      <c r="D3373" s="31">
        <v>40.0</v>
      </c>
      <c r="E3373" s="31">
        <v>5.0</v>
      </c>
      <c r="F3373" s="32" t="str">
        <f t="array" ref="F3373">"https://www.google.com/maps/search/?api=1&amp;query=" &amp; A3373 &amp; "," &amp; B3373</f>
        <v>https://www.google.com/maps/search/?api=1&amp;query=-30.88815923097280,-55.55161456016850</v>
      </c>
      <c r="G3373" s="33" t="str">
        <f t="array" ref="G3373">"https://earth.google.com/web/search/" &amp; A3373 &amp; "," &amp; B3373</f>
        <v>https://earth.google.com/web/search/-30.88815923097280,-55.55161456016850</v>
      </c>
      <c r="H3373" s="12"/>
      <c r="I3373" s="12"/>
      <c r="J3373" s="12"/>
      <c r="K3373" s="12"/>
      <c r="L3373" s="12"/>
      <c r="M3373" s="12"/>
      <c r="N3373" s="12"/>
      <c r="O3373" s="12"/>
      <c r="P3373" s="12"/>
      <c r="Q3373" s="12"/>
      <c r="R3373" s="12"/>
      <c r="S3373" s="12"/>
      <c r="T3373" s="12"/>
      <c r="U3373" s="12"/>
      <c r="V3373" s="12"/>
      <c r="W3373" s="12"/>
      <c r="X3373" s="12"/>
      <c r="Y3373" s="12"/>
      <c r="Z3373" s="12"/>
      <c r="AA3373" s="12"/>
    </row>
    <row r="3374" ht="26.25" customHeight="1">
      <c r="A3374" s="34" t="s">
        <v>6758</v>
      </c>
      <c r="B3374" s="35" t="s">
        <v>6759</v>
      </c>
      <c r="C3374" s="36">
        <v>4.0</v>
      </c>
      <c r="D3374" s="37">
        <v>40.0</v>
      </c>
      <c r="E3374" s="37">
        <v>6.0</v>
      </c>
      <c r="F3374" s="24" t="str">
        <f t="array" ref="F3374">"https://www.google.com/maps/search/?api=1&amp;query=" &amp; A3374 &amp; "," &amp; B3374</f>
        <v>https://www.google.com/maps/search/?api=1&amp;query=-30.88802524591130,-55.55151443361540</v>
      </c>
      <c r="G3374" s="25" t="str">
        <f t="array" ref="G3374">"https://earth.google.com/web/search/" &amp; A3374 &amp; "," &amp; B3374</f>
        <v>https://earth.google.com/web/search/-30.88802524591130,-55.55151443361540</v>
      </c>
      <c r="H3374" s="12"/>
      <c r="I3374" s="12"/>
      <c r="J3374" s="12"/>
      <c r="K3374" s="12"/>
      <c r="L3374" s="12"/>
      <c r="M3374" s="12"/>
      <c r="N3374" s="12"/>
      <c r="O3374" s="12"/>
      <c r="P3374" s="12"/>
      <c r="Q3374" s="12"/>
      <c r="R3374" s="12"/>
      <c r="S3374" s="12"/>
      <c r="T3374" s="12"/>
      <c r="U3374" s="12"/>
      <c r="V3374" s="12"/>
      <c r="W3374" s="12"/>
      <c r="X3374" s="12"/>
      <c r="Y3374" s="12"/>
      <c r="Z3374" s="12"/>
      <c r="AA3374" s="12"/>
    </row>
    <row r="3375" ht="26.25" customHeight="1">
      <c r="A3375" s="28" t="s">
        <v>6760</v>
      </c>
      <c r="B3375" s="29" t="s">
        <v>6761</v>
      </c>
      <c r="C3375" s="30">
        <v>4.0</v>
      </c>
      <c r="D3375" s="31">
        <v>40.0</v>
      </c>
      <c r="E3375" s="31">
        <v>7.0</v>
      </c>
      <c r="F3375" s="32" t="str">
        <f t="array" ref="F3375">"https://www.google.com/maps/search/?api=1&amp;query=" &amp; A3375 &amp; "," &amp; B3375</f>
        <v>https://www.google.com/maps/search/?api=1&amp;query=-30.88737688373260,-55.55147805613070</v>
      </c>
      <c r="G3375" s="33" t="str">
        <f t="array" ref="G3375">"https://earth.google.com/web/search/" &amp; A3375 &amp; "," &amp; B3375</f>
        <v>https://earth.google.com/web/search/-30.88737688373260,-55.55147805613070</v>
      </c>
      <c r="H3375" s="12"/>
      <c r="I3375" s="12"/>
      <c r="J3375" s="12"/>
      <c r="K3375" s="12"/>
      <c r="L3375" s="12"/>
      <c r="M3375" s="12"/>
      <c r="N3375" s="12"/>
      <c r="O3375" s="12"/>
      <c r="P3375" s="12"/>
      <c r="Q3375" s="12"/>
      <c r="R3375" s="12"/>
      <c r="S3375" s="12"/>
      <c r="T3375" s="12"/>
      <c r="U3375" s="12"/>
      <c r="V3375" s="12"/>
      <c r="W3375" s="12"/>
      <c r="X3375" s="12"/>
      <c r="Y3375" s="12"/>
      <c r="Z3375" s="12"/>
      <c r="AA3375" s="12"/>
    </row>
    <row r="3376" ht="26.25" customHeight="1">
      <c r="A3376" s="34" t="s">
        <v>6762</v>
      </c>
      <c r="B3376" s="35" t="s">
        <v>6763</v>
      </c>
      <c r="C3376" s="36">
        <v>4.0</v>
      </c>
      <c r="D3376" s="37">
        <v>40.0</v>
      </c>
      <c r="E3376" s="37">
        <v>8.0</v>
      </c>
      <c r="F3376" s="24" t="str">
        <f t="array" ref="F3376">"https://www.google.com/maps/search/?api=1&amp;query=" &amp; A3376 &amp; "," &amp; B3376</f>
        <v>https://www.google.com/maps/search/?api=1&amp;query=-30.88729665194040,-55.55168079695990</v>
      </c>
      <c r="G3376" s="25" t="str">
        <f t="array" ref="G3376">"https://earth.google.com/web/search/" &amp; A3376 &amp; "," &amp; B3376</f>
        <v>https://earth.google.com/web/search/-30.88729665194040,-55.55168079695990</v>
      </c>
      <c r="H3376" s="12"/>
      <c r="I3376" s="12"/>
      <c r="J3376" s="12"/>
      <c r="K3376" s="12"/>
      <c r="L3376" s="12"/>
      <c r="M3376" s="12"/>
      <c r="N3376" s="12"/>
      <c r="O3376" s="12"/>
      <c r="P3376" s="12"/>
      <c r="Q3376" s="12"/>
      <c r="R3376" s="12"/>
      <c r="S3376" s="12"/>
      <c r="T3376" s="12"/>
      <c r="U3376" s="12"/>
      <c r="V3376" s="12"/>
      <c r="W3376" s="12"/>
      <c r="X3376" s="12"/>
      <c r="Y3376" s="12"/>
      <c r="Z3376" s="12"/>
      <c r="AA3376" s="12"/>
    </row>
    <row r="3377" ht="26.25" customHeight="1">
      <c r="A3377" s="28" t="s">
        <v>6764</v>
      </c>
      <c r="B3377" s="29" t="s">
        <v>6765</v>
      </c>
      <c r="C3377" s="30">
        <v>4.0</v>
      </c>
      <c r="D3377" s="31">
        <v>40.0</v>
      </c>
      <c r="E3377" s="31">
        <v>9.0</v>
      </c>
      <c r="F3377" s="32" t="str">
        <f t="array" ref="F3377">"https://www.google.com/maps/search/?api=1&amp;query=" &amp; A3377 &amp; "," &amp; B3377</f>
        <v>https://www.google.com/maps/search/?api=1&amp;query=-30.88716604465160,-55.55202817499370</v>
      </c>
      <c r="G3377" s="33" t="str">
        <f t="array" ref="G3377">"https://earth.google.com/web/search/" &amp; A3377 &amp; "," &amp; B3377</f>
        <v>https://earth.google.com/web/search/-30.88716604465160,-55.55202817499370</v>
      </c>
      <c r="H3377" s="12"/>
      <c r="I3377" s="12"/>
      <c r="J3377" s="12"/>
      <c r="K3377" s="12"/>
      <c r="L3377" s="12"/>
      <c r="M3377" s="12"/>
      <c r="N3377" s="12"/>
      <c r="O3377" s="12"/>
      <c r="P3377" s="12"/>
      <c r="Q3377" s="12"/>
      <c r="R3377" s="12"/>
      <c r="S3377" s="12"/>
      <c r="T3377" s="12"/>
      <c r="U3377" s="12"/>
      <c r="V3377" s="12"/>
      <c r="W3377" s="12"/>
      <c r="X3377" s="12"/>
      <c r="Y3377" s="12"/>
      <c r="Z3377" s="12"/>
      <c r="AA3377" s="12"/>
    </row>
    <row r="3378" ht="26.25" customHeight="1">
      <c r="A3378" s="34" t="s">
        <v>6766</v>
      </c>
      <c r="B3378" s="35" t="s">
        <v>6767</v>
      </c>
      <c r="C3378" s="36">
        <v>4.0</v>
      </c>
      <c r="D3378" s="37">
        <v>40.0</v>
      </c>
      <c r="E3378" s="37">
        <v>10.0</v>
      </c>
      <c r="F3378" s="24" t="str">
        <f t="array" ref="F3378">"https://www.google.com/maps/search/?api=1&amp;query=" &amp; A3378 &amp; "," &amp; B3378</f>
        <v>https://www.google.com/maps/search/?api=1&amp;query=-0.30887533378969,-55.55229638065220</v>
      </c>
      <c r="G3378" s="25" t="str">
        <f t="array" ref="G3378">"https://earth.google.com/web/search/" &amp; A3378 &amp; "," &amp; B3378</f>
        <v>https://earth.google.com/web/search/-0.30887533378969,-55.55229638065220</v>
      </c>
      <c r="H3378" s="12"/>
      <c r="I3378" s="12"/>
      <c r="J3378" s="12"/>
      <c r="K3378" s="12"/>
      <c r="L3378" s="12"/>
      <c r="M3378" s="12"/>
      <c r="N3378" s="12"/>
      <c r="O3378" s="12"/>
      <c r="P3378" s="12"/>
      <c r="Q3378" s="12"/>
      <c r="R3378" s="12"/>
      <c r="S3378" s="12"/>
      <c r="T3378" s="12"/>
      <c r="U3378" s="12"/>
      <c r="V3378" s="12"/>
      <c r="W3378" s="12"/>
      <c r="X3378" s="12"/>
      <c r="Y3378" s="12"/>
      <c r="Z3378" s="12"/>
      <c r="AA3378" s="12"/>
    </row>
    <row r="3379" ht="26.25" customHeight="1">
      <c r="A3379" s="28" t="s">
        <v>6768</v>
      </c>
      <c r="B3379" s="29" t="s">
        <v>6769</v>
      </c>
      <c r="C3379" s="30">
        <v>4.0</v>
      </c>
      <c r="D3379" s="31">
        <v>40.0</v>
      </c>
      <c r="E3379" s="31">
        <v>11.0</v>
      </c>
      <c r="F3379" s="32" t="str">
        <f t="array" ref="F3379">"https://www.google.com/maps/search/?api=1&amp;query=" &amp; A3379 &amp; "," &amp; B3379</f>
        <v>https://www.google.com/maps/search/?api=1&amp;query=-30.88771260410230,-55.55241673748060</v>
      </c>
      <c r="G3379" s="33" t="str">
        <f t="array" ref="G3379">"https://earth.google.com/web/search/" &amp; A3379 &amp; "," &amp; B3379</f>
        <v>https://earth.google.com/web/search/-30.88771260410230,-55.55241673748060</v>
      </c>
      <c r="H3379" s="12"/>
      <c r="I3379" s="12"/>
      <c r="J3379" s="12"/>
      <c r="K3379" s="12"/>
      <c r="L3379" s="12"/>
      <c r="M3379" s="12"/>
      <c r="N3379" s="12"/>
      <c r="O3379" s="12"/>
      <c r="P3379" s="12"/>
      <c r="Q3379" s="12"/>
      <c r="R3379" s="12"/>
      <c r="S3379" s="12"/>
      <c r="T3379" s="12"/>
      <c r="U3379" s="12"/>
      <c r="V3379" s="12"/>
      <c r="W3379" s="12"/>
      <c r="X3379" s="12"/>
      <c r="Y3379" s="12"/>
      <c r="Z3379" s="12"/>
      <c r="AA3379" s="12"/>
    </row>
    <row r="3380" ht="26.25" customHeight="1">
      <c r="A3380" s="34" t="s">
        <v>6770</v>
      </c>
      <c r="B3380" s="35" t="s">
        <v>6771</v>
      </c>
      <c r="C3380" s="36">
        <v>4.0</v>
      </c>
      <c r="D3380" s="37">
        <v>51.0</v>
      </c>
      <c r="E3380" s="37">
        <v>1.0</v>
      </c>
      <c r="F3380" s="24" t="str">
        <f t="array" ref="F3380">"https://www.google.com/maps/search/?api=1&amp;query=" &amp; A3380 &amp; "," &amp; B3380</f>
        <v>https://www.google.com/maps/search/?api=1&amp;query=-3.08889528381789,-55.55219161916530</v>
      </c>
      <c r="G3380" s="25" t="str">
        <f t="array" ref="G3380">"https://earth.google.com/web/search/" &amp; A3380 &amp; "," &amp; B3380</f>
        <v>https://earth.google.com/web/search/-3.08889528381789,-55.55219161916530</v>
      </c>
      <c r="H3380" s="12"/>
      <c r="I3380" s="12"/>
      <c r="J3380" s="12"/>
      <c r="K3380" s="12"/>
      <c r="L3380" s="12"/>
      <c r="M3380" s="12"/>
      <c r="N3380" s="12"/>
      <c r="O3380" s="12"/>
      <c r="P3380" s="12"/>
      <c r="Q3380" s="12"/>
      <c r="R3380" s="12"/>
      <c r="S3380" s="12"/>
      <c r="T3380" s="12"/>
      <c r="U3380" s="12"/>
      <c r="V3380" s="12"/>
      <c r="W3380" s="12"/>
      <c r="X3380" s="12"/>
      <c r="Y3380" s="12"/>
      <c r="Z3380" s="12"/>
      <c r="AA3380" s="12"/>
    </row>
    <row r="3381" ht="26.25" customHeight="1">
      <c r="A3381" s="28" t="s">
        <v>6772</v>
      </c>
      <c r="B3381" s="29" t="s">
        <v>6773</v>
      </c>
      <c r="C3381" s="30">
        <v>4.0</v>
      </c>
      <c r="D3381" s="31">
        <v>51.0</v>
      </c>
      <c r="E3381" s="31">
        <v>2.0</v>
      </c>
      <c r="F3381" s="32" t="str">
        <f t="array" ref="F3381">"https://www.google.com/maps/search/?api=1&amp;query=" &amp; A3381 &amp; "," &amp; B3381</f>
        <v>https://www.google.com/maps/search/?api=1&amp;query=-30.88829393430780,-5.55517419402413</v>
      </c>
      <c r="G3381" s="33" t="str">
        <f t="array" ref="G3381">"https://earth.google.com/web/search/" &amp; A3381 &amp; "," &amp; B3381</f>
        <v>https://earth.google.com/web/search/-30.88829393430780,-5.55517419402413</v>
      </c>
      <c r="H3381" s="12"/>
      <c r="I3381" s="12"/>
      <c r="J3381" s="12"/>
      <c r="K3381" s="12"/>
      <c r="L3381" s="12"/>
      <c r="M3381" s="12"/>
      <c r="N3381" s="12"/>
      <c r="O3381" s="12"/>
      <c r="P3381" s="12"/>
      <c r="Q3381" s="12"/>
      <c r="R3381" s="12"/>
      <c r="S3381" s="12"/>
      <c r="T3381" s="12"/>
      <c r="U3381" s="12"/>
      <c r="V3381" s="12"/>
      <c r="W3381" s="12"/>
      <c r="X3381" s="12"/>
      <c r="Y3381" s="12"/>
      <c r="Z3381" s="12"/>
      <c r="AA3381" s="12"/>
    </row>
    <row r="3382" ht="26.25" customHeight="1">
      <c r="A3382" s="34" t="s">
        <v>6774</v>
      </c>
      <c r="B3382" s="35" t="s">
        <v>6775</v>
      </c>
      <c r="C3382" s="36">
        <v>4.0</v>
      </c>
      <c r="D3382" s="37">
        <v>51.0</v>
      </c>
      <c r="E3382" s="37">
        <v>3.0</v>
      </c>
      <c r="F3382" s="24" t="str">
        <f t="array" ref="F3382">"https://www.google.com/maps/search/?api=1&amp;query=" &amp; A3382 &amp; "," &amp; B3382</f>
        <v>https://www.google.com/maps/search/?api=1&amp;query=-3.08882273001917,-55.55188492038270</v>
      </c>
      <c r="G3382" s="25" t="str">
        <f t="array" ref="G3382">"https://earth.google.com/web/search/" &amp; A3382 &amp; "," &amp; B3382</f>
        <v>https://earth.google.com/web/search/-3.08882273001917,-55.55188492038270</v>
      </c>
      <c r="H3382" s="12"/>
      <c r="I3382" s="12"/>
      <c r="J3382" s="12"/>
      <c r="K3382" s="12"/>
      <c r="L3382" s="12"/>
      <c r="M3382" s="12"/>
      <c r="N3382" s="12"/>
      <c r="O3382" s="12"/>
      <c r="P3382" s="12"/>
      <c r="Q3382" s="12"/>
      <c r="R3382" s="12"/>
      <c r="S3382" s="12"/>
      <c r="T3382" s="12"/>
      <c r="U3382" s="12"/>
      <c r="V3382" s="12"/>
      <c r="W3382" s="12"/>
      <c r="X3382" s="12"/>
      <c r="Y3382" s="12"/>
      <c r="Z3382" s="12"/>
      <c r="AA3382" s="12"/>
    </row>
    <row r="3383" ht="26.25" customHeight="1">
      <c r="A3383" s="28" t="s">
        <v>6776</v>
      </c>
      <c r="B3383" s="29" t="s">
        <v>6777</v>
      </c>
      <c r="C3383" s="30">
        <v>4.0</v>
      </c>
      <c r="D3383" s="31">
        <v>51.0</v>
      </c>
      <c r="E3383" s="31">
        <v>4.0</v>
      </c>
      <c r="F3383" s="32" t="str">
        <f t="array" ref="F3383">"https://www.google.com/maps/search/?api=1&amp;query=" &amp; A3383 &amp; "," &amp; B3383</f>
        <v>https://www.google.com/maps/search/?api=1&amp;query=-30.88796129287260,-55.55240312729240</v>
      </c>
      <c r="G3383" s="33" t="str">
        <f t="array" ref="G3383">"https://earth.google.com/web/search/" &amp; A3383 &amp; "," &amp; B3383</f>
        <v>https://earth.google.com/web/search/-30.88796129287260,-55.55240312729240</v>
      </c>
      <c r="H3383" s="12"/>
      <c r="I3383" s="12"/>
      <c r="J3383" s="12"/>
      <c r="K3383" s="12"/>
      <c r="L3383" s="12"/>
      <c r="M3383" s="12"/>
      <c r="N3383" s="12"/>
      <c r="O3383" s="12"/>
      <c r="P3383" s="12"/>
      <c r="Q3383" s="12"/>
      <c r="R3383" s="12"/>
      <c r="S3383" s="12"/>
      <c r="T3383" s="12"/>
      <c r="U3383" s="12"/>
      <c r="V3383" s="12"/>
      <c r="W3383" s="12"/>
      <c r="X3383" s="12"/>
      <c r="Y3383" s="12"/>
      <c r="Z3383" s="12"/>
      <c r="AA3383" s="12"/>
    </row>
    <row r="3384" ht="26.25" customHeight="1">
      <c r="A3384" s="34" t="s">
        <v>6778</v>
      </c>
      <c r="B3384" s="35" t="s">
        <v>6779</v>
      </c>
      <c r="C3384" s="36">
        <v>4.0</v>
      </c>
      <c r="D3384" s="37">
        <v>51.0</v>
      </c>
      <c r="E3384" s="37">
        <v>5.0</v>
      </c>
      <c r="F3384" s="24" t="str">
        <f t="array" ref="F3384">"https://www.google.com/maps/search/?api=1&amp;query=" &amp; A3384 &amp; "," &amp; B3384</f>
        <v>https://www.google.com/maps/search/?api=1&amp;query=-30.88790634463500,-55.55248523576040</v>
      </c>
      <c r="G3384" s="25" t="str">
        <f t="array" ref="G3384">"https://earth.google.com/web/search/" &amp; A3384 &amp; "," &amp; B3384</f>
        <v>https://earth.google.com/web/search/-30.88790634463500,-55.55248523576040</v>
      </c>
      <c r="H3384" s="12"/>
      <c r="I3384" s="12"/>
      <c r="J3384" s="12"/>
      <c r="K3384" s="12"/>
      <c r="L3384" s="12"/>
      <c r="M3384" s="12"/>
      <c r="N3384" s="12"/>
      <c r="O3384" s="12"/>
      <c r="P3384" s="12"/>
      <c r="Q3384" s="12"/>
      <c r="R3384" s="12"/>
      <c r="S3384" s="12"/>
      <c r="T3384" s="12"/>
      <c r="U3384" s="12"/>
      <c r="V3384" s="12"/>
      <c r="W3384" s="12"/>
      <c r="X3384" s="12"/>
      <c r="Y3384" s="12"/>
      <c r="Z3384" s="12"/>
      <c r="AA3384" s="12"/>
    </row>
    <row r="3385" ht="26.25" customHeight="1">
      <c r="A3385" s="28" t="s">
        <v>6780</v>
      </c>
      <c r="B3385" s="29" t="s">
        <v>6781</v>
      </c>
      <c r="C3385" s="30">
        <v>4.0</v>
      </c>
      <c r="D3385" s="31">
        <v>51.0</v>
      </c>
      <c r="E3385" s="31">
        <v>6.0</v>
      </c>
      <c r="F3385" s="32" t="str">
        <f t="array" ref="F3385">"https://www.google.com/maps/search/?api=1&amp;query=" &amp; A3385 &amp; "," &amp; B3385</f>
        <v>https://www.google.com/maps/search/?api=1&amp;query=-3.08882738215853,-55.55282456867210</v>
      </c>
      <c r="G3385" s="33" t="str">
        <f t="array" ref="G3385">"https://earth.google.com/web/search/" &amp; A3385 &amp; "," &amp; B3385</f>
        <v>https://earth.google.com/web/search/-3.08882738215853,-55.55282456867210</v>
      </c>
      <c r="H3385" s="12"/>
      <c r="I3385" s="12"/>
      <c r="J3385" s="12"/>
      <c r="K3385" s="12"/>
      <c r="L3385" s="12"/>
      <c r="M3385" s="12"/>
      <c r="N3385" s="12"/>
      <c r="O3385" s="12"/>
      <c r="P3385" s="12"/>
      <c r="Q3385" s="12"/>
      <c r="R3385" s="12"/>
      <c r="S3385" s="12"/>
      <c r="T3385" s="12"/>
      <c r="U3385" s="12"/>
      <c r="V3385" s="12"/>
      <c r="W3385" s="12"/>
      <c r="X3385" s="12"/>
      <c r="Y3385" s="12"/>
      <c r="Z3385" s="12"/>
      <c r="AA3385" s="12"/>
    </row>
    <row r="3386" ht="26.25" customHeight="1">
      <c r="A3386" s="34" t="s">
        <v>6782</v>
      </c>
      <c r="B3386" s="35" t="s">
        <v>6783</v>
      </c>
      <c r="C3386" s="36">
        <v>4.0</v>
      </c>
      <c r="D3386" s="37">
        <v>51.0</v>
      </c>
      <c r="E3386" s="37">
        <v>7.0</v>
      </c>
      <c r="F3386" s="24" t="str">
        <f t="array" ref="F3386">"https://www.google.com/maps/search/?api=1&amp;query=" &amp; A3386 &amp; "," &amp; B3386</f>
        <v>https://www.google.com/maps/search/?api=1&amp;query=-30.88848282764020,-55.55296676202190</v>
      </c>
      <c r="G3386" s="25" t="str">
        <f t="array" ref="G3386">"https://earth.google.com/web/search/" &amp; A3386 &amp; "," &amp; B3386</f>
        <v>https://earth.google.com/web/search/-30.88848282764020,-55.55296676202190</v>
      </c>
      <c r="H3386" s="12"/>
      <c r="I3386" s="12"/>
      <c r="J3386" s="12"/>
      <c r="K3386" s="12"/>
      <c r="L3386" s="12"/>
      <c r="M3386" s="12"/>
      <c r="N3386" s="12"/>
      <c r="O3386" s="12"/>
      <c r="P3386" s="12"/>
      <c r="Q3386" s="12"/>
      <c r="R3386" s="12"/>
      <c r="S3386" s="12"/>
      <c r="T3386" s="12"/>
      <c r="U3386" s="12"/>
      <c r="V3386" s="12"/>
      <c r="W3386" s="12"/>
      <c r="X3386" s="12"/>
      <c r="Y3386" s="12"/>
      <c r="Z3386" s="12"/>
      <c r="AA3386" s="12"/>
    </row>
    <row r="3387" ht="26.25" customHeight="1">
      <c r="A3387" s="28" t="s">
        <v>6784</v>
      </c>
      <c r="B3387" s="29" t="s">
        <v>6785</v>
      </c>
      <c r="C3387" s="30">
        <v>4.0</v>
      </c>
      <c r="D3387" s="31">
        <v>52.0</v>
      </c>
      <c r="E3387" s="31">
        <v>1.0</v>
      </c>
      <c r="F3387" s="32" t="str">
        <f t="array" ref="F3387">"https://www.google.com/maps/search/?api=1&amp;query=" &amp; A3387 &amp; "," &amp; B3387</f>
        <v>https://www.google.com/maps/search/?api=1&amp;query=-30.88907269305830,-55.55205247426040</v>
      </c>
      <c r="G3387" s="33" t="str">
        <f t="array" ref="G3387">"https://earth.google.com/web/search/" &amp; A3387 &amp; "," &amp; B3387</f>
        <v>https://earth.google.com/web/search/-30.88907269305830,-55.55205247426040</v>
      </c>
      <c r="H3387" s="12"/>
      <c r="I3387" s="12"/>
      <c r="J3387" s="12"/>
      <c r="K3387" s="12"/>
      <c r="L3387" s="12"/>
      <c r="M3387" s="12"/>
      <c r="N3387" s="12"/>
      <c r="O3387" s="12"/>
      <c r="P3387" s="12"/>
      <c r="Q3387" s="12"/>
      <c r="R3387" s="12"/>
      <c r="S3387" s="12"/>
      <c r="T3387" s="12"/>
      <c r="U3387" s="12"/>
      <c r="V3387" s="12"/>
      <c r="W3387" s="12"/>
      <c r="X3387" s="12"/>
      <c r="Y3387" s="12"/>
      <c r="Z3387" s="12"/>
      <c r="AA3387" s="12"/>
    </row>
    <row r="3388" ht="26.25" customHeight="1">
      <c r="A3388" s="34" t="s">
        <v>6786</v>
      </c>
      <c r="B3388" s="35" t="s">
        <v>6787</v>
      </c>
      <c r="C3388" s="36">
        <v>4.0</v>
      </c>
      <c r="D3388" s="37">
        <v>52.0</v>
      </c>
      <c r="E3388" s="37">
        <v>2.0</v>
      </c>
      <c r="F3388" s="24" t="str">
        <f t="array" ref="F3388">"https://www.google.com/maps/search/?api=1&amp;query=" &amp; A3388 &amp; "," &amp; B3388</f>
        <v>https://www.google.com/maps/search/?api=1&amp;query=-3.08891372026108,-55.55197133798630</v>
      </c>
      <c r="G3388" s="25" t="str">
        <f t="array" ref="G3388">"https://earth.google.com/web/search/" &amp; A3388 &amp; "," &amp; B3388</f>
        <v>https://earth.google.com/web/search/-3.08891372026108,-55.55197133798630</v>
      </c>
      <c r="H3388" s="12"/>
      <c r="I3388" s="12"/>
      <c r="J3388" s="12"/>
      <c r="K3388" s="12"/>
      <c r="L3388" s="12"/>
      <c r="M3388" s="12"/>
      <c r="N3388" s="12"/>
      <c r="O3388" s="12"/>
      <c r="P3388" s="12"/>
      <c r="Q3388" s="12"/>
      <c r="R3388" s="12"/>
      <c r="S3388" s="12"/>
      <c r="T3388" s="12"/>
      <c r="U3388" s="12"/>
      <c r="V3388" s="12"/>
      <c r="W3388" s="12"/>
      <c r="X3388" s="12"/>
      <c r="Y3388" s="12"/>
      <c r="Z3388" s="12"/>
      <c r="AA3388" s="12"/>
    </row>
    <row r="3389" ht="26.25" customHeight="1">
      <c r="A3389" s="28" t="s">
        <v>6788</v>
      </c>
      <c r="B3389" s="29" t="s">
        <v>6789</v>
      </c>
      <c r="C3389" s="30">
        <v>4.0</v>
      </c>
      <c r="D3389" s="31">
        <v>52.0</v>
      </c>
      <c r="E3389" s="31">
        <v>3.0</v>
      </c>
      <c r="F3389" s="32" t="str">
        <f t="array" ref="F3389">"https://www.google.com/maps/search/?api=1&amp;query=" &amp; A3389 &amp; "," &amp; B3389</f>
        <v>https://www.google.com/maps/search/?api=1&amp;query=-30.88916530612190,-55.55191145314730</v>
      </c>
      <c r="G3389" s="33" t="str">
        <f t="array" ref="G3389">"https://earth.google.com/web/search/" &amp; A3389 &amp; "," &amp; B3389</f>
        <v>https://earth.google.com/web/search/-30.88916530612190,-55.55191145314730</v>
      </c>
      <c r="H3389" s="12"/>
      <c r="I3389" s="12"/>
      <c r="J3389" s="12"/>
      <c r="K3389" s="12"/>
      <c r="L3389" s="12"/>
      <c r="M3389" s="12"/>
      <c r="N3389" s="12"/>
      <c r="O3389" s="12"/>
      <c r="P3389" s="12"/>
      <c r="Q3389" s="12"/>
      <c r="R3389" s="12"/>
      <c r="S3389" s="12"/>
      <c r="T3389" s="12"/>
      <c r="U3389" s="12"/>
      <c r="V3389" s="12"/>
      <c r="W3389" s="12"/>
      <c r="X3389" s="12"/>
      <c r="Y3389" s="12"/>
      <c r="Z3389" s="12"/>
      <c r="AA3389" s="12"/>
    </row>
    <row r="3390" ht="26.25" customHeight="1">
      <c r="A3390" s="34" t="s">
        <v>6790</v>
      </c>
      <c r="B3390" s="35" t="s">
        <v>6791</v>
      </c>
      <c r="C3390" s="36">
        <v>4.0</v>
      </c>
      <c r="D3390" s="37">
        <v>52.0</v>
      </c>
      <c r="E3390" s="37">
        <v>4.0</v>
      </c>
      <c r="F3390" s="24" t="str">
        <f t="array" ref="F3390">"https://www.google.com/maps/search/?api=1&amp;query=" &amp; A3390 &amp; "," &amp; B3390</f>
        <v>https://www.google.com/maps/search/?api=1&amp;query=-30.88924859121240,-55.55177502342510</v>
      </c>
      <c r="G3390" s="25" t="str">
        <f t="array" ref="G3390">"https://earth.google.com/web/search/" &amp; A3390 &amp; "," &amp; B3390</f>
        <v>https://earth.google.com/web/search/-30.88924859121240,-55.55177502342510</v>
      </c>
      <c r="H3390" s="12"/>
      <c r="I3390" s="12"/>
      <c r="J3390" s="12"/>
      <c r="K3390" s="12"/>
      <c r="L3390" s="12"/>
      <c r="M3390" s="12"/>
      <c r="N3390" s="12"/>
      <c r="O3390" s="12"/>
      <c r="P3390" s="12"/>
      <c r="Q3390" s="12"/>
      <c r="R3390" s="12"/>
      <c r="S3390" s="12"/>
      <c r="T3390" s="12"/>
      <c r="U3390" s="12"/>
      <c r="V3390" s="12"/>
      <c r="W3390" s="12"/>
      <c r="X3390" s="12"/>
      <c r="Y3390" s="12"/>
      <c r="Z3390" s="12"/>
      <c r="AA3390" s="12"/>
    </row>
    <row r="3391" ht="26.25" customHeight="1">
      <c r="A3391" s="28" t="s">
        <v>6792</v>
      </c>
      <c r="B3391" s="29" t="s">
        <v>6793</v>
      </c>
      <c r="C3391" s="30">
        <v>4.0</v>
      </c>
      <c r="D3391" s="31">
        <v>52.0</v>
      </c>
      <c r="E3391" s="31">
        <v>4.0</v>
      </c>
      <c r="F3391" s="32" t="str">
        <f t="array" ref="F3391">"https://www.google.com/maps/search/?api=1&amp;query=" &amp; A3391 &amp; "," &amp; B3391</f>
        <v>https://www.google.com/maps/search/?api=1&amp;query=-30.88935100503860,-55.55160550714980</v>
      </c>
      <c r="G3391" s="33" t="str">
        <f t="array" ref="G3391">"https://earth.google.com/web/search/" &amp; A3391 &amp; "," &amp; B3391</f>
        <v>https://earth.google.com/web/search/-30.88935100503860,-55.55160550714980</v>
      </c>
      <c r="H3391" s="12"/>
      <c r="I3391" s="12"/>
      <c r="J3391" s="12"/>
      <c r="K3391" s="12"/>
      <c r="L3391" s="12"/>
      <c r="M3391" s="12"/>
      <c r="N3391" s="12"/>
      <c r="O3391" s="12"/>
      <c r="P3391" s="12"/>
      <c r="Q3391" s="12"/>
      <c r="R3391" s="12"/>
      <c r="S3391" s="12"/>
      <c r="T3391" s="12"/>
      <c r="U3391" s="12"/>
      <c r="V3391" s="12"/>
      <c r="W3391" s="12"/>
      <c r="X3391" s="12"/>
      <c r="Y3391" s="12"/>
      <c r="Z3391" s="12"/>
      <c r="AA3391" s="12"/>
    </row>
    <row r="3392" ht="26.25" customHeight="1">
      <c r="A3392" s="34" t="s">
        <v>6794</v>
      </c>
      <c r="B3392" s="35" t="s">
        <v>6795</v>
      </c>
      <c r="C3392" s="36">
        <v>4.0</v>
      </c>
      <c r="D3392" s="37">
        <v>52.0</v>
      </c>
      <c r="E3392" s="37">
        <v>5.0</v>
      </c>
      <c r="F3392" s="24" t="str">
        <f t="array" ref="F3392">"https://www.google.com/maps/search/?api=1&amp;query=" &amp; A3392 &amp; "," &amp; B3392</f>
        <v>https://www.google.com/maps/search/?api=1&amp;query=-30.88936356333220,-55.55121345389300</v>
      </c>
      <c r="G3392" s="25" t="str">
        <f t="array" ref="G3392">"https://earth.google.com/web/search/" &amp; A3392 &amp; "," &amp; B3392</f>
        <v>https://earth.google.com/web/search/-30.88936356333220,-55.55121345389300</v>
      </c>
      <c r="H3392" s="12"/>
      <c r="I3392" s="12"/>
      <c r="J3392" s="12"/>
      <c r="K3392" s="12"/>
      <c r="L3392" s="12"/>
      <c r="M3392" s="12"/>
      <c r="N3392" s="12"/>
      <c r="O3392" s="12"/>
      <c r="P3392" s="12"/>
      <c r="Q3392" s="12"/>
      <c r="R3392" s="12"/>
      <c r="S3392" s="12"/>
      <c r="T3392" s="12"/>
      <c r="U3392" s="12"/>
      <c r="V3392" s="12"/>
      <c r="W3392" s="12"/>
      <c r="X3392" s="12"/>
      <c r="Y3392" s="12"/>
      <c r="Z3392" s="12"/>
      <c r="AA3392" s="12"/>
    </row>
    <row r="3393" ht="26.25" customHeight="1">
      <c r="A3393" s="28" t="s">
        <v>6796</v>
      </c>
      <c r="B3393" s="29" t="s">
        <v>6797</v>
      </c>
      <c r="C3393" s="30">
        <v>4.0</v>
      </c>
      <c r="D3393" s="31">
        <v>52.0</v>
      </c>
      <c r="E3393" s="31">
        <v>6.0</v>
      </c>
      <c r="F3393" s="32" t="str">
        <f t="array" ref="F3393">"https://www.google.com/maps/search/?api=1&amp;query=" &amp; A3393 &amp; "," &amp; B3393</f>
        <v>https://www.google.com/maps/search/?api=1&amp;query=-30.88901490148550,-55.55096379272570</v>
      </c>
      <c r="G3393" s="33" t="str">
        <f t="array" ref="G3393">"https://earth.google.com/web/search/" &amp; A3393 &amp; "," &amp; B3393</f>
        <v>https://earth.google.com/web/search/-30.88901490148550,-55.55096379272570</v>
      </c>
      <c r="H3393" s="12"/>
      <c r="I3393" s="12"/>
      <c r="J3393" s="12"/>
      <c r="K3393" s="12"/>
      <c r="L3393" s="12"/>
      <c r="M3393" s="12"/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/>
      <c r="AA3393" s="12"/>
    </row>
    <row r="3394" ht="26.25" customHeight="1">
      <c r="A3394" s="34" t="s">
        <v>6798</v>
      </c>
      <c r="B3394" s="35" t="s">
        <v>6799</v>
      </c>
      <c r="C3394" s="36">
        <v>4.0</v>
      </c>
      <c r="D3394" s="37">
        <v>52.0</v>
      </c>
      <c r="E3394" s="37">
        <v>7.0</v>
      </c>
      <c r="F3394" s="24" t="str">
        <f t="array" ref="F3394">"https://www.google.com/maps/search/?api=1&amp;query=" &amp; A3394 &amp; "," &amp; B3394</f>
        <v>https://www.google.com/maps/search/?api=1&amp;query=-30.88878600665280,-5.55508177727074</v>
      </c>
      <c r="G3394" s="25" t="str">
        <f t="array" ref="G3394">"https://earth.google.com/web/search/" &amp; A3394 &amp; "," &amp; B3394</f>
        <v>https://earth.google.com/web/search/-30.88878600665280,-5.55508177727074</v>
      </c>
      <c r="H3394" s="12"/>
      <c r="I3394" s="12"/>
      <c r="J3394" s="12"/>
      <c r="K3394" s="12"/>
      <c r="L3394" s="12"/>
      <c r="M3394" s="12"/>
      <c r="N3394" s="12"/>
      <c r="O3394" s="12"/>
      <c r="P3394" s="12"/>
      <c r="Q3394" s="12"/>
      <c r="R3394" s="12"/>
      <c r="S3394" s="12"/>
      <c r="T3394" s="12"/>
      <c r="U3394" s="12"/>
      <c r="V3394" s="12"/>
      <c r="W3394" s="12"/>
      <c r="X3394" s="12"/>
      <c r="Y3394" s="12"/>
      <c r="Z3394" s="12"/>
      <c r="AA3394" s="12"/>
    </row>
    <row r="3395" ht="26.25" customHeight="1">
      <c r="A3395" s="28" t="s">
        <v>6800</v>
      </c>
      <c r="B3395" s="29" t="s">
        <v>6801</v>
      </c>
      <c r="C3395" s="30">
        <v>4.0</v>
      </c>
      <c r="D3395" s="31">
        <v>52.0</v>
      </c>
      <c r="E3395" s="31">
        <v>8.0</v>
      </c>
      <c r="F3395" s="32" t="str">
        <f t="array" ref="F3395">"https://www.google.com/maps/search/?api=1&amp;query=" &amp; A3395 &amp; "," &amp; B3395</f>
        <v>https://www.google.com/maps/search/?api=1&amp;query=-30.88873361899760,-55.55093524669800</v>
      </c>
      <c r="G3395" s="33" t="str">
        <f t="array" ref="G3395">"https://earth.google.com/web/search/" &amp; A3395 &amp; "," &amp; B3395</f>
        <v>https://earth.google.com/web/search/-30.88873361899760,-55.55093524669800</v>
      </c>
      <c r="H3395" s="12"/>
      <c r="I3395" s="12"/>
      <c r="J3395" s="12"/>
      <c r="K3395" s="12"/>
      <c r="L3395" s="12"/>
      <c r="M3395" s="12"/>
      <c r="N3395" s="12"/>
      <c r="O3395" s="12"/>
      <c r="P3395" s="12"/>
      <c r="Q3395" s="12"/>
      <c r="R3395" s="12"/>
      <c r="S3395" s="12"/>
      <c r="T3395" s="12"/>
      <c r="U3395" s="12"/>
      <c r="V3395" s="12"/>
      <c r="W3395" s="12"/>
      <c r="X3395" s="12"/>
      <c r="Y3395" s="12"/>
      <c r="Z3395" s="12"/>
      <c r="AA3395" s="12"/>
    </row>
    <row r="3396" ht="26.25" customHeight="1">
      <c r="A3396" s="34" t="s">
        <v>6802</v>
      </c>
      <c r="B3396" s="35" t="s">
        <v>6803</v>
      </c>
      <c r="C3396" s="36">
        <v>4.0</v>
      </c>
      <c r="D3396" s="37">
        <v>52.0</v>
      </c>
      <c r="E3396" s="37">
        <v>9.0</v>
      </c>
      <c r="F3396" s="24" t="str">
        <f t="array" ref="F3396">"https://www.google.com/maps/search/?api=1&amp;query=" &amp; A3396 &amp; "," &amp; B3396</f>
        <v>https://www.google.com/maps/search/?api=1&amp;query=-30.88865588584190,-55.55107863058940</v>
      </c>
      <c r="G3396" s="25" t="str">
        <f t="array" ref="G3396">"https://earth.google.com/web/search/" &amp; A3396 &amp; "," &amp; B3396</f>
        <v>https://earth.google.com/web/search/-30.88865588584190,-55.55107863058940</v>
      </c>
      <c r="H3396" s="12"/>
      <c r="I3396" s="12"/>
      <c r="J3396" s="12"/>
      <c r="K3396" s="12"/>
      <c r="L3396" s="12"/>
      <c r="M3396" s="12"/>
      <c r="N3396" s="12"/>
      <c r="O3396" s="12"/>
      <c r="P3396" s="12"/>
      <c r="Q3396" s="12"/>
      <c r="R3396" s="12"/>
      <c r="S3396" s="12"/>
      <c r="T3396" s="12"/>
      <c r="U3396" s="12"/>
      <c r="V3396" s="12"/>
      <c r="W3396" s="12"/>
      <c r="X3396" s="12"/>
      <c r="Y3396" s="12"/>
      <c r="Z3396" s="12"/>
      <c r="AA3396" s="12"/>
    </row>
    <row r="3397" ht="26.25" customHeight="1">
      <c r="A3397" s="28" t="s">
        <v>6804</v>
      </c>
      <c r="B3397" s="29" t="s">
        <v>6805</v>
      </c>
      <c r="C3397" s="30">
        <v>4.0</v>
      </c>
      <c r="D3397" s="31">
        <v>52.0</v>
      </c>
      <c r="E3397" s="31">
        <v>10.0</v>
      </c>
      <c r="F3397" s="32" t="str">
        <f t="array" ref="F3397">"https://www.google.com/maps/search/?api=1&amp;query=" &amp; A3397 &amp; "," &amp; B3397</f>
        <v>https://www.google.com/maps/search/?api=1&amp;query=-30.88853022357930,-55.55133551975980</v>
      </c>
      <c r="G3397" s="33" t="str">
        <f t="array" ref="G3397">"https://earth.google.com/web/search/" &amp; A3397 &amp; "," &amp; B3397</f>
        <v>https://earth.google.com/web/search/-30.88853022357930,-55.55133551975980</v>
      </c>
      <c r="H3397" s="12"/>
      <c r="I3397" s="12"/>
      <c r="J3397" s="12"/>
      <c r="K3397" s="12"/>
      <c r="L3397" s="12"/>
      <c r="M3397" s="12"/>
      <c r="N3397" s="12"/>
      <c r="O3397" s="12"/>
      <c r="P3397" s="12"/>
      <c r="Q3397" s="12"/>
      <c r="R3397" s="12"/>
      <c r="S3397" s="12"/>
      <c r="T3397" s="12"/>
      <c r="U3397" s="12"/>
      <c r="V3397" s="12"/>
      <c r="W3397" s="12"/>
      <c r="X3397" s="12"/>
      <c r="Y3397" s="12"/>
      <c r="Z3397" s="12"/>
      <c r="AA3397" s="12"/>
    </row>
    <row r="3398" ht="26.25" customHeight="1">
      <c r="A3398" s="34" t="s">
        <v>6806</v>
      </c>
      <c r="B3398" s="35" t="s">
        <v>6807</v>
      </c>
      <c r="C3398" s="36">
        <v>4.0</v>
      </c>
      <c r="D3398" s="37">
        <v>5.0</v>
      </c>
      <c r="E3398" s="37">
        <v>11.0</v>
      </c>
      <c r="F3398" s="24" t="str">
        <f t="array" ref="F3398">"https://www.google.com/maps/search/?api=1&amp;query=" &amp; A3398 &amp; "," &amp; B3398</f>
        <v>https://www.google.com/maps/search/?api=1&amp;query=-30.88844463209590,-55.55148477240270</v>
      </c>
      <c r="G3398" s="25" t="str">
        <f t="array" ref="G3398">"https://earth.google.com/web/search/" &amp; A3398 &amp; "," &amp; B3398</f>
        <v>https://earth.google.com/web/search/-30.88844463209590,-55.55148477240270</v>
      </c>
      <c r="H3398" s="12"/>
      <c r="I3398" s="12"/>
      <c r="J3398" s="12"/>
      <c r="K3398" s="12"/>
      <c r="L3398" s="12"/>
      <c r="M3398" s="12"/>
      <c r="N3398" s="12"/>
      <c r="O3398" s="12"/>
      <c r="P3398" s="12"/>
      <c r="Q3398" s="12"/>
      <c r="R3398" s="12"/>
      <c r="S3398" s="12"/>
      <c r="T3398" s="12"/>
      <c r="U3398" s="12"/>
      <c r="V3398" s="12"/>
      <c r="W3398" s="12"/>
      <c r="X3398" s="12"/>
      <c r="Y3398" s="12"/>
      <c r="Z3398" s="12"/>
      <c r="AA3398" s="12"/>
    </row>
    <row r="3399" ht="26.25" customHeight="1">
      <c r="A3399" s="28" t="s">
        <v>6808</v>
      </c>
      <c r="B3399" s="29" t="s">
        <v>6809</v>
      </c>
      <c r="C3399" s="30">
        <v>4.0</v>
      </c>
      <c r="D3399" s="31">
        <v>52.0</v>
      </c>
      <c r="E3399" s="31">
        <v>12.0</v>
      </c>
      <c r="F3399" s="32" t="str">
        <f t="array" ref="F3399">"https://www.google.com/maps/search/?api=1&amp;query=" &amp; A3399 &amp; "," &amp; B3399</f>
        <v>https://www.google.com/maps/search/?api=1&amp;query=-30.88860766836010,-55.55178358333100</v>
      </c>
      <c r="G3399" s="33" t="str">
        <f t="array" ref="G3399">"https://earth.google.com/web/search/" &amp; A3399 &amp; "," &amp; B3399</f>
        <v>https://earth.google.com/web/search/-30.88860766836010,-55.55178358333100</v>
      </c>
      <c r="H3399" s="12"/>
      <c r="I3399" s="12"/>
      <c r="J3399" s="12"/>
      <c r="K3399" s="12"/>
      <c r="L3399" s="12"/>
      <c r="M3399" s="12"/>
      <c r="N3399" s="12"/>
      <c r="O3399" s="12"/>
      <c r="P3399" s="12"/>
      <c r="Q3399" s="12"/>
      <c r="R3399" s="12"/>
      <c r="S3399" s="12"/>
      <c r="T3399" s="12"/>
      <c r="U3399" s="12"/>
      <c r="V3399" s="12"/>
      <c r="W3399" s="12"/>
      <c r="X3399" s="12"/>
      <c r="Y3399" s="12"/>
      <c r="Z3399" s="12"/>
      <c r="AA3399" s="12"/>
    </row>
    <row r="3400" ht="26.25" customHeight="1">
      <c r="A3400" s="34" t="s">
        <v>6810</v>
      </c>
      <c r="B3400" s="35" t="s">
        <v>6811</v>
      </c>
      <c r="C3400" s="36">
        <v>4.0</v>
      </c>
      <c r="D3400" s="37">
        <v>52.0</v>
      </c>
      <c r="E3400" s="37">
        <v>13.0</v>
      </c>
      <c r="F3400" s="24" t="str">
        <f t="array" ref="F3400">"https://www.google.com/maps/search/?api=1&amp;query=" &amp; A3400 &amp; "," &amp; B3400</f>
        <v>https://www.google.com/maps/search/?api=1&amp;query=-30.88877688729400,-55.55191811134140</v>
      </c>
      <c r="G3400" s="25" t="str">
        <f t="array" ref="G3400">"https://earth.google.com/web/search/" &amp; A3400 &amp; "," &amp; B3400</f>
        <v>https://earth.google.com/web/search/-30.88877688729400,-55.55191811134140</v>
      </c>
      <c r="H3400" s="12"/>
      <c r="I3400" s="12"/>
      <c r="J3400" s="12"/>
      <c r="K3400" s="12"/>
      <c r="L3400" s="12"/>
      <c r="M3400" s="12"/>
      <c r="N3400" s="12"/>
      <c r="O3400" s="12"/>
      <c r="P3400" s="12"/>
      <c r="Q3400" s="12"/>
      <c r="R3400" s="12"/>
      <c r="S3400" s="12"/>
      <c r="T3400" s="12"/>
      <c r="U3400" s="12"/>
      <c r="V3400" s="12"/>
      <c r="W3400" s="12"/>
      <c r="X3400" s="12"/>
      <c r="Y3400" s="12"/>
      <c r="Z3400" s="12"/>
      <c r="AA3400" s="12"/>
    </row>
    <row r="3401" ht="26.25" customHeight="1">
      <c r="A3401" s="28" t="s">
        <v>6812</v>
      </c>
      <c r="B3401" s="29" t="s">
        <v>6813</v>
      </c>
      <c r="C3401" s="30">
        <v>4.0</v>
      </c>
      <c r="D3401" s="31">
        <v>52.0</v>
      </c>
      <c r="E3401" s="31">
        <v>14.0</v>
      </c>
      <c r="F3401" s="32" t="str">
        <f t="array" ref="F3401">"https://www.google.com/maps/search/?api=1&amp;query=" &amp; A3401 &amp; "," &amp; B3401</f>
        <v>https://www.google.com/maps/search/?api=1&amp;query=-30.88885331242410,-5.55519602153025</v>
      </c>
      <c r="G3401" s="33" t="str">
        <f t="array" ref="G3401">"https://earth.google.com/web/search/" &amp; A3401 &amp; "," &amp; B3401</f>
        <v>https://earth.google.com/web/search/-30.88885331242410,-5.55519602153025</v>
      </c>
      <c r="H3401" s="12"/>
      <c r="I3401" s="12"/>
      <c r="J3401" s="12"/>
      <c r="K3401" s="12"/>
      <c r="L3401" s="12"/>
      <c r="M3401" s="12"/>
      <c r="N3401" s="12"/>
      <c r="O3401" s="12"/>
      <c r="P3401" s="12"/>
      <c r="Q3401" s="12"/>
      <c r="R3401" s="12"/>
      <c r="S3401" s="12"/>
      <c r="T3401" s="12"/>
      <c r="U3401" s="12"/>
      <c r="V3401" s="12"/>
      <c r="W3401" s="12"/>
      <c r="X3401" s="12"/>
      <c r="Y3401" s="12"/>
      <c r="Z3401" s="12"/>
      <c r="AA3401" s="12"/>
    </row>
    <row r="3402" ht="26.25" customHeight="1">
      <c r="A3402" s="34" t="s">
        <v>6814</v>
      </c>
      <c r="B3402" s="35" t="s">
        <v>6815</v>
      </c>
      <c r="C3402" s="36">
        <v>4.0</v>
      </c>
      <c r="D3402" s="37">
        <v>52.0</v>
      </c>
      <c r="E3402" s="37">
        <v>15.0</v>
      </c>
      <c r="F3402" s="24" t="str">
        <f t="array" ref="F3402">"https://www.google.com/maps/search/?api=1&amp;query=" &amp; A3402 &amp; "," &amp; B3402</f>
        <v>https://www.google.com/maps/search/?api=1&amp;query=-30.88891510831290,-55.55201166231030</v>
      </c>
      <c r="G3402" s="25" t="str">
        <f t="array" ref="G3402">"https://earth.google.com/web/search/" &amp; A3402 &amp; "," &amp; B3402</f>
        <v>https://earth.google.com/web/search/-30.88891510831290,-55.55201166231030</v>
      </c>
      <c r="H3402" s="12"/>
      <c r="I3402" s="12"/>
      <c r="J3402" s="12"/>
      <c r="K3402" s="12"/>
      <c r="L3402" s="12"/>
      <c r="M3402" s="12"/>
      <c r="N3402" s="12"/>
      <c r="O3402" s="12"/>
      <c r="P3402" s="12"/>
      <c r="Q3402" s="12"/>
      <c r="R3402" s="12"/>
      <c r="S3402" s="12"/>
      <c r="T3402" s="12"/>
      <c r="U3402" s="12"/>
      <c r="V3402" s="12"/>
      <c r="W3402" s="12"/>
      <c r="X3402" s="12"/>
      <c r="Y3402" s="12"/>
      <c r="Z3402" s="12"/>
      <c r="AA3402" s="12"/>
    </row>
    <row r="3403" ht="26.25" customHeight="1">
      <c r="A3403" s="28" t="s">
        <v>6816</v>
      </c>
      <c r="B3403" s="29" t="s">
        <v>6817</v>
      </c>
      <c r="C3403" s="30">
        <v>4.0</v>
      </c>
      <c r="D3403" s="31">
        <v>52.0</v>
      </c>
      <c r="E3403" s="31">
        <v>16.0</v>
      </c>
      <c r="F3403" s="32" t="str">
        <f t="array" ref="F3403">"https://www.google.com/maps/search/?api=1&amp;query=" &amp; A3403 &amp; "," &amp; B3403</f>
        <v>https://www.google.com/maps/search/?api=1&amp;query=-30.88903106933930,-55.55210914979240</v>
      </c>
      <c r="G3403" s="33" t="str">
        <f t="array" ref="G3403">"https://earth.google.com/web/search/" &amp; A3403 &amp; "," &amp; B3403</f>
        <v>https://earth.google.com/web/search/-30.88903106933930,-55.55210914979240</v>
      </c>
      <c r="H3403" s="12"/>
      <c r="I3403" s="12"/>
      <c r="J3403" s="12"/>
      <c r="K3403" s="12"/>
      <c r="L3403" s="12"/>
      <c r="M3403" s="12"/>
      <c r="N3403" s="12"/>
      <c r="O3403" s="12"/>
      <c r="P3403" s="12"/>
      <c r="Q3403" s="12"/>
      <c r="R3403" s="12"/>
      <c r="S3403" s="12"/>
      <c r="T3403" s="12"/>
      <c r="U3403" s="12"/>
      <c r="V3403" s="12"/>
      <c r="W3403" s="12"/>
      <c r="X3403" s="12"/>
      <c r="Y3403" s="12"/>
      <c r="Z3403" s="12"/>
      <c r="AA3403" s="12"/>
    </row>
    <row r="3404" ht="26.25" customHeight="1">
      <c r="A3404" s="34" t="s">
        <v>6818</v>
      </c>
      <c r="B3404" s="35" t="s">
        <v>6819</v>
      </c>
      <c r="C3404" s="36">
        <v>4.0</v>
      </c>
      <c r="D3404" s="37">
        <v>53.0</v>
      </c>
      <c r="E3404" s="37">
        <v>1.0</v>
      </c>
      <c r="F3404" s="24" t="str">
        <f t="array" ref="F3404">"https://www.google.com/maps/search/?api=1&amp;query=" &amp; A3404 &amp; "," &amp; B3404</f>
        <v>https://www.google.com/maps/search/?api=1&amp;query=-30.88960034352960,-55.55116343598750</v>
      </c>
      <c r="G3404" s="25" t="str">
        <f t="array" ref="G3404">"https://earth.google.com/web/search/" &amp; A3404 &amp; "," &amp; B3404</f>
        <v>https://earth.google.com/web/search/-30.88960034352960,-55.55116343598750</v>
      </c>
      <c r="H3404" s="12"/>
      <c r="I3404" s="12"/>
      <c r="J3404" s="12"/>
      <c r="K3404" s="12"/>
      <c r="L3404" s="12"/>
      <c r="M3404" s="12"/>
      <c r="N3404" s="12"/>
      <c r="O3404" s="12"/>
      <c r="P3404" s="12"/>
      <c r="Q3404" s="12"/>
      <c r="R3404" s="12"/>
      <c r="S3404" s="12"/>
      <c r="T3404" s="12"/>
      <c r="U3404" s="12"/>
      <c r="V3404" s="12"/>
      <c r="W3404" s="12"/>
      <c r="X3404" s="12"/>
      <c r="Y3404" s="12"/>
      <c r="Z3404" s="12"/>
      <c r="AA3404" s="12"/>
    </row>
    <row r="3405" ht="26.25" customHeight="1">
      <c r="A3405" s="28" t="s">
        <v>6820</v>
      </c>
      <c r="B3405" s="29" t="s">
        <v>6821</v>
      </c>
      <c r="C3405" s="30">
        <v>4.0</v>
      </c>
      <c r="D3405" s="31">
        <v>53.0</v>
      </c>
      <c r="E3405" s="31">
        <v>2.0</v>
      </c>
      <c r="F3405" s="32" t="str">
        <f t="array" ref="F3405">"https://www.google.com/maps/search/?api=1&amp;query=" &amp; A3405 &amp; "," &amp; B3405</f>
        <v>https://www.google.com/maps/search/?api=1&amp;query=-30.88963678319720,-55.55103601630940</v>
      </c>
      <c r="G3405" s="33" t="str">
        <f t="array" ref="G3405">"https://earth.google.com/web/search/" &amp; A3405 &amp; "," &amp; B3405</f>
        <v>https://earth.google.com/web/search/-30.88963678319720,-55.55103601630940</v>
      </c>
      <c r="H3405" s="12"/>
      <c r="I3405" s="12"/>
      <c r="J3405" s="12"/>
      <c r="K3405" s="12"/>
      <c r="L3405" s="12"/>
      <c r="M3405" s="12"/>
      <c r="N3405" s="12"/>
      <c r="O3405" s="12"/>
      <c r="P3405" s="12"/>
      <c r="Q3405" s="12"/>
      <c r="R3405" s="12"/>
      <c r="S3405" s="12"/>
      <c r="T3405" s="12"/>
      <c r="U3405" s="12"/>
      <c r="V3405" s="12"/>
      <c r="W3405" s="12"/>
      <c r="X3405" s="12"/>
      <c r="Y3405" s="12"/>
      <c r="Z3405" s="12"/>
      <c r="AA3405" s="12"/>
    </row>
    <row r="3406" ht="26.25" customHeight="1">
      <c r="A3406" s="34" t="s">
        <v>6822</v>
      </c>
      <c r="B3406" s="35" t="s">
        <v>6823</v>
      </c>
      <c r="C3406" s="36">
        <v>4.0</v>
      </c>
      <c r="D3406" s="37">
        <v>53.0</v>
      </c>
      <c r="E3406" s="37">
        <v>3.0</v>
      </c>
      <c r="F3406" s="24" t="str">
        <f t="array" ref="F3406">"https://www.google.com/maps/search/?api=1&amp;query=" &amp; A3406 &amp; "," &amp; B3406</f>
        <v>https://www.google.com/maps/search/?api=1&amp;query=-30.88975111729270,-55.55081565475740</v>
      </c>
      <c r="G3406" s="25" t="str">
        <f t="array" ref="G3406">"https://earth.google.com/web/search/" &amp; A3406 &amp; "," &amp; B3406</f>
        <v>https://earth.google.com/web/search/-30.88975111729270,-55.55081565475740</v>
      </c>
      <c r="H3406" s="12"/>
      <c r="I3406" s="12"/>
      <c r="J3406" s="12"/>
      <c r="K3406" s="12"/>
      <c r="L3406" s="12"/>
      <c r="M3406" s="12"/>
      <c r="N3406" s="12"/>
      <c r="O3406" s="12"/>
      <c r="P3406" s="12"/>
      <c r="Q3406" s="12"/>
      <c r="R3406" s="12"/>
      <c r="S3406" s="12"/>
      <c r="T3406" s="12"/>
      <c r="U3406" s="12"/>
      <c r="V3406" s="12"/>
      <c r="W3406" s="12"/>
      <c r="X3406" s="12"/>
      <c r="Y3406" s="12"/>
      <c r="Z3406" s="12"/>
      <c r="AA3406" s="12"/>
    </row>
    <row r="3407" ht="26.25" customHeight="1">
      <c r="A3407" s="28" t="s">
        <v>6824</v>
      </c>
      <c r="B3407" s="29" t="s">
        <v>6825</v>
      </c>
      <c r="C3407" s="30">
        <v>4.0</v>
      </c>
      <c r="D3407" s="31">
        <v>53.0</v>
      </c>
      <c r="E3407" s="31">
        <v>4.0</v>
      </c>
      <c r="F3407" s="32" t="str">
        <f t="array" ref="F3407">"https://www.google.com/maps/search/?api=1&amp;query=" &amp; A3407 &amp; "," &amp; B3407</f>
        <v>https://www.google.com/maps/search/?api=1&amp;query=-30.88905916068580,-55.55035004049270</v>
      </c>
      <c r="G3407" s="33" t="str">
        <f t="array" ref="G3407">"https://earth.google.com/web/search/" &amp; A3407 &amp; "," &amp; B3407</f>
        <v>https://earth.google.com/web/search/-30.88905916068580,-55.55035004049270</v>
      </c>
      <c r="H3407" s="12"/>
      <c r="I3407" s="12"/>
      <c r="J3407" s="12"/>
      <c r="K3407" s="12"/>
      <c r="L3407" s="12"/>
      <c r="M3407" s="12"/>
      <c r="N3407" s="12"/>
      <c r="O3407" s="12"/>
      <c r="P3407" s="12"/>
      <c r="Q3407" s="12"/>
      <c r="R3407" s="12"/>
      <c r="S3407" s="12"/>
      <c r="T3407" s="12"/>
      <c r="U3407" s="12"/>
      <c r="V3407" s="12"/>
      <c r="W3407" s="12"/>
      <c r="X3407" s="12"/>
      <c r="Y3407" s="12"/>
      <c r="Z3407" s="12"/>
      <c r="AA3407" s="12"/>
    </row>
    <row r="3408" ht="26.25" customHeight="1">
      <c r="A3408" s="34" t="s">
        <v>6826</v>
      </c>
      <c r="B3408" s="35" t="s">
        <v>6827</v>
      </c>
      <c r="C3408" s="36">
        <v>4.0</v>
      </c>
      <c r="D3408" s="37">
        <v>53.0</v>
      </c>
      <c r="E3408" s="37">
        <v>5.0</v>
      </c>
      <c r="F3408" s="24" t="str">
        <f t="array" ref="F3408">"https://www.google.com/maps/search/?api=1&amp;query=" &amp; A3408 &amp; "," &amp; B3408</f>
        <v>https://www.google.com/maps/search/?api=1&amp;query=-30.88896607049430,-55.55049462268000</v>
      </c>
      <c r="G3408" s="25" t="str">
        <f t="array" ref="G3408">"https://earth.google.com/web/search/" &amp; A3408 &amp; "," &amp; B3408</f>
        <v>https://earth.google.com/web/search/-30.88896607049430,-55.55049462268000</v>
      </c>
      <c r="H3408" s="12"/>
      <c r="I3408" s="12"/>
      <c r="J3408" s="12"/>
      <c r="K3408" s="12"/>
      <c r="L3408" s="12"/>
      <c r="M3408" s="12"/>
      <c r="N3408" s="12"/>
      <c r="O3408" s="12"/>
      <c r="P3408" s="12"/>
      <c r="Q3408" s="12"/>
      <c r="R3408" s="12"/>
      <c r="S3408" s="12"/>
      <c r="T3408" s="12"/>
      <c r="U3408" s="12"/>
      <c r="V3408" s="12"/>
      <c r="W3408" s="12"/>
      <c r="X3408" s="12"/>
      <c r="Y3408" s="12"/>
      <c r="Z3408" s="12"/>
      <c r="AA3408" s="12"/>
    </row>
    <row r="3409" ht="26.25" customHeight="1">
      <c r="A3409" s="28" t="s">
        <v>6828</v>
      </c>
      <c r="B3409" s="29" t="s">
        <v>6829</v>
      </c>
      <c r="C3409" s="30">
        <v>4.0</v>
      </c>
      <c r="D3409" s="31">
        <v>53.0</v>
      </c>
      <c r="E3409" s="31">
        <v>6.0</v>
      </c>
      <c r="F3409" s="32" t="str">
        <f t="array" ref="F3409">"https://www.google.com/maps/search/?api=1&amp;query=" &amp; A3409 &amp; "," &amp; B3409</f>
        <v>https://www.google.com/maps/search/?api=1&amp;query=-30.88887220898290,-55.55068416934240</v>
      </c>
      <c r="G3409" s="33" t="str">
        <f t="array" ref="G3409">"https://earth.google.com/web/search/" &amp; A3409 &amp; "," &amp; B3409</f>
        <v>https://earth.google.com/web/search/-30.88887220898290,-55.55068416934240</v>
      </c>
      <c r="H3409" s="12"/>
      <c r="I3409" s="12"/>
      <c r="J3409" s="12"/>
      <c r="K3409" s="12"/>
      <c r="L3409" s="12"/>
      <c r="M3409" s="12"/>
      <c r="N3409" s="12"/>
      <c r="O3409" s="12"/>
      <c r="P3409" s="12"/>
      <c r="Q3409" s="12"/>
      <c r="R3409" s="12"/>
      <c r="S3409" s="12"/>
      <c r="T3409" s="12"/>
      <c r="U3409" s="12"/>
      <c r="V3409" s="12"/>
      <c r="W3409" s="12"/>
      <c r="X3409" s="12"/>
      <c r="Y3409" s="12"/>
      <c r="Z3409" s="12"/>
      <c r="AA3409" s="12"/>
    </row>
    <row r="3410" ht="26.25" customHeight="1">
      <c r="A3410" s="34" t="s">
        <v>6830</v>
      </c>
      <c r="B3410" s="35" t="s">
        <v>6831</v>
      </c>
      <c r="C3410" s="36">
        <v>4.0</v>
      </c>
      <c r="D3410" s="37">
        <v>53.0</v>
      </c>
      <c r="E3410" s="37">
        <v>7.0</v>
      </c>
      <c r="F3410" s="24" t="str">
        <f t="array" ref="F3410">"https://www.google.com/maps/search/?api=1&amp;query=" &amp; A3410 &amp; "," &amp; B3410</f>
        <v>https://www.google.com/maps/search/?api=1&amp;query=-30.88893216770990,-55.55080220175260</v>
      </c>
      <c r="G3410" s="25" t="str">
        <f t="array" ref="G3410">"https://earth.google.com/web/search/" &amp; A3410 &amp; "," &amp; B3410</f>
        <v>https://earth.google.com/web/search/-30.88893216770990,-55.55080220175260</v>
      </c>
      <c r="H3410" s="12"/>
      <c r="I3410" s="12"/>
      <c r="J3410" s="12"/>
      <c r="K3410" s="12"/>
      <c r="L3410" s="12"/>
      <c r="M3410" s="12"/>
      <c r="N3410" s="12"/>
      <c r="O3410" s="12"/>
      <c r="P3410" s="12"/>
      <c r="Q3410" s="12"/>
      <c r="R3410" s="12"/>
      <c r="S3410" s="12"/>
      <c r="T3410" s="12"/>
      <c r="U3410" s="12"/>
      <c r="V3410" s="12"/>
      <c r="W3410" s="12"/>
      <c r="X3410" s="12"/>
      <c r="Y3410" s="12"/>
      <c r="Z3410" s="12"/>
      <c r="AA3410" s="12"/>
    </row>
    <row r="3411" ht="26.25" customHeight="1">
      <c r="A3411" s="28" t="s">
        <v>6832</v>
      </c>
      <c r="B3411" s="29" t="s">
        <v>6833</v>
      </c>
      <c r="C3411" s="30">
        <v>4.0</v>
      </c>
      <c r="D3411" s="31">
        <v>53.0</v>
      </c>
      <c r="E3411" s="31">
        <v>8.0</v>
      </c>
      <c r="F3411" s="32" t="str">
        <f t="array" ref="F3411">"https://www.google.com/maps/search/?api=1&amp;query=" &amp; A3411 &amp; "," &amp; B3411</f>
        <v>https://www.google.com/maps/search/?api=1&amp;query=-0.30889091277732,-55.55089579420110</v>
      </c>
      <c r="G3411" s="33" t="str">
        <f t="array" ref="G3411">"https://earth.google.com/web/search/" &amp; A3411 &amp; "," &amp; B3411</f>
        <v>https://earth.google.com/web/search/-0.30889091277732,-55.55089579420110</v>
      </c>
      <c r="H3411" s="12"/>
      <c r="I3411" s="12"/>
      <c r="J3411" s="12"/>
      <c r="K3411" s="12"/>
      <c r="L3411" s="12"/>
      <c r="M3411" s="12"/>
      <c r="N3411" s="12"/>
      <c r="O3411" s="12"/>
      <c r="P3411" s="12"/>
      <c r="Q3411" s="12"/>
      <c r="R3411" s="12"/>
      <c r="S3411" s="12"/>
      <c r="T3411" s="12"/>
      <c r="U3411" s="12"/>
      <c r="V3411" s="12"/>
      <c r="W3411" s="12"/>
      <c r="X3411" s="12"/>
      <c r="Y3411" s="12"/>
      <c r="Z3411" s="12"/>
      <c r="AA3411" s="12"/>
    </row>
    <row r="3412" ht="26.25" customHeight="1">
      <c r="A3412" s="34" t="s">
        <v>6834</v>
      </c>
      <c r="B3412" s="35" t="s">
        <v>6835</v>
      </c>
      <c r="C3412" s="36">
        <v>4.0</v>
      </c>
      <c r="D3412" s="37">
        <v>53.0</v>
      </c>
      <c r="E3412" s="37">
        <v>9.0</v>
      </c>
      <c r="F3412" s="24" t="str">
        <f t="array" ref="F3412">"https://www.google.com/maps/search/?api=1&amp;query=" &amp; A3412 &amp; "," &amp; B3412</f>
        <v>https://www.google.com/maps/search/?api=1&amp;query=-30.88919865282930,-55.55096478088510</v>
      </c>
      <c r="G3412" s="25" t="str">
        <f t="array" ref="G3412">"https://earth.google.com/web/search/" &amp; A3412 &amp; "," &amp; B3412</f>
        <v>https://earth.google.com/web/search/-30.88919865282930,-55.55096478088510</v>
      </c>
      <c r="H3412" s="12"/>
      <c r="I3412" s="12"/>
      <c r="J3412" s="12"/>
      <c r="K3412" s="12"/>
      <c r="L3412" s="12"/>
      <c r="M3412" s="12"/>
      <c r="N3412" s="12"/>
      <c r="O3412" s="12"/>
      <c r="P3412" s="12"/>
      <c r="Q3412" s="12"/>
      <c r="R3412" s="12"/>
      <c r="S3412" s="12"/>
      <c r="T3412" s="12"/>
      <c r="U3412" s="12"/>
      <c r="V3412" s="12"/>
      <c r="W3412" s="12"/>
      <c r="X3412" s="12"/>
      <c r="Y3412" s="12"/>
      <c r="Z3412" s="12"/>
      <c r="AA3412" s="12"/>
    </row>
    <row r="3413" ht="26.25" customHeight="1">
      <c r="A3413" s="28" t="s">
        <v>6836</v>
      </c>
      <c r="B3413" s="29" t="s">
        <v>6837</v>
      </c>
      <c r="C3413" s="30">
        <v>4.0</v>
      </c>
      <c r="D3413" s="31">
        <v>53.0</v>
      </c>
      <c r="E3413" s="31">
        <v>10.0</v>
      </c>
      <c r="F3413" s="32" t="str">
        <f t="array" ref="F3413">"https://www.google.com/maps/search/?api=1&amp;query=" &amp; A3413 &amp; "," &amp; B3413</f>
        <v>https://www.google.com/maps/search/?api=1&amp;query=-30.88932628005950,-55.55105346361190</v>
      </c>
      <c r="G3413" s="33" t="str">
        <f t="array" ref="G3413">"https://earth.google.com/web/search/" &amp; A3413 &amp; "," &amp; B3413</f>
        <v>https://earth.google.com/web/search/-30.88932628005950,-55.55105346361190</v>
      </c>
      <c r="H3413" s="12"/>
      <c r="I3413" s="12"/>
      <c r="J3413" s="12"/>
      <c r="K3413" s="12"/>
      <c r="L3413" s="12"/>
      <c r="M3413" s="12"/>
      <c r="N3413" s="12"/>
      <c r="O3413" s="12"/>
      <c r="P3413" s="12"/>
      <c r="Q3413" s="12"/>
      <c r="R3413" s="12"/>
      <c r="S3413" s="12"/>
      <c r="T3413" s="12"/>
      <c r="U3413" s="12"/>
      <c r="V3413" s="12"/>
      <c r="W3413" s="12"/>
      <c r="X3413" s="12"/>
      <c r="Y3413" s="12"/>
      <c r="Z3413" s="12"/>
      <c r="AA3413" s="12"/>
    </row>
    <row r="3414" ht="26.25" customHeight="1">
      <c r="A3414" s="34" t="s">
        <v>6838</v>
      </c>
      <c r="B3414" s="35" t="s">
        <v>6839</v>
      </c>
      <c r="C3414" s="36">
        <v>4.0</v>
      </c>
      <c r="D3414" s="37">
        <v>53.0</v>
      </c>
      <c r="E3414" s="37">
        <v>11.0</v>
      </c>
      <c r="F3414" s="24" t="str">
        <f t="array" ref="F3414">"https://www.google.com/maps/search/?api=1&amp;query=" &amp; A3414 &amp; "," &amp; B3414</f>
        <v>https://www.google.com/maps/search/?api=1&amp;query=-30.88950590793910,-55.55118661787770</v>
      </c>
      <c r="G3414" s="25" t="str">
        <f t="array" ref="G3414">"https://earth.google.com/web/search/" &amp; A3414 &amp; "," &amp; B3414</f>
        <v>https://earth.google.com/web/search/-30.88950590793910,-55.55118661787770</v>
      </c>
      <c r="H3414" s="12"/>
      <c r="I3414" s="12"/>
      <c r="J3414" s="12"/>
      <c r="K3414" s="12"/>
      <c r="L3414" s="12"/>
      <c r="M3414" s="12"/>
      <c r="N3414" s="12"/>
      <c r="O3414" s="12"/>
      <c r="P3414" s="12"/>
      <c r="Q3414" s="12"/>
      <c r="R3414" s="12"/>
      <c r="S3414" s="12"/>
      <c r="T3414" s="12"/>
      <c r="U3414" s="12"/>
      <c r="V3414" s="12"/>
      <c r="W3414" s="12"/>
      <c r="X3414" s="12"/>
      <c r="Y3414" s="12"/>
      <c r="Z3414" s="12"/>
      <c r="AA3414" s="12"/>
    </row>
    <row r="3415" ht="26.25" customHeight="1">
      <c r="A3415" s="28" t="s">
        <v>6840</v>
      </c>
      <c r="B3415" s="29" t="s">
        <v>6841</v>
      </c>
      <c r="C3415" s="30">
        <v>4.0</v>
      </c>
      <c r="D3415" s="31">
        <v>54.0</v>
      </c>
      <c r="E3415" s="31">
        <v>1.0</v>
      </c>
      <c r="F3415" s="32" t="str">
        <f t="array" ref="F3415">"https://www.google.com/maps/search/?api=1&amp;query=" &amp; A3415 &amp; "," &amp; B3415</f>
        <v>https://www.google.com/maps/search/?api=1&amp;query=-30.89025934608270,-55.54986019013360</v>
      </c>
      <c r="G3415" s="33" t="str">
        <f t="array" ref="G3415">"https://earth.google.com/web/search/" &amp; A3415 &amp; "," &amp; B3415</f>
        <v>https://earth.google.com/web/search/-30.89025934608270,-55.54986019013360</v>
      </c>
      <c r="H3415" s="12"/>
      <c r="I3415" s="12"/>
      <c r="J3415" s="12"/>
      <c r="K3415" s="12"/>
      <c r="L3415" s="12"/>
      <c r="M3415" s="12"/>
      <c r="N3415" s="12"/>
      <c r="O3415" s="12"/>
      <c r="P3415" s="12"/>
      <c r="Q3415" s="12"/>
      <c r="R3415" s="12"/>
      <c r="S3415" s="12"/>
      <c r="T3415" s="12"/>
      <c r="U3415" s="12"/>
      <c r="V3415" s="12"/>
      <c r="W3415" s="12"/>
      <c r="X3415" s="12"/>
      <c r="Y3415" s="12"/>
      <c r="Z3415" s="12"/>
      <c r="AA3415" s="12"/>
    </row>
    <row r="3416" ht="26.25" customHeight="1">
      <c r="A3416" s="34" t="s">
        <v>6842</v>
      </c>
      <c r="B3416" s="35" t="s">
        <v>6843</v>
      </c>
      <c r="C3416" s="36">
        <v>4.0</v>
      </c>
      <c r="D3416" s="37">
        <v>54.0</v>
      </c>
      <c r="E3416" s="37">
        <v>2.0</v>
      </c>
      <c r="F3416" s="24" t="str">
        <f t="array" ref="F3416">"https://www.google.com/maps/search/?api=1&amp;query=" &amp; A3416 &amp; "," &amp; B3416</f>
        <v>https://www.google.com/maps/search/?api=1&amp;query=-30.89030622112200,-5.55497452718758</v>
      </c>
      <c r="G3416" s="25" t="str">
        <f t="array" ref="G3416">"https://earth.google.com/web/search/" &amp; A3416 &amp; "," &amp; B3416</f>
        <v>https://earth.google.com/web/search/-30.89030622112200,-5.55497452718758</v>
      </c>
      <c r="H3416" s="12"/>
      <c r="I3416" s="12"/>
      <c r="J3416" s="12"/>
      <c r="K3416" s="12"/>
      <c r="L3416" s="12"/>
      <c r="M3416" s="12"/>
      <c r="N3416" s="12"/>
      <c r="O3416" s="12"/>
      <c r="P3416" s="12"/>
      <c r="Q3416" s="12"/>
      <c r="R3416" s="12"/>
      <c r="S3416" s="12"/>
      <c r="T3416" s="12"/>
      <c r="U3416" s="12"/>
      <c r="V3416" s="12"/>
      <c r="W3416" s="12"/>
      <c r="X3416" s="12"/>
      <c r="Y3416" s="12"/>
      <c r="Z3416" s="12"/>
      <c r="AA3416" s="12"/>
    </row>
    <row r="3417" ht="26.25" customHeight="1">
      <c r="A3417" s="28" t="s">
        <v>6844</v>
      </c>
      <c r="B3417" s="29" t="s">
        <v>6845</v>
      </c>
      <c r="C3417" s="30">
        <v>4.0</v>
      </c>
      <c r="D3417" s="31">
        <v>54.0</v>
      </c>
      <c r="E3417" s="31">
        <v>3.0</v>
      </c>
      <c r="F3417" s="32" t="str">
        <f t="array" ref="F3417">"https://www.google.com/maps/search/?api=1&amp;query=" &amp; A3417 &amp; "," &amp; B3417</f>
        <v>https://www.google.com/maps/search/?api=1&amp;query=-30.88939214229400,-5.55497396392051</v>
      </c>
      <c r="G3417" s="33" t="str">
        <f t="array" ref="G3417">"https://earth.google.com/web/search/" &amp; A3417 &amp; "," &amp; B3417</f>
        <v>https://earth.google.com/web/search/-30.88939214229400,-5.55497396392051</v>
      </c>
      <c r="H3417" s="12"/>
      <c r="I3417" s="12"/>
      <c r="J3417" s="12"/>
      <c r="K3417" s="12"/>
      <c r="L3417" s="12"/>
      <c r="M3417" s="12"/>
      <c r="N3417" s="12"/>
      <c r="O3417" s="12"/>
      <c r="P3417" s="12"/>
      <c r="Q3417" s="12"/>
      <c r="R3417" s="12"/>
      <c r="S3417" s="12"/>
      <c r="T3417" s="12"/>
      <c r="U3417" s="12"/>
      <c r="V3417" s="12"/>
      <c r="W3417" s="12"/>
      <c r="X3417" s="12"/>
      <c r="Y3417" s="12"/>
      <c r="Z3417" s="12"/>
      <c r="AA3417" s="12"/>
    </row>
    <row r="3418" ht="26.25" customHeight="1">
      <c r="A3418" s="34" t="s">
        <v>6846</v>
      </c>
      <c r="B3418" s="35" t="s">
        <v>6847</v>
      </c>
      <c r="C3418" s="36">
        <v>4.0</v>
      </c>
      <c r="D3418" s="37">
        <v>54.0</v>
      </c>
      <c r="E3418" s="37">
        <v>4.0</v>
      </c>
      <c r="F3418" s="24" t="str">
        <f t="array" ref="F3418">"https://www.google.com/maps/search/?api=1&amp;query=" &amp; A3418 &amp; "," &amp; B3418</f>
        <v>https://www.google.com/maps/search/?api=1&amp;query=-30.88945423719930,-5.55498550415298</v>
      </c>
      <c r="G3418" s="25" t="str">
        <f t="array" ref="G3418">"https://earth.google.com/web/search/" &amp; A3418 &amp; "," &amp; B3418</f>
        <v>https://earth.google.com/web/search/-30.88945423719930,-5.55498550415298</v>
      </c>
      <c r="H3418" s="12"/>
      <c r="I3418" s="12"/>
      <c r="J3418" s="12"/>
      <c r="K3418" s="12"/>
      <c r="L3418" s="12"/>
      <c r="M3418" s="12"/>
      <c r="N3418" s="12"/>
      <c r="O3418" s="12"/>
      <c r="P3418" s="12"/>
      <c r="Q3418" s="12"/>
      <c r="R3418" s="12"/>
      <c r="S3418" s="12"/>
      <c r="T3418" s="12"/>
      <c r="U3418" s="12"/>
      <c r="V3418" s="12"/>
      <c r="W3418" s="12"/>
      <c r="X3418" s="12"/>
      <c r="Y3418" s="12"/>
      <c r="Z3418" s="12"/>
      <c r="AA3418" s="12"/>
    </row>
    <row r="3419" ht="26.25" customHeight="1">
      <c r="A3419" s="28" t="s">
        <v>6848</v>
      </c>
      <c r="B3419" s="29" t="s">
        <v>6849</v>
      </c>
      <c r="C3419" s="30">
        <v>4.0</v>
      </c>
      <c r="D3419" s="31">
        <v>54.0</v>
      </c>
      <c r="E3419" s="31">
        <v>5.0</v>
      </c>
      <c r="F3419" s="32" t="str">
        <f t="array" ref="F3419">"https://www.google.com/maps/search/?api=1&amp;query=" &amp; A3419 &amp; "," &amp; B3419</f>
        <v>https://www.google.com/maps/search/?api=1&amp;query=-30.88980229135620,-55.55013406242790</v>
      </c>
      <c r="G3419" s="33" t="str">
        <f t="array" ref="G3419">"https://earth.google.com/web/search/" &amp; A3419 &amp; "," &amp; B3419</f>
        <v>https://earth.google.com/web/search/-30.88980229135620,-55.55013406242790</v>
      </c>
      <c r="H3419" s="12"/>
      <c r="I3419" s="12"/>
      <c r="J3419" s="12"/>
      <c r="K3419" s="12"/>
      <c r="L3419" s="12"/>
      <c r="M3419" s="12"/>
      <c r="N3419" s="12"/>
      <c r="O3419" s="12"/>
      <c r="P3419" s="12"/>
      <c r="Q3419" s="12"/>
      <c r="R3419" s="12"/>
      <c r="S3419" s="12"/>
      <c r="T3419" s="12"/>
      <c r="U3419" s="12"/>
      <c r="V3419" s="12"/>
      <c r="W3419" s="12"/>
      <c r="X3419" s="12"/>
      <c r="Y3419" s="12"/>
      <c r="Z3419" s="12"/>
      <c r="AA3419" s="12"/>
    </row>
    <row r="3420" ht="26.25" customHeight="1">
      <c r="A3420" s="34" t="s">
        <v>6850</v>
      </c>
      <c r="B3420" s="35" t="s">
        <v>6851</v>
      </c>
      <c r="C3420" s="36">
        <v>4.0</v>
      </c>
      <c r="D3420" s="37">
        <v>54.0</v>
      </c>
      <c r="E3420" s="37">
        <v>6.0</v>
      </c>
      <c r="F3420" s="24" t="str">
        <f t="array" ref="F3420">"https://www.google.com/maps/search/?api=1&amp;query=" &amp; A3420 &amp; "," &amp; B3420</f>
        <v>https://www.google.com/maps/search/?api=1&amp;query=-30.88993356158120,-5.55502469127209</v>
      </c>
      <c r="G3420" s="25" t="str">
        <f t="array" ref="G3420">"https://earth.google.com/web/search/" &amp; A3420 &amp; "," &amp; B3420</f>
        <v>https://earth.google.com/web/search/-30.88993356158120,-5.55502469127209</v>
      </c>
      <c r="H3420" s="12"/>
      <c r="I3420" s="12"/>
      <c r="J3420" s="12"/>
      <c r="K3420" s="12"/>
      <c r="L3420" s="12"/>
      <c r="M3420" s="12"/>
      <c r="N3420" s="12"/>
      <c r="O3420" s="12"/>
      <c r="P3420" s="12"/>
      <c r="Q3420" s="12"/>
      <c r="R3420" s="12"/>
      <c r="S3420" s="12"/>
      <c r="T3420" s="12"/>
      <c r="U3420" s="12"/>
      <c r="V3420" s="12"/>
      <c r="W3420" s="12"/>
      <c r="X3420" s="12"/>
      <c r="Y3420" s="12"/>
      <c r="Z3420" s="12"/>
      <c r="AA3420" s="12"/>
    </row>
    <row r="3421" ht="26.25" customHeight="1">
      <c r="A3421" s="28" t="s">
        <v>6852</v>
      </c>
      <c r="B3421" s="29" t="s">
        <v>6853</v>
      </c>
      <c r="C3421" s="30">
        <v>4.0</v>
      </c>
      <c r="D3421" s="31">
        <v>54.0</v>
      </c>
      <c r="E3421" s="31">
        <v>7.0</v>
      </c>
      <c r="F3421" s="32" t="str">
        <f t="array" ref="F3421">"https://www.google.com/maps/search/?api=1&amp;query=" &amp; A3421 &amp; "," &amp; B3421</f>
        <v>https://www.google.com/maps/search/?api=1&amp;query=-30.88999660759810,-55.55027357201620</v>
      </c>
      <c r="G3421" s="33" t="str">
        <f t="array" ref="G3421">"https://earth.google.com/web/search/" &amp; A3421 &amp; "," &amp; B3421</f>
        <v>https://earth.google.com/web/search/-30.88999660759810,-55.55027357201620</v>
      </c>
      <c r="H3421" s="12"/>
      <c r="I3421" s="12"/>
      <c r="J3421" s="12"/>
      <c r="K3421" s="12"/>
      <c r="L3421" s="12"/>
      <c r="M3421" s="12"/>
      <c r="N3421" s="12"/>
      <c r="O3421" s="12"/>
      <c r="P3421" s="12"/>
      <c r="Q3421" s="12"/>
      <c r="R3421" s="12"/>
      <c r="S3421" s="12"/>
      <c r="T3421" s="12"/>
      <c r="U3421" s="12"/>
      <c r="V3421" s="12"/>
      <c r="W3421" s="12"/>
      <c r="X3421" s="12"/>
      <c r="Y3421" s="12"/>
      <c r="Z3421" s="12"/>
      <c r="AA3421" s="12"/>
    </row>
    <row r="3422" ht="26.25" customHeight="1">
      <c r="A3422" s="34" t="s">
        <v>6854</v>
      </c>
      <c r="B3422" s="35" t="s">
        <v>6855</v>
      </c>
      <c r="C3422" s="36">
        <v>4.0</v>
      </c>
      <c r="D3422" s="37">
        <v>55.0</v>
      </c>
      <c r="E3422" s="37">
        <v>1.0</v>
      </c>
      <c r="F3422" s="24" t="str">
        <f t="array" ref="F3422">"https://www.google.com/maps/search/?api=1&amp;query=" &amp; A3422 &amp; "," &amp; B3422</f>
        <v>https://www.google.com/maps/search/?api=1&amp;query=-30.89014525127240,-55.54822817083630</v>
      </c>
      <c r="G3422" s="25" t="str">
        <f t="array" ref="G3422">"https://earth.google.com/web/search/" &amp; A3422 &amp; "," &amp; B3422</f>
        <v>https://earth.google.com/web/search/-30.89014525127240,-55.54822817083630</v>
      </c>
      <c r="H3422" s="12"/>
      <c r="I3422" s="12"/>
      <c r="J3422" s="12"/>
      <c r="K3422" s="12"/>
      <c r="L3422" s="12"/>
      <c r="M3422" s="12"/>
      <c r="N3422" s="12"/>
      <c r="O3422" s="12"/>
      <c r="P3422" s="12"/>
      <c r="Q3422" s="12"/>
      <c r="R3422" s="12"/>
      <c r="S3422" s="12"/>
      <c r="T3422" s="12"/>
      <c r="U3422" s="12"/>
      <c r="V3422" s="12"/>
      <c r="W3422" s="12"/>
      <c r="X3422" s="12"/>
      <c r="Y3422" s="12"/>
      <c r="Z3422" s="12"/>
      <c r="AA3422" s="12"/>
    </row>
    <row r="3423" ht="26.25" customHeight="1">
      <c r="A3423" s="28" t="s">
        <v>6856</v>
      </c>
      <c r="B3423" s="29" t="s">
        <v>6857</v>
      </c>
      <c r="C3423" s="30">
        <v>4.0</v>
      </c>
      <c r="D3423" s="31">
        <v>55.0</v>
      </c>
      <c r="E3423" s="31">
        <v>2.0</v>
      </c>
      <c r="F3423" s="32" t="str">
        <f t="array" ref="F3423">"https://www.google.com/maps/search/?api=1&amp;query=" &amp; A3423 &amp; "," &amp; B3423</f>
        <v>https://www.google.com/maps/search/?api=1&amp;query=-30.89009133826780,-55.54838930084180</v>
      </c>
      <c r="G3423" s="33" t="str">
        <f t="array" ref="G3423">"https://earth.google.com/web/search/" &amp; A3423 &amp; "," &amp; B3423</f>
        <v>https://earth.google.com/web/search/-30.89009133826780,-55.54838930084180</v>
      </c>
      <c r="H3423" s="12"/>
      <c r="I3423" s="12"/>
      <c r="J3423" s="12"/>
      <c r="K3423" s="12"/>
      <c r="L3423" s="12"/>
      <c r="M3423" s="12"/>
      <c r="N3423" s="12"/>
      <c r="O3423" s="12"/>
      <c r="P3423" s="12"/>
      <c r="Q3423" s="12"/>
      <c r="R3423" s="12"/>
      <c r="S3423" s="12"/>
      <c r="T3423" s="12"/>
      <c r="U3423" s="12"/>
      <c r="V3423" s="12"/>
      <c r="W3423" s="12"/>
      <c r="X3423" s="12"/>
      <c r="Y3423" s="12"/>
      <c r="Z3423" s="12"/>
      <c r="AA3423" s="12"/>
    </row>
    <row r="3424" ht="26.25" customHeight="1">
      <c r="A3424" s="34" t="s">
        <v>6858</v>
      </c>
      <c r="B3424" s="35" t="s">
        <v>6859</v>
      </c>
      <c r="C3424" s="36">
        <v>4.0</v>
      </c>
      <c r="D3424" s="37">
        <v>55.0</v>
      </c>
      <c r="E3424" s="37">
        <v>3.0</v>
      </c>
      <c r="F3424" s="24" t="str">
        <f t="array" ref="F3424">"https://www.google.com/maps/search/?api=1&amp;query=" &amp; A3424 &amp; "," &amp; B3424</f>
        <v>https://www.google.com/maps/search/?api=1&amp;query=-3.08898946061793,-55.54872018325770</v>
      </c>
      <c r="G3424" s="25" t="str">
        <f t="array" ref="G3424">"https://earth.google.com/web/search/" &amp; A3424 &amp; "," &amp; B3424</f>
        <v>https://earth.google.com/web/search/-3.08898946061793,-55.54872018325770</v>
      </c>
      <c r="H3424" s="12"/>
      <c r="I3424" s="12"/>
      <c r="J3424" s="12"/>
      <c r="K3424" s="12"/>
      <c r="L3424" s="12"/>
      <c r="M3424" s="12"/>
      <c r="N3424" s="12"/>
      <c r="O3424" s="12"/>
      <c r="P3424" s="12"/>
      <c r="Q3424" s="12"/>
      <c r="R3424" s="12"/>
      <c r="S3424" s="12"/>
      <c r="T3424" s="12"/>
      <c r="U3424" s="12"/>
      <c r="V3424" s="12"/>
      <c r="W3424" s="12"/>
      <c r="X3424" s="12"/>
      <c r="Y3424" s="12"/>
      <c r="Z3424" s="12"/>
      <c r="AA3424" s="12"/>
    </row>
    <row r="3425" ht="26.25" customHeight="1">
      <c r="A3425" s="28" t="s">
        <v>6860</v>
      </c>
      <c r="B3425" s="29" t="s">
        <v>6861</v>
      </c>
      <c r="C3425" s="30">
        <v>4.0</v>
      </c>
      <c r="D3425" s="31">
        <v>56.0</v>
      </c>
      <c r="E3425" s="31">
        <v>1.0</v>
      </c>
      <c r="F3425" s="32" t="str">
        <f t="array" ref="F3425">"https://www.google.com/maps/search/?api=1&amp;query=" &amp; A3425 &amp; "," &amp; B3425</f>
        <v>https://www.google.com/maps/search/?api=1&amp;query=-3.08909898487912,-55.54846360314830</v>
      </c>
      <c r="G3425" s="33" t="str">
        <f t="array" ref="G3425">"https://earth.google.com/web/search/" &amp; A3425 &amp; "," &amp; B3425</f>
        <v>https://earth.google.com/web/search/-3.08909898487912,-55.54846360314830</v>
      </c>
      <c r="H3425" s="12"/>
      <c r="I3425" s="12"/>
      <c r="J3425" s="12"/>
      <c r="K3425" s="12"/>
      <c r="L3425" s="12"/>
      <c r="M3425" s="12"/>
      <c r="N3425" s="12"/>
      <c r="O3425" s="12"/>
      <c r="P3425" s="12"/>
      <c r="Q3425" s="12"/>
      <c r="R3425" s="12"/>
      <c r="S3425" s="12"/>
      <c r="T3425" s="12"/>
      <c r="U3425" s="12"/>
      <c r="V3425" s="12"/>
      <c r="W3425" s="12"/>
      <c r="X3425" s="12"/>
      <c r="Y3425" s="12"/>
      <c r="Z3425" s="12"/>
      <c r="AA3425" s="12"/>
    </row>
    <row r="3426" ht="26.25" customHeight="1">
      <c r="A3426" s="34" t="s">
        <v>6862</v>
      </c>
      <c r="B3426" s="35" t="s">
        <v>6863</v>
      </c>
      <c r="C3426" s="36">
        <v>4.0</v>
      </c>
      <c r="D3426" s="37">
        <v>56.0</v>
      </c>
      <c r="E3426" s="37">
        <v>2.0</v>
      </c>
      <c r="F3426" s="24" t="str">
        <f t="array" ref="F3426">"https://www.google.com/maps/search/?api=1&amp;query=" &amp; A3426 &amp; "," &amp; B3426</f>
        <v>https://www.google.com/maps/search/?api=1&amp;query=-30.89113115742160,-5.55482177731404</v>
      </c>
      <c r="G3426" s="25" t="str">
        <f t="array" ref="G3426">"https://earth.google.com/web/search/" &amp; A3426 &amp; "," &amp; B3426</f>
        <v>https://earth.google.com/web/search/-30.89113115742160,-5.55482177731404</v>
      </c>
      <c r="H3426" s="12"/>
      <c r="I3426" s="12"/>
      <c r="J3426" s="12"/>
      <c r="K3426" s="12"/>
      <c r="L3426" s="12"/>
      <c r="M3426" s="12"/>
      <c r="N3426" s="12"/>
      <c r="O3426" s="12"/>
      <c r="P3426" s="12"/>
      <c r="Q3426" s="12"/>
      <c r="R3426" s="12"/>
      <c r="S3426" s="12"/>
      <c r="T3426" s="12"/>
      <c r="U3426" s="12"/>
      <c r="V3426" s="12"/>
      <c r="W3426" s="12"/>
      <c r="X3426" s="12"/>
      <c r="Y3426" s="12"/>
      <c r="Z3426" s="12"/>
      <c r="AA3426" s="12"/>
    </row>
    <row r="3427" ht="26.25" customHeight="1">
      <c r="A3427" s="28" t="s">
        <v>6864</v>
      </c>
      <c r="B3427" s="29" t="s">
        <v>6865</v>
      </c>
      <c r="C3427" s="30">
        <v>4.0</v>
      </c>
      <c r="D3427" s="31">
        <v>56.0</v>
      </c>
      <c r="E3427" s="31">
        <v>3.0</v>
      </c>
      <c r="F3427" s="32" t="str">
        <f t="array" ref="F3427">"https://www.google.com/maps/search/?api=1&amp;query=" &amp; A3427 &amp; "," &amp; B3427</f>
        <v>https://www.google.com/maps/search/?api=1&amp;query=-30.89120815537430,-5.55480559184648</v>
      </c>
      <c r="G3427" s="33" t="str">
        <f t="array" ref="G3427">"https://earth.google.com/web/search/" &amp; A3427 &amp; "," &amp; B3427</f>
        <v>https://earth.google.com/web/search/-30.89120815537430,-5.55480559184648</v>
      </c>
      <c r="H3427" s="12"/>
      <c r="I3427" s="12"/>
      <c r="J3427" s="12"/>
      <c r="K3427" s="12"/>
      <c r="L3427" s="12"/>
      <c r="M3427" s="12"/>
      <c r="N3427" s="12"/>
      <c r="O3427" s="12"/>
      <c r="P3427" s="12"/>
      <c r="Q3427" s="12"/>
      <c r="R3427" s="12"/>
      <c r="S3427" s="12"/>
      <c r="T3427" s="12"/>
      <c r="U3427" s="12"/>
      <c r="V3427" s="12"/>
      <c r="W3427" s="12"/>
      <c r="X3427" s="12"/>
      <c r="Y3427" s="12"/>
      <c r="Z3427" s="12"/>
      <c r="AA3427" s="12"/>
    </row>
    <row r="3428" ht="26.25" customHeight="1">
      <c r="A3428" s="34" t="s">
        <v>6866</v>
      </c>
      <c r="B3428" s="35" t="s">
        <v>6867</v>
      </c>
      <c r="C3428" s="36">
        <v>4.0</v>
      </c>
      <c r="D3428" s="37">
        <v>56.0</v>
      </c>
      <c r="E3428" s="37">
        <v>4.0</v>
      </c>
      <c r="F3428" s="24" t="str">
        <f t="array" ref="F3428">"https://www.google.com/maps/search/?api=1&amp;query=" &amp; A3428 &amp; "," &amp; B3428</f>
        <v>https://www.google.com/maps/search/?api=1&amp;query=-30.89132480030720,-55.54765099948880</v>
      </c>
      <c r="G3428" s="25" t="str">
        <f t="array" ref="G3428">"https://earth.google.com/web/search/" &amp; A3428 &amp; "," &amp; B3428</f>
        <v>https://earth.google.com/web/search/-30.89132480030720,-55.54765099948880</v>
      </c>
      <c r="H3428" s="12"/>
      <c r="I3428" s="12"/>
      <c r="J3428" s="12"/>
      <c r="K3428" s="12"/>
      <c r="L3428" s="12"/>
      <c r="M3428" s="12"/>
      <c r="N3428" s="12"/>
      <c r="O3428" s="12"/>
      <c r="P3428" s="12"/>
      <c r="Q3428" s="12"/>
      <c r="R3428" s="12"/>
      <c r="S3428" s="12"/>
      <c r="T3428" s="12"/>
      <c r="U3428" s="12"/>
      <c r="V3428" s="12"/>
      <c r="W3428" s="12"/>
      <c r="X3428" s="12"/>
      <c r="Y3428" s="12"/>
      <c r="Z3428" s="12"/>
      <c r="AA3428" s="12"/>
    </row>
    <row r="3429" ht="26.25" customHeight="1">
      <c r="A3429" s="28" t="s">
        <v>6868</v>
      </c>
      <c r="B3429" s="29" t="s">
        <v>6869</v>
      </c>
      <c r="C3429" s="30">
        <v>4.0</v>
      </c>
      <c r="D3429" s="31">
        <v>56.0</v>
      </c>
      <c r="E3429" s="31">
        <v>5.0</v>
      </c>
      <c r="F3429" s="32" t="str">
        <f t="array" ref="F3429">"https://www.google.com/maps/search/?api=1&amp;query=" &amp; A3429 &amp; "," &amp; B3429</f>
        <v>https://www.google.com/maps/search/?api=1&amp;query=-30.89120977746570,-55.54753324473210</v>
      </c>
      <c r="G3429" s="33" t="str">
        <f t="array" ref="G3429">"https://earth.google.com/web/search/" &amp; A3429 &amp; "," &amp; B3429</f>
        <v>https://earth.google.com/web/search/-30.89120977746570,-55.54753324473210</v>
      </c>
      <c r="H3429" s="12"/>
      <c r="I3429" s="12"/>
      <c r="J3429" s="12"/>
      <c r="K3429" s="12"/>
      <c r="L3429" s="12"/>
      <c r="M3429" s="12"/>
      <c r="N3429" s="12"/>
      <c r="O3429" s="12"/>
      <c r="P3429" s="12"/>
      <c r="Q3429" s="12"/>
      <c r="R3429" s="12"/>
      <c r="S3429" s="12"/>
      <c r="T3429" s="12"/>
      <c r="U3429" s="12"/>
      <c r="V3429" s="12"/>
      <c r="W3429" s="12"/>
      <c r="X3429" s="12"/>
      <c r="Y3429" s="12"/>
      <c r="Z3429" s="12"/>
      <c r="AA3429" s="12"/>
    </row>
    <row r="3430" ht="26.25" customHeight="1">
      <c r="A3430" s="34" t="s">
        <v>6870</v>
      </c>
      <c r="B3430" s="35" t="s">
        <v>6871</v>
      </c>
      <c r="C3430" s="36">
        <v>4.0</v>
      </c>
      <c r="D3430" s="37">
        <v>56.0</v>
      </c>
      <c r="E3430" s="37">
        <v>5.0</v>
      </c>
      <c r="F3430" s="24" t="str">
        <f t="array" ref="F3430">"https://www.google.com/maps/search/?api=1&amp;query=" &amp; A3430 &amp; "," &amp; B3430</f>
        <v>https://www.google.com/maps/search/?api=1&amp;query=-30.89068973065990,-55.54724058466380</v>
      </c>
      <c r="G3430" s="25" t="str">
        <f t="array" ref="G3430">"https://earth.google.com/web/search/" &amp; A3430 &amp; "," &amp; B3430</f>
        <v>https://earth.google.com/web/search/-30.89068973065990,-55.54724058466380</v>
      </c>
      <c r="H3430" s="12"/>
      <c r="I3430" s="12"/>
      <c r="J3430" s="12"/>
      <c r="K3430" s="12"/>
      <c r="L3430" s="12"/>
      <c r="M3430" s="12"/>
      <c r="N3430" s="12"/>
      <c r="O3430" s="12"/>
      <c r="P3430" s="12"/>
      <c r="Q3430" s="12"/>
      <c r="R3430" s="12"/>
      <c r="S3430" s="12"/>
      <c r="T3430" s="12"/>
      <c r="U3430" s="12"/>
      <c r="V3430" s="12"/>
      <c r="W3430" s="12"/>
      <c r="X3430" s="12"/>
      <c r="Y3430" s="12"/>
      <c r="Z3430" s="12"/>
      <c r="AA3430" s="12"/>
    </row>
    <row r="3431" ht="26.25" customHeight="1">
      <c r="A3431" s="28" t="s">
        <v>6872</v>
      </c>
      <c r="B3431" s="29" t="s">
        <v>6873</v>
      </c>
      <c r="C3431" s="30">
        <v>4.0</v>
      </c>
      <c r="D3431" s="31">
        <v>57.0</v>
      </c>
      <c r="E3431" s="31">
        <v>1.0</v>
      </c>
      <c r="F3431" s="32" t="str">
        <f t="array" ref="F3431">"https://www.google.com/maps/search/?api=1&amp;query=" &amp; A3431 &amp; "," &amp; B3431</f>
        <v>https://www.google.com/maps/search/?api=1&amp;query=-30.89155742893550,-55.54740396031910</v>
      </c>
      <c r="G3431" s="33" t="str">
        <f t="array" ref="G3431">"https://earth.google.com/web/search/" &amp; A3431 &amp; "," &amp; B3431</f>
        <v>https://earth.google.com/web/search/-30.89155742893550,-55.54740396031910</v>
      </c>
      <c r="H3431" s="12"/>
      <c r="I3431" s="12"/>
      <c r="J3431" s="12"/>
      <c r="K3431" s="12"/>
      <c r="L3431" s="12"/>
      <c r="M3431" s="12"/>
      <c r="N3431" s="12"/>
      <c r="O3431" s="12"/>
      <c r="P3431" s="12"/>
      <c r="Q3431" s="12"/>
      <c r="R3431" s="12"/>
      <c r="S3431" s="12"/>
      <c r="T3431" s="12"/>
      <c r="U3431" s="12"/>
      <c r="V3431" s="12"/>
      <c r="W3431" s="12"/>
      <c r="X3431" s="12"/>
      <c r="Y3431" s="12"/>
      <c r="Z3431" s="12"/>
      <c r="AA3431" s="12"/>
    </row>
    <row r="3432" ht="26.25" customHeight="1">
      <c r="A3432" s="34" t="s">
        <v>6874</v>
      </c>
      <c r="B3432" s="35" t="s">
        <v>6875</v>
      </c>
      <c r="C3432" s="36">
        <v>4.0</v>
      </c>
      <c r="D3432" s="37">
        <v>57.0</v>
      </c>
      <c r="E3432" s="37">
        <v>2.0</v>
      </c>
      <c r="F3432" s="24" t="str">
        <f t="array" ref="F3432">"https://www.google.com/maps/search/?api=1&amp;query=" &amp; A3432 &amp; "," &amp; B3432</f>
        <v>https://www.google.com/maps/search/?api=1&amp;query=-30.89121133991180,-55.54629990704070</v>
      </c>
      <c r="G3432" s="25" t="str">
        <f t="array" ref="G3432">"https://earth.google.com/web/search/" &amp; A3432 &amp; "," &amp; B3432</f>
        <v>https://earth.google.com/web/search/-30.89121133991180,-55.54629990704070</v>
      </c>
      <c r="H3432" s="12"/>
      <c r="I3432" s="12"/>
      <c r="J3432" s="12"/>
      <c r="K3432" s="12"/>
      <c r="L3432" s="12"/>
      <c r="M3432" s="12"/>
      <c r="N3432" s="12"/>
      <c r="O3432" s="12"/>
      <c r="P3432" s="12"/>
      <c r="Q3432" s="12"/>
      <c r="R3432" s="12"/>
      <c r="S3432" s="12"/>
      <c r="T3432" s="12"/>
      <c r="U3432" s="12"/>
      <c r="V3432" s="12"/>
      <c r="W3432" s="12"/>
      <c r="X3432" s="12"/>
      <c r="Y3432" s="12"/>
      <c r="Z3432" s="12"/>
      <c r="AA3432" s="12"/>
    </row>
    <row r="3433" ht="26.25" customHeight="1">
      <c r="A3433" s="28" t="s">
        <v>6876</v>
      </c>
      <c r="B3433" s="29" t="s">
        <v>6877</v>
      </c>
      <c r="C3433" s="30">
        <v>4.0</v>
      </c>
      <c r="D3433" s="31">
        <v>57.0</v>
      </c>
      <c r="E3433" s="31">
        <v>3.0</v>
      </c>
      <c r="F3433" s="32" t="str">
        <f t="array" ref="F3433">"https://www.google.com/maps/search/?api=1&amp;query=" &amp; A3433 &amp; "," &amp; B3433</f>
        <v>https://www.google.com/maps/search/?api=1&amp;query=-30.89115188910890,-5.55463672916563</v>
      </c>
      <c r="G3433" s="33" t="str">
        <f t="array" ref="G3433">"https://earth.google.com/web/search/" &amp; A3433 &amp; "," &amp; B3433</f>
        <v>https://earth.google.com/web/search/-30.89115188910890,-5.55463672916563</v>
      </c>
      <c r="H3433" s="12"/>
      <c r="I3433" s="12"/>
      <c r="J3433" s="12"/>
      <c r="K3433" s="12"/>
      <c r="L3433" s="12"/>
      <c r="M3433" s="12"/>
      <c r="N3433" s="12"/>
      <c r="O3433" s="12"/>
      <c r="P3433" s="12"/>
      <c r="Q3433" s="12"/>
      <c r="R3433" s="12"/>
      <c r="S3433" s="12"/>
      <c r="T3433" s="12"/>
      <c r="U3433" s="12"/>
      <c r="V3433" s="12"/>
      <c r="W3433" s="12"/>
      <c r="X3433" s="12"/>
      <c r="Y3433" s="12"/>
      <c r="Z3433" s="12"/>
      <c r="AA3433" s="12"/>
    </row>
    <row r="3434" ht="26.25" customHeight="1">
      <c r="A3434" s="34" t="s">
        <v>6878</v>
      </c>
      <c r="B3434" s="35" t="s">
        <v>6879</v>
      </c>
      <c r="C3434" s="36">
        <v>4.0</v>
      </c>
      <c r="D3434" s="37">
        <v>57.0</v>
      </c>
      <c r="E3434" s="37">
        <v>4.0</v>
      </c>
      <c r="F3434" s="24" t="str">
        <f t="array" ref="F3434">"https://www.google.com/maps/search/?api=1&amp;query=" &amp; A3434 &amp; "," &amp; B3434</f>
        <v>https://www.google.com/maps/search/?api=1&amp;query=-30.89105780326680,-55.54651604704670</v>
      </c>
      <c r="G3434" s="25" t="str">
        <f t="array" ref="G3434">"https://earth.google.com/web/search/" &amp; A3434 &amp; "," &amp; B3434</f>
        <v>https://earth.google.com/web/search/-30.89105780326680,-55.54651604704670</v>
      </c>
      <c r="H3434" s="12"/>
      <c r="I3434" s="12"/>
      <c r="J3434" s="12"/>
      <c r="K3434" s="12"/>
      <c r="L3434" s="12"/>
      <c r="M3434" s="12"/>
      <c r="N3434" s="12"/>
      <c r="O3434" s="12"/>
      <c r="P3434" s="12"/>
      <c r="Q3434" s="12"/>
      <c r="R3434" s="12"/>
      <c r="S3434" s="12"/>
      <c r="T3434" s="12"/>
      <c r="U3434" s="12"/>
      <c r="V3434" s="12"/>
      <c r="W3434" s="12"/>
      <c r="X3434" s="12"/>
      <c r="Y3434" s="12"/>
      <c r="Z3434" s="12"/>
      <c r="AA3434" s="12"/>
    </row>
    <row r="3435" ht="26.25" customHeight="1">
      <c r="A3435" s="28" t="s">
        <v>6880</v>
      </c>
      <c r="B3435" s="29" t="s">
        <v>6881</v>
      </c>
      <c r="C3435" s="30">
        <v>4.0</v>
      </c>
      <c r="D3435" s="31">
        <v>57.0</v>
      </c>
      <c r="E3435" s="31">
        <v>5.0</v>
      </c>
      <c r="F3435" s="32" t="str">
        <f t="array" ref="F3435">"https://www.google.com/maps/search/?api=1&amp;query=" &amp; A3435 &amp; "," &amp; B3435</f>
        <v>https://www.google.com/maps/search/?api=1&amp;query=-30.89095468613830,-55.54668482413090</v>
      </c>
      <c r="G3435" s="33" t="str">
        <f t="array" ref="G3435">"https://earth.google.com/web/search/" &amp; A3435 &amp; "," &amp; B3435</f>
        <v>https://earth.google.com/web/search/-30.89095468613830,-55.54668482413090</v>
      </c>
      <c r="H3435" s="12"/>
      <c r="I3435" s="12"/>
      <c r="J3435" s="12"/>
      <c r="K3435" s="12"/>
      <c r="L3435" s="12"/>
      <c r="M3435" s="12"/>
      <c r="N3435" s="12"/>
      <c r="O3435" s="12"/>
      <c r="P3435" s="12"/>
      <c r="Q3435" s="12"/>
      <c r="R3435" s="12"/>
      <c r="S3435" s="12"/>
      <c r="T3435" s="12"/>
      <c r="U3435" s="12"/>
      <c r="V3435" s="12"/>
      <c r="W3435" s="12"/>
      <c r="X3435" s="12"/>
      <c r="Y3435" s="12"/>
      <c r="Z3435" s="12"/>
      <c r="AA3435" s="12"/>
    </row>
    <row r="3436" ht="26.25" customHeight="1">
      <c r="A3436" s="34" t="s">
        <v>6882</v>
      </c>
      <c r="B3436" s="35" t="s">
        <v>6883</v>
      </c>
      <c r="C3436" s="36">
        <v>4.0</v>
      </c>
      <c r="D3436" s="37">
        <v>57.0</v>
      </c>
      <c r="E3436" s="37">
        <v>6.0</v>
      </c>
      <c r="F3436" s="24" t="str">
        <f t="array" ref="F3436">"https://www.google.com/maps/search/?api=1&amp;query=" &amp; A3436 &amp; "," &amp; B3436</f>
        <v>https://www.google.com/maps/search/?api=1&amp;query=-30.89085455188530,-55.54691077348930</v>
      </c>
      <c r="G3436" s="25" t="str">
        <f t="array" ref="G3436">"https://earth.google.com/web/search/" &amp; A3436 &amp; "," &amp; B3436</f>
        <v>https://earth.google.com/web/search/-30.89085455188530,-55.54691077348930</v>
      </c>
      <c r="H3436" s="12"/>
      <c r="I3436" s="12"/>
      <c r="J3436" s="12"/>
      <c r="K3436" s="12"/>
      <c r="L3436" s="12"/>
      <c r="M3436" s="12"/>
      <c r="N3436" s="12"/>
      <c r="O3436" s="12"/>
      <c r="P3436" s="12"/>
      <c r="Q3436" s="12"/>
      <c r="R3436" s="12"/>
      <c r="S3436" s="12"/>
      <c r="T3436" s="12"/>
      <c r="U3436" s="12"/>
      <c r="V3436" s="12"/>
      <c r="W3436" s="12"/>
      <c r="X3436" s="12"/>
      <c r="Y3436" s="12"/>
      <c r="Z3436" s="12"/>
      <c r="AA3436" s="12"/>
    </row>
    <row r="3437" ht="26.25" customHeight="1">
      <c r="A3437" s="28" t="s">
        <v>6884</v>
      </c>
      <c r="B3437" s="29" t="s">
        <v>6885</v>
      </c>
      <c r="C3437" s="30">
        <v>4.0</v>
      </c>
      <c r="D3437" s="31">
        <v>57.0</v>
      </c>
      <c r="E3437" s="31">
        <v>7.0</v>
      </c>
      <c r="F3437" s="32" t="str">
        <f t="array" ref="F3437">"https://www.google.com/maps/search/?api=1&amp;query=" &amp; A3437 &amp; "," &amp; B3437</f>
        <v>https://www.google.com/maps/search/?api=1&amp;query=-30.89089271191710,-55.54716958330660</v>
      </c>
      <c r="G3437" s="33" t="str">
        <f t="array" ref="G3437">"https://earth.google.com/web/search/" &amp; A3437 &amp; "," &amp; B3437</f>
        <v>https://earth.google.com/web/search/-30.89089271191710,-55.54716958330660</v>
      </c>
      <c r="H3437" s="12"/>
      <c r="I3437" s="12"/>
      <c r="J3437" s="12"/>
      <c r="K3437" s="12"/>
      <c r="L3437" s="12"/>
      <c r="M3437" s="12"/>
      <c r="N3437" s="12"/>
      <c r="O3437" s="12"/>
      <c r="P3437" s="12"/>
      <c r="Q3437" s="12"/>
      <c r="R3437" s="12"/>
      <c r="S3437" s="12"/>
      <c r="T3437" s="12"/>
      <c r="U3437" s="12"/>
      <c r="V3437" s="12"/>
      <c r="W3437" s="12"/>
      <c r="X3437" s="12"/>
      <c r="Y3437" s="12"/>
      <c r="Z3437" s="12"/>
      <c r="AA3437" s="12"/>
    </row>
    <row r="3438" ht="26.25" customHeight="1">
      <c r="A3438" s="34" t="s">
        <v>6886</v>
      </c>
      <c r="B3438" s="35" t="s">
        <v>6887</v>
      </c>
      <c r="C3438" s="36">
        <v>4.0</v>
      </c>
      <c r="D3438" s="37">
        <v>57.0</v>
      </c>
      <c r="E3438" s="37">
        <v>8.0</v>
      </c>
      <c r="F3438" s="24" t="str">
        <f t="array" ref="F3438">"https://www.google.com/maps/search/?api=1&amp;query=" &amp; A3438 &amp; "," &amp; B3438</f>
        <v>https://www.google.com/maps/search/?api=1&amp;query=-30.89119038347110,-55.54740180381810</v>
      </c>
      <c r="G3438" s="25" t="str">
        <f t="array" ref="G3438">"https://earth.google.com/web/search/" &amp; A3438 &amp; "," &amp; B3438</f>
        <v>https://earth.google.com/web/search/-30.89119038347110,-55.54740180381810</v>
      </c>
      <c r="H3438" s="12"/>
      <c r="I3438" s="12"/>
      <c r="J3438" s="12"/>
      <c r="K3438" s="12"/>
      <c r="L3438" s="12"/>
      <c r="M3438" s="12"/>
      <c r="N3438" s="12"/>
      <c r="O3438" s="12"/>
      <c r="P3438" s="12"/>
      <c r="Q3438" s="12"/>
      <c r="R3438" s="12"/>
      <c r="S3438" s="12"/>
      <c r="T3438" s="12"/>
      <c r="U3438" s="12"/>
      <c r="V3438" s="12"/>
      <c r="W3438" s="12"/>
      <c r="X3438" s="12"/>
      <c r="Y3438" s="12"/>
      <c r="Z3438" s="12"/>
      <c r="AA3438" s="12"/>
    </row>
    <row r="3439" ht="26.25" customHeight="1">
      <c r="A3439" s="28" t="s">
        <v>6888</v>
      </c>
      <c r="B3439" s="29" t="s">
        <v>6889</v>
      </c>
      <c r="C3439" s="30">
        <v>4.0</v>
      </c>
      <c r="D3439" s="31">
        <v>57.0</v>
      </c>
      <c r="E3439" s="31">
        <v>9.0</v>
      </c>
      <c r="F3439" s="32" t="str">
        <f t="array" ref="F3439">"https://www.google.com/maps/search/?api=1&amp;query=" &amp; A3439 &amp; "," &amp; B3439</f>
        <v>https://www.google.com/maps/search/?api=1&amp;query=-30.89136788088810,-55.54751489594220</v>
      </c>
      <c r="G3439" s="33" t="str">
        <f t="array" ref="G3439">"https://earth.google.com/web/search/" &amp; A3439 &amp; "," &amp; B3439</f>
        <v>https://earth.google.com/web/search/-30.89136788088810,-55.54751489594220</v>
      </c>
      <c r="H3439" s="12"/>
      <c r="I3439" s="12"/>
      <c r="J3439" s="12"/>
      <c r="K3439" s="12"/>
      <c r="L3439" s="12"/>
      <c r="M3439" s="12"/>
      <c r="N3439" s="12"/>
      <c r="O3439" s="12"/>
      <c r="P3439" s="12"/>
      <c r="Q3439" s="12"/>
      <c r="R3439" s="12"/>
      <c r="S3439" s="12"/>
      <c r="T3439" s="12"/>
      <c r="U3439" s="12"/>
      <c r="V3439" s="12"/>
      <c r="W3439" s="12"/>
      <c r="X3439" s="12"/>
      <c r="Y3439" s="12"/>
      <c r="Z3439" s="12"/>
      <c r="AA3439" s="12"/>
    </row>
    <row r="3440" ht="26.25" customHeight="1">
      <c r="A3440" s="34" t="s">
        <v>6890</v>
      </c>
      <c r="B3440" s="35" t="s">
        <v>6891</v>
      </c>
      <c r="C3440" s="36">
        <v>4.0</v>
      </c>
      <c r="D3440" s="37">
        <v>87.0</v>
      </c>
      <c r="E3440" s="37">
        <v>1.0</v>
      </c>
      <c r="F3440" s="24" t="str">
        <f t="array" ref="F3440">"https://www.google.com/maps/search/?api=1&amp;query=" &amp; A3440 &amp; "," &amp; B3440</f>
        <v>https://www.google.com/maps/search/?api=1&amp;query=-3.08923418752125,-55.54797288150090</v>
      </c>
      <c r="G3440" s="25" t="str">
        <f t="array" ref="G3440">"https://earth.google.com/web/search/" &amp; A3440 &amp; "," &amp; B3440</f>
        <v>https://earth.google.com/web/search/-3.08923418752125,-55.54797288150090</v>
      </c>
      <c r="H3440" s="12"/>
      <c r="I3440" s="12"/>
      <c r="J3440" s="12"/>
      <c r="K3440" s="12"/>
      <c r="L3440" s="12"/>
      <c r="M3440" s="12"/>
      <c r="N3440" s="12"/>
      <c r="O3440" s="12"/>
      <c r="P3440" s="12"/>
      <c r="Q3440" s="12"/>
      <c r="R3440" s="12"/>
      <c r="S3440" s="12"/>
      <c r="T3440" s="12"/>
      <c r="U3440" s="12"/>
      <c r="V3440" s="12"/>
      <c r="W3440" s="12"/>
      <c r="X3440" s="12"/>
      <c r="Y3440" s="12"/>
      <c r="Z3440" s="12"/>
      <c r="AA3440" s="12"/>
    </row>
    <row r="3441" ht="26.25" customHeight="1">
      <c r="A3441" s="28" t="s">
        <v>6892</v>
      </c>
      <c r="B3441" s="29" t="s">
        <v>6893</v>
      </c>
      <c r="C3441" s="30">
        <v>4.0</v>
      </c>
      <c r="D3441" s="31">
        <v>87.0</v>
      </c>
      <c r="E3441" s="31">
        <v>2.0</v>
      </c>
      <c r="F3441" s="32" t="str">
        <f t="array" ref="F3441">"https://www.google.com/maps/search/?api=1&amp;query=" &amp; A3441 &amp; "," &amp; B3441</f>
        <v>https://www.google.com/maps/search/?api=1&amp;query=-30.89237367619190,-55.54791768462580</v>
      </c>
      <c r="G3441" s="33" t="str">
        <f t="array" ref="G3441">"https://earth.google.com/web/search/" &amp; A3441 &amp; "," &amp; B3441</f>
        <v>https://earth.google.com/web/search/-30.89237367619190,-55.54791768462580</v>
      </c>
      <c r="H3441" s="12"/>
      <c r="I3441" s="12"/>
      <c r="J3441" s="12"/>
      <c r="K3441" s="12"/>
      <c r="L3441" s="12"/>
      <c r="M3441" s="12"/>
      <c r="N3441" s="12"/>
      <c r="O3441" s="12"/>
      <c r="P3441" s="12"/>
      <c r="Q3441" s="12"/>
      <c r="R3441" s="12"/>
      <c r="S3441" s="12"/>
      <c r="T3441" s="12"/>
      <c r="U3441" s="12"/>
      <c r="V3441" s="12"/>
      <c r="W3441" s="12"/>
      <c r="X3441" s="12"/>
      <c r="Y3441" s="12"/>
      <c r="Z3441" s="12"/>
      <c r="AA3441" s="12"/>
    </row>
    <row r="3442" ht="26.25" customHeight="1">
      <c r="A3442" s="34" t="s">
        <v>6894</v>
      </c>
      <c r="B3442" s="35" t="s">
        <v>6895</v>
      </c>
      <c r="C3442" s="36">
        <v>4.0</v>
      </c>
      <c r="D3442" s="37">
        <v>87.0</v>
      </c>
      <c r="E3442" s="37">
        <v>3.0</v>
      </c>
      <c r="F3442" s="24" t="str">
        <f t="array" ref="F3442">"https://www.google.com/maps/search/?api=1&amp;query=" &amp; A3442 &amp; "," &amp; B3442</f>
        <v>https://www.google.com/maps/search/?api=1&amp;query=-30.89241549227780,-55.54782094327540</v>
      </c>
      <c r="G3442" s="25" t="str">
        <f t="array" ref="G3442">"https://earth.google.com/web/search/" &amp; A3442 &amp; "," &amp; B3442</f>
        <v>https://earth.google.com/web/search/-30.89241549227780,-55.54782094327540</v>
      </c>
      <c r="H3442" s="12"/>
      <c r="I3442" s="12"/>
      <c r="J3442" s="12"/>
      <c r="K3442" s="12"/>
      <c r="L3442" s="12"/>
      <c r="M3442" s="12"/>
      <c r="N3442" s="12"/>
      <c r="O3442" s="12"/>
      <c r="P3442" s="12"/>
      <c r="Q3442" s="12"/>
      <c r="R3442" s="12"/>
      <c r="S3442" s="12"/>
      <c r="T3442" s="12"/>
      <c r="U3442" s="12"/>
      <c r="V3442" s="12"/>
      <c r="W3442" s="12"/>
      <c r="X3442" s="12"/>
      <c r="Y3442" s="12"/>
      <c r="Z3442" s="12"/>
      <c r="AA3442" s="12"/>
    </row>
    <row r="3443" ht="26.25" customHeight="1">
      <c r="A3443" s="28" t="s">
        <v>6896</v>
      </c>
      <c r="B3443" s="29" t="s">
        <v>6897</v>
      </c>
      <c r="C3443" s="30">
        <v>4.0</v>
      </c>
      <c r="D3443" s="31">
        <v>87.0</v>
      </c>
      <c r="E3443" s="31">
        <v>4.0</v>
      </c>
      <c r="F3443" s="32" t="str">
        <f t="array" ref="F3443">"https://www.google.com/maps/search/?api=1&amp;query=" &amp; A3443 &amp; "," &amp; B3443</f>
        <v>https://www.google.com/maps/search/?api=1&amp;query=-30.89252738424160,-55.54761842815940</v>
      </c>
      <c r="G3443" s="33" t="str">
        <f t="array" ref="G3443">"https://earth.google.com/web/search/" &amp; A3443 &amp; "," &amp; B3443</f>
        <v>https://earth.google.com/web/search/-30.89252738424160,-55.54761842815940</v>
      </c>
      <c r="H3443" s="12"/>
      <c r="I3443" s="12"/>
      <c r="J3443" s="12"/>
      <c r="K3443" s="12"/>
      <c r="L3443" s="12"/>
      <c r="M3443" s="12"/>
      <c r="N3443" s="12"/>
      <c r="O3443" s="12"/>
      <c r="P3443" s="12"/>
      <c r="Q3443" s="12"/>
      <c r="R3443" s="12"/>
      <c r="S3443" s="12"/>
      <c r="T3443" s="12"/>
      <c r="U3443" s="12"/>
      <c r="V3443" s="12"/>
      <c r="W3443" s="12"/>
      <c r="X3443" s="12"/>
      <c r="Y3443" s="12"/>
      <c r="Z3443" s="12"/>
      <c r="AA3443" s="12"/>
    </row>
    <row r="3444" ht="26.25" customHeight="1">
      <c r="A3444" s="34" t="s">
        <v>6898</v>
      </c>
      <c r="B3444" s="35" t="s">
        <v>6899</v>
      </c>
      <c r="C3444" s="36">
        <v>4.0</v>
      </c>
      <c r="D3444" s="37">
        <v>87.0</v>
      </c>
      <c r="E3444" s="37">
        <v>5.0</v>
      </c>
      <c r="F3444" s="24" t="str">
        <f t="array" ref="F3444">"https://www.google.com/maps/search/?api=1&amp;query=" &amp; A3444 &amp; "," &amp; B3444</f>
        <v>https://www.google.com/maps/search/?api=1&amp;query=-30.89256199468120,-5.55475216203706</v>
      </c>
      <c r="G3444" s="25" t="str">
        <f t="array" ref="G3444">"https://earth.google.com/web/search/" &amp; A3444 &amp; "," &amp; B3444</f>
        <v>https://earth.google.com/web/search/-30.89256199468120,-5.55475216203706</v>
      </c>
      <c r="H3444" s="12"/>
      <c r="I3444" s="12"/>
      <c r="J3444" s="12"/>
      <c r="K3444" s="12"/>
      <c r="L3444" s="12"/>
      <c r="M3444" s="12"/>
      <c r="N3444" s="12"/>
      <c r="O3444" s="12"/>
      <c r="P3444" s="12"/>
      <c r="Q3444" s="12"/>
      <c r="R3444" s="12"/>
      <c r="S3444" s="12"/>
      <c r="T3444" s="12"/>
      <c r="U3444" s="12"/>
      <c r="V3444" s="12"/>
      <c r="W3444" s="12"/>
      <c r="X3444" s="12"/>
      <c r="Y3444" s="12"/>
      <c r="Z3444" s="12"/>
      <c r="AA3444" s="12"/>
    </row>
    <row r="3445" ht="26.25" customHeight="1">
      <c r="A3445" s="28" t="s">
        <v>6900</v>
      </c>
      <c r="B3445" s="29" t="s">
        <v>6901</v>
      </c>
      <c r="C3445" s="30">
        <v>4.0</v>
      </c>
      <c r="D3445" s="31">
        <v>87.0</v>
      </c>
      <c r="E3445" s="31">
        <v>6.0</v>
      </c>
      <c r="F3445" s="32" t="str">
        <f t="array" ref="F3445">"https://www.google.com/maps/search/?api=1&amp;query=" &amp; A3445 &amp; "," &amp; B3445</f>
        <v>https://www.google.com/maps/search/?api=1&amp;query=-30.89232235950780,-55.54706187210910</v>
      </c>
      <c r="G3445" s="33" t="str">
        <f t="array" ref="G3445">"https://earth.google.com/web/search/" &amp; A3445 &amp; "," &amp; B3445</f>
        <v>https://earth.google.com/web/search/-30.89232235950780,-55.54706187210910</v>
      </c>
      <c r="H3445" s="12"/>
      <c r="I3445" s="12"/>
      <c r="J3445" s="12"/>
      <c r="K3445" s="12"/>
      <c r="L3445" s="12"/>
      <c r="M3445" s="12"/>
      <c r="N3445" s="12"/>
      <c r="O3445" s="12"/>
      <c r="P3445" s="12"/>
      <c r="Q3445" s="12"/>
      <c r="R3445" s="12"/>
      <c r="S3445" s="12"/>
      <c r="T3445" s="12"/>
      <c r="U3445" s="12"/>
      <c r="V3445" s="12"/>
      <c r="W3445" s="12"/>
      <c r="X3445" s="12"/>
      <c r="Y3445" s="12"/>
      <c r="Z3445" s="12"/>
      <c r="AA3445" s="12"/>
    </row>
    <row r="3446" ht="26.25" customHeight="1">
      <c r="A3446" s="34" t="s">
        <v>6902</v>
      </c>
      <c r="B3446" s="35" t="s">
        <v>6903</v>
      </c>
      <c r="C3446" s="36">
        <v>4.0</v>
      </c>
      <c r="D3446" s="37">
        <v>87.0</v>
      </c>
      <c r="E3446" s="37">
        <v>7.0</v>
      </c>
      <c r="F3446" s="24" t="str">
        <f t="array" ref="F3446">"https://www.google.com/maps/search/?api=1&amp;query=" &amp; A3446 &amp; "," &amp; B3446</f>
        <v>https://www.google.com/maps/search/?api=1&amp;query=-30.89220351220870,-55.54698934290180</v>
      </c>
      <c r="G3446" s="25" t="str">
        <f t="array" ref="G3446">"https://earth.google.com/web/search/" &amp; A3446 &amp; "," &amp; B3446</f>
        <v>https://earth.google.com/web/search/-30.89220351220870,-55.54698934290180</v>
      </c>
      <c r="H3446" s="12"/>
      <c r="I3446" s="12"/>
      <c r="J3446" s="12"/>
      <c r="K3446" s="12"/>
      <c r="L3446" s="12"/>
      <c r="M3446" s="12"/>
      <c r="N3446" s="12"/>
      <c r="O3446" s="12"/>
      <c r="P3446" s="12"/>
      <c r="Q3446" s="12"/>
      <c r="R3446" s="12"/>
      <c r="S3446" s="12"/>
      <c r="T3446" s="12"/>
      <c r="U3446" s="12"/>
      <c r="V3446" s="12"/>
      <c r="W3446" s="12"/>
      <c r="X3446" s="12"/>
      <c r="Y3446" s="12"/>
      <c r="Z3446" s="12"/>
      <c r="AA3446" s="12"/>
    </row>
    <row r="3447" ht="26.25" customHeight="1">
      <c r="A3447" s="28" t="s">
        <v>6904</v>
      </c>
      <c r="B3447" s="29" t="s">
        <v>6905</v>
      </c>
      <c r="C3447" s="30">
        <v>4.0</v>
      </c>
      <c r="D3447" s="31">
        <v>87.0</v>
      </c>
      <c r="E3447" s="31">
        <v>8.0</v>
      </c>
      <c r="F3447" s="32" t="str">
        <f t="array" ref="F3447">"https://www.google.com/maps/search/?api=1&amp;query=" &amp; A3447 &amp; "," &amp; B3447</f>
        <v>https://www.google.com/maps/search/?api=1&amp;query=-30.89193886835400,-55.54691661579610</v>
      </c>
      <c r="G3447" s="33" t="str">
        <f t="array" ref="G3447">"https://earth.google.com/web/search/" &amp; A3447 &amp; "," &amp; B3447</f>
        <v>https://earth.google.com/web/search/-30.89193886835400,-55.54691661579610</v>
      </c>
      <c r="H3447" s="12"/>
      <c r="I3447" s="12"/>
      <c r="J3447" s="12"/>
      <c r="K3447" s="12"/>
      <c r="L3447" s="12"/>
      <c r="M3447" s="12"/>
      <c r="N3447" s="12"/>
      <c r="O3447" s="12"/>
      <c r="P3447" s="12"/>
      <c r="Q3447" s="12"/>
      <c r="R3447" s="12"/>
      <c r="S3447" s="12"/>
      <c r="T3447" s="12"/>
      <c r="U3447" s="12"/>
      <c r="V3447" s="12"/>
      <c r="W3447" s="12"/>
      <c r="X3447" s="12"/>
      <c r="Y3447" s="12"/>
      <c r="Z3447" s="12"/>
      <c r="AA3447" s="12"/>
    </row>
    <row r="3448" ht="26.25" customHeight="1">
      <c r="A3448" s="34" t="s">
        <v>6906</v>
      </c>
      <c r="B3448" s="35" t="s">
        <v>6907</v>
      </c>
      <c r="C3448" s="36">
        <v>4.0</v>
      </c>
      <c r="D3448" s="37">
        <v>87.0</v>
      </c>
      <c r="E3448" s="37">
        <v>9.0</v>
      </c>
      <c r="F3448" s="24" t="str">
        <f t="array" ref="F3448">"https://www.google.com/maps/search/?api=1&amp;query=" &amp; A3448 &amp; "," &amp; B3448</f>
        <v>https://www.google.com/maps/search/?api=1&amp;query=-30.89157934649670,-55.54757795135880</v>
      </c>
      <c r="G3448" s="25" t="str">
        <f t="array" ref="G3448">"https://earth.google.com/web/search/" &amp; A3448 &amp; "," &amp; B3448</f>
        <v>https://earth.google.com/web/search/-30.89157934649670,-55.54757795135880</v>
      </c>
      <c r="H3448" s="12"/>
      <c r="I3448" s="12"/>
      <c r="J3448" s="12"/>
      <c r="K3448" s="12"/>
      <c r="L3448" s="12"/>
      <c r="M3448" s="12"/>
      <c r="N3448" s="12"/>
      <c r="O3448" s="12"/>
      <c r="P3448" s="12"/>
      <c r="Q3448" s="12"/>
      <c r="R3448" s="12"/>
      <c r="S3448" s="12"/>
      <c r="T3448" s="12"/>
      <c r="U3448" s="12"/>
      <c r="V3448" s="12"/>
      <c r="W3448" s="12"/>
      <c r="X3448" s="12"/>
      <c r="Y3448" s="12"/>
      <c r="Z3448" s="12"/>
      <c r="AA3448" s="12"/>
    </row>
    <row r="3449" ht="26.25" customHeight="1">
      <c r="A3449" s="28" t="s">
        <v>6908</v>
      </c>
      <c r="B3449" s="29" t="s">
        <v>6909</v>
      </c>
      <c r="C3449" s="30">
        <v>4.0</v>
      </c>
      <c r="D3449" s="31">
        <v>87.0</v>
      </c>
      <c r="E3449" s="31">
        <v>10.0</v>
      </c>
      <c r="F3449" s="32" t="str">
        <f t="array" ref="F3449">"https://www.google.com/maps/search/?api=1&amp;query=" &amp; A3449 &amp; "," &amp; B3449</f>
        <v>https://www.google.com/maps/search/?api=1&amp;query=-30.89163023009060,-55.54771767959850</v>
      </c>
      <c r="G3449" s="33" t="str">
        <f t="array" ref="G3449">"https://earth.google.com/web/search/" &amp; A3449 &amp; "," &amp; B3449</f>
        <v>https://earth.google.com/web/search/-30.89163023009060,-55.54771767959850</v>
      </c>
      <c r="H3449" s="12"/>
      <c r="I3449" s="12"/>
      <c r="J3449" s="12"/>
      <c r="K3449" s="12"/>
      <c r="L3449" s="12"/>
      <c r="M3449" s="12"/>
      <c r="N3449" s="12"/>
      <c r="O3449" s="12"/>
      <c r="P3449" s="12"/>
      <c r="Q3449" s="12"/>
      <c r="R3449" s="12"/>
      <c r="S3449" s="12"/>
      <c r="T3449" s="12"/>
      <c r="U3449" s="12"/>
      <c r="V3449" s="12"/>
      <c r="W3449" s="12"/>
      <c r="X3449" s="12"/>
      <c r="Y3449" s="12"/>
      <c r="Z3449" s="12"/>
      <c r="AA3449" s="12"/>
    </row>
    <row r="3450" ht="26.25" customHeight="1">
      <c r="A3450" s="34" t="s">
        <v>6910</v>
      </c>
      <c r="B3450" s="35" t="s">
        <v>6911</v>
      </c>
      <c r="C3450" s="36">
        <v>4.0</v>
      </c>
      <c r="D3450" s="37">
        <v>87.0</v>
      </c>
      <c r="E3450" s="37">
        <v>11.0</v>
      </c>
      <c r="F3450" s="24" t="str">
        <f t="array" ref="F3450">"https://www.google.com/maps/search/?api=1&amp;query=" &amp; A3450 &amp; "," &amp; B3450</f>
        <v>https://www.google.com/maps/search/?api=1&amp;query=-30.89190693585980,-55.54788078267950</v>
      </c>
      <c r="G3450" s="25" t="str">
        <f t="array" ref="G3450">"https://earth.google.com/web/search/" &amp; A3450 &amp; "," &amp; B3450</f>
        <v>https://earth.google.com/web/search/-30.89190693585980,-55.54788078267950</v>
      </c>
      <c r="H3450" s="12"/>
      <c r="I3450" s="12"/>
      <c r="J3450" s="12"/>
      <c r="K3450" s="12"/>
      <c r="L3450" s="12"/>
      <c r="M3450" s="12"/>
      <c r="N3450" s="12"/>
      <c r="O3450" s="12"/>
      <c r="P3450" s="12"/>
      <c r="Q3450" s="12"/>
      <c r="R3450" s="12"/>
      <c r="S3450" s="12"/>
      <c r="T3450" s="12"/>
      <c r="U3450" s="12"/>
      <c r="V3450" s="12"/>
      <c r="W3450" s="12"/>
      <c r="X3450" s="12"/>
      <c r="Y3450" s="12"/>
      <c r="Z3450" s="12"/>
      <c r="AA3450" s="12"/>
    </row>
    <row r="3451" ht="26.25" customHeight="1">
      <c r="A3451" s="28" t="s">
        <v>6912</v>
      </c>
      <c r="B3451" s="29" t="s">
        <v>6913</v>
      </c>
      <c r="C3451" s="30">
        <v>4.0</v>
      </c>
      <c r="D3451" s="31">
        <v>87.0</v>
      </c>
      <c r="E3451" s="31">
        <v>12.0</v>
      </c>
      <c r="F3451" s="32" t="str">
        <f t="array" ref="F3451">"https://www.google.com/maps/search/?api=1&amp;query=" &amp; A3451 &amp; "," &amp; B3451</f>
        <v>https://www.google.com/maps/search/?api=1&amp;query=-30.89197785016180,-55.54791936413870</v>
      </c>
      <c r="G3451" s="33" t="str">
        <f t="array" ref="G3451">"https://earth.google.com/web/search/" &amp; A3451 &amp; "," &amp; B3451</f>
        <v>https://earth.google.com/web/search/-30.89197785016180,-55.54791936413870</v>
      </c>
      <c r="H3451" s="12"/>
      <c r="I3451" s="12"/>
      <c r="J3451" s="12"/>
      <c r="K3451" s="12"/>
      <c r="L3451" s="12"/>
      <c r="M3451" s="12"/>
      <c r="N3451" s="12"/>
      <c r="O3451" s="12"/>
      <c r="P3451" s="12"/>
      <c r="Q3451" s="12"/>
      <c r="R3451" s="12"/>
      <c r="S3451" s="12"/>
      <c r="T3451" s="12"/>
      <c r="U3451" s="12"/>
      <c r="V3451" s="12"/>
      <c r="W3451" s="12"/>
      <c r="X3451" s="12"/>
      <c r="Y3451" s="12"/>
      <c r="Z3451" s="12"/>
      <c r="AA3451" s="12"/>
    </row>
    <row r="3452" ht="26.25" customHeight="1">
      <c r="A3452" s="34" t="s">
        <v>6914</v>
      </c>
      <c r="B3452" s="35" t="s">
        <v>6915</v>
      </c>
      <c r="C3452" s="36">
        <v>4.0</v>
      </c>
      <c r="D3452" s="37">
        <v>87.0</v>
      </c>
      <c r="E3452" s="37">
        <v>13.0</v>
      </c>
      <c r="F3452" s="24" t="str">
        <f t="array" ref="F3452">"https://www.google.com/maps/search/?api=1&amp;query=" &amp; A3452 &amp; "," &amp; B3452</f>
        <v>https://www.google.com/maps/search/?api=1&amp;query=-30.89201043333590,-55.54794430069640</v>
      </c>
      <c r="G3452" s="25" t="str">
        <f t="array" ref="G3452">"https://earth.google.com/web/search/" &amp; A3452 &amp; "," &amp; B3452</f>
        <v>https://earth.google.com/web/search/-30.89201043333590,-55.54794430069640</v>
      </c>
      <c r="H3452" s="12"/>
      <c r="I3452" s="12"/>
      <c r="J3452" s="12"/>
      <c r="K3452" s="12"/>
      <c r="L3452" s="12"/>
      <c r="M3452" s="12"/>
      <c r="N3452" s="12"/>
      <c r="O3452" s="12"/>
      <c r="P3452" s="12"/>
      <c r="Q3452" s="12"/>
      <c r="R3452" s="12"/>
      <c r="S3452" s="12"/>
      <c r="T3452" s="12"/>
      <c r="U3452" s="12"/>
      <c r="V3452" s="12"/>
      <c r="W3452" s="12"/>
      <c r="X3452" s="12"/>
      <c r="Y3452" s="12"/>
      <c r="Z3452" s="12"/>
      <c r="AA3452" s="12"/>
    </row>
    <row r="3453" ht="26.25" customHeight="1">
      <c r="A3453" s="28" t="s">
        <v>6916</v>
      </c>
      <c r="B3453" s="29" t="s">
        <v>6917</v>
      </c>
      <c r="C3453" s="30">
        <v>4.0</v>
      </c>
      <c r="D3453" s="31">
        <v>88.0</v>
      </c>
      <c r="E3453" s="31">
        <v>1.0</v>
      </c>
      <c r="F3453" s="32" t="str">
        <f t="array" ref="F3453">"https://www.google.com/maps/search/?api=1&amp;query=" &amp; A3453 &amp; "," &amp; B3453</f>
        <v>https://www.google.com/maps/search/?api=1&amp;query=-30.89179627635730,-55.54895664860310</v>
      </c>
      <c r="G3453" s="33" t="str">
        <f t="array" ref="G3453">"https://earth.google.com/web/search/" &amp; A3453 &amp; "," &amp; B3453</f>
        <v>https://earth.google.com/web/search/-30.89179627635730,-55.54895664860310</v>
      </c>
      <c r="H3453" s="12"/>
      <c r="I3453" s="12"/>
      <c r="J3453" s="12"/>
      <c r="K3453" s="12"/>
      <c r="L3453" s="12"/>
      <c r="M3453" s="12"/>
      <c r="N3453" s="12"/>
      <c r="O3453" s="12"/>
      <c r="P3453" s="12"/>
      <c r="Q3453" s="12"/>
      <c r="R3453" s="12"/>
      <c r="S3453" s="12"/>
      <c r="T3453" s="12"/>
      <c r="U3453" s="12"/>
      <c r="V3453" s="12"/>
      <c r="W3453" s="12"/>
      <c r="X3453" s="12"/>
      <c r="Y3453" s="12"/>
      <c r="Z3453" s="12"/>
      <c r="AA3453" s="12"/>
    </row>
    <row r="3454" ht="26.25" customHeight="1">
      <c r="A3454" s="34" t="s">
        <v>6918</v>
      </c>
      <c r="B3454" s="35" t="s">
        <v>6919</v>
      </c>
      <c r="C3454" s="36">
        <v>4.0</v>
      </c>
      <c r="D3454" s="37">
        <v>88.0</v>
      </c>
      <c r="E3454" s="37">
        <v>2.0</v>
      </c>
      <c r="F3454" s="24" t="str">
        <f t="array" ref="F3454">"https://www.google.com/maps/search/?api=1&amp;query=" &amp; A3454 &amp; "," &amp; B3454</f>
        <v>https://www.google.com/maps/search/?api=1&amp;query=-30.89204879893710,-55.54850537094190</v>
      </c>
      <c r="G3454" s="25" t="str">
        <f t="array" ref="G3454">"https://earth.google.com/web/search/" &amp; A3454 &amp; "," &amp; B3454</f>
        <v>https://earth.google.com/web/search/-30.89204879893710,-55.54850537094190</v>
      </c>
      <c r="H3454" s="12"/>
      <c r="I3454" s="12"/>
      <c r="J3454" s="12"/>
      <c r="K3454" s="12"/>
      <c r="L3454" s="12"/>
      <c r="M3454" s="12"/>
      <c r="N3454" s="12"/>
      <c r="O3454" s="12"/>
      <c r="P3454" s="12"/>
      <c r="Q3454" s="12"/>
      <c r="R3454" s="12"/>
      <c r="S3454" s="12"/>
      <c r="T3454" s="12"/>
      <c r="U3454" s="12"/>
      <c r="V3454" s="12"/>
      <c r="W3454" s="12"/>
      <c r="X3454" s="12"/>
      <c r="Y3454" s="12"/>
      <c r="Z3454" s="12"/>
      <c r="AA3454" s="12"/>
    </row>
    <row r="3455" ht="26.25" customHeight="1">
      <c r="A3455" s="28" t="s">
        <v>6920</v>
      </c>
      <c r="B3455" s="29" t="s">
        <v>6921</v>
      </c>
      <c r="C3455" s="30">
        <v>4.0</v>
      </c>
      <c r="D3455" s="31">
        <v>88.0</v>
      </c>
      <c r="E3455" s="31">
        <v>3.0</v>
      </c>
      <c r="F3455" s="32" t="str">
        <f t="array" ref="F3455">"https://www.google.com/maps/search/?api=1&amp;query=" &amp; A3455 &amp; "," &amp; B3455</f>
        <v>https://www.google.com/maps/search/?api=1&amp;query=-30.89137661122810,-55.54792210035240</v>
      </c>
      <c r="G3455" s="33" t="str">
        <f t="array" ref="G3455">"https://earth.google.com/web/search/" &amp; A3455 &amp; "," &amp; B3455</f>
        <v>https://earth.google.com/web/search/-30.89137661122810,-55.54792210035240</v>
      </c>
      <c r="H3455" s="12"/>
      <c r="I3455" s="12"/>
      <c r="J3455" s="12"/>
      <c r="K3455" s="12"/>
      <c r="L3455" s="12"/>
      <c r="M3455" s="12"/>
      <c r="N3455" s="12"/>
      <c r="O3455" s="12"/>
      <c r="P3455" s="12"/>
      <c r="Q3455" s="12"/>
      <c r="R3455" s="12"/>
      <c r="S3455" s="12"/>
      <c r="T3455" s="12"/>
      <c r="U3455" s="12"/>
      <c r="V3455" s="12"/>
      <c r="W3455" s="12"/>
      <c r="X3455" s="12"/>
      <c r="Y3455" s="12"/>
      <c r="Z3455" s="12"/>
      <c r="AA3455" s="12"/>
    </row>
    <row r="3456" ht="26.25" customHeight="1">
      <c r="A3456" s="34" t="s">
        <v>6922</v>
      </c>
      <c r="B3456" s="35" t="s">
        <v>6923</v>
      </c>
      <c r="C3456" s="36">
        <v>4.0</v>
      </c>
      <c r="D3456" s="37">
        <v>88.0</v>
      </c>
      <c r="E3456" s="37">
        <v>4.0</v>
      </c>
      <c r="F3456" s="24" t="str">
        <f t="array" ref="F3456">"https://www.google.com/maps/search/?api=1&amp;query=" &amp; A3456 &amp; "," &amp; B3456</f>
        <v>https://www.google.com/maps/search/?api=1&amp;query=-30.89110182059130,-55.54859448131300</v>
      </c>
      <c r="G3456" s="25" t="str">
        <f t="array" ref="G3456">"https://earth.google.com/web/search/" &amp; A3456 &amp; "," &amp; B3456</f>
        <v>https://earth.google.com/web/search/-30.89110182059130,-55.54859448131300</v>
      </c>
      <c r="H3456" s="12"/>
      <c r="I3456" s="12"/>
      <c r="J3456" s="12"/>
      <c r="K3456" s="12"/>
      <c r="L3456" s="12"/>
      <c r="M3456" s="12"/>
      <c r="N3456" s="12"/>
      <c r="O3456" s="12"/>
      <c r="P3456" s="12"/>
      <c r="Q3456" s="12"/>
      <c r="R3456" s="12"/>
      <c r="S3456" s="12"/>
      <c r="T3456" s="12"/>
      <c r="U3456" s="12"/>
      <c r="V3456" s="12"/>
      <c r="W3456" s="12"/>
      <c r="X3456" s="12"/>
      <c r="Y3456" s="12"/>
      <c r="Z3456" s="12"/>
      <c r="AA3456" s="12"/>
    </row>
    <row r="3457" ht="26.25" customHeight="1">
      <c r="A3457" s="28" t="s">
        <v>6924</v>
      </c>
      <c r="B3457" s="29" t="s">
        <v>6925</v>
      </c>
      <c r="C3457" s="30">
        <v>4.0</v>
      </c>
      <c r="D3457" s="31">
        <v>88.0</v>
      </c>
      <c r="E3457" s="31">
        <v>5.0</v>
      </c>
      <c r="F3457" s="32" t="str">
        <f t="array" ref="F3457">"https://www.google.com/maps/search/?api=1&amp;query=" &amp; A3457 &amp; "," &amp; B3457</f>
        <v>https://www.google.com/maps/search/?api=1&amp;query=-30.89144923736060,-55.54882001694420</v>
      </c>
      <c r="G3457" s="33" t="str">
        <f t="array" ref="G3457">"https://earth.google.com/web/search/" &amp; A3457 &amp; "," &amp; B3457</f>
        <v>https://earth.google.com/web/search/-30.89144923736060,-55.54882001694420</v>
      </c>
      <c r="H3457" s="12"/>
      <c r="I3457" s="12"/>
      <c r="J3457" s="12"/>
      <c r="K3457" s="12"/>
      <c r="L3457" s="12"/>
      <c r="M3457" s="12"/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/>
      <c r="AA3457" s="12"/>
    </row>
    <row r="3458" ht="26.25" customHeight="1">
      <c r="A3458" s="34" t="s">
        <v>6926</v>
      </c>
      <c r="B3458" s="35" t="s">
        <v>6927</v>
      </c>
      <c r="C3458" s="36">
        <v>4.0</v>
      </c>
      <c r="D3458" s="37">
        <v>88.0</v>
      </c>
      <c r="E3458" s="37">
        <v>6.0</v>
      </c>
      <c r="F3458" s="24" t="str">
        <f t="array" ref="F3458">"https://www.google.com/maps/search/?api=1&amp;query=" &amp; A3458 &amp; "," &amp; B3458</f>
        <v>https://www.google.com/maps/search/?api=1&amp;query=-30.89157445211180,-55.54890799545580</v>
      </c>
      <c r="G3458" s="25" t="str">
        <f t="array" ref="G3458">"https://earth.google.com/web/search/" &amp; A3458 &amp; "," &amp; B3458</f>
        <v>https://earth.google.com/web/search/-30.89157445211180,-55.54890799545580</v>
      </c>
      <c r="H3458" s="12"/>
      <c r="I3458" s="12"/>
      <c r="J3458" s="12"/>
      <c r="K3458" s="12"/>
      <c r="L3458" s="12"/>
      <c r="M3458" s="12"/>
      <c r="N3458" s="12"/>
      <c r="O3458" s="12"/>
      <c r="P3458" s="12"/>
      <c r="Q3458" s="12"/>
      <c r="R3458" s="12"/>
      <c r="S3458" s="12"/>
      <c r="T3458" s="12"/>
      <c r="U3458" s="12"/>
      <c r="V3458" s="12"/>
      <c r="W3458" s="12"/>
      <c r="X3458" s="12"/>
      <c r="Y3458" s="12"/>
      <c r="Z3458" s="12"/>
      <c r="AA3458" s="12"/>
    </row>
    <row r="3459" ht="26.25" customHeight="1">
      <c r="A3459" s="28" t="s">
        <v>6928</v>
      </c>
      <c r="B3459" s="29" t="s">
        <v>6929</v>
      </c>
      <c r="C3459" s="30">
        <v>4.0</v>
      </c>
      <c r="D3459" s="31">
        <v>89.0</v>
      </c>
      <c r="E3459" s="31">
        <v>1.0</v>
      </c>
      <c r="F3459" s="32" t="str">
        <f t="array" ref="F3459">"https://www.google.com/maps/search/?api=1&amp;query=" &amp; A3459 &amp; "," &amp; B3459</f>
        <v>https://www.google.com/maps/search/?api=1&amp;query=-30.89129562916730,-55.54991346645870</v>
      </c>
      <c r="G3459" s="33" t="str">
        <f t="array" ref="G3459">"https://earth.google.com/web/search/" &amp; A3459 &amp; "," &amp; B3459</f>
        <v>https://earth.google.com/web/search/-30.89129562916730,-55.54991346645870</v>
      </c>
      <c r="H3459" s="12"/>
      <c r="I3459" s="12"/>
      <c r="J3459" s="12"/>
      <c r="K3459" s="12"/>
      <c r="L3459" s="12"/>
      <c r="M3459" s="12"/>
      <c r="N3459" s="12"/>
      <c r="O3459" s="12"/>
      <c r="P3459" s="12"/>
      <c r="Q3459" s="12"/>
      <c r="R3459" s="12"/>
      <c r="S3459" s="12"/>
      <c r="T3459" s="12"/>
      <c r="U3459" s="12"/>
      <c r="V3459" s="12"/>
      <c r="W3459" s="12"/>
      <c r="X3459" s="12"/>
      <c r="Y3459" s="12"/>
      <c r="Z3459" s="12"/>
      <c r="AA3459" s="12"/>
    </row>
    <row r="3460" ht="26.25" customHeight="1">
      <c r="A3460" s="34" t="s">
        <v>6930</v>
      </c>
      <c r="B3460" s="35" t="s">
        <v>6931</v>
      </c>
      <c r="C3460" s="36">
        <v>4.0</v>
      </c>
      <c r="D3460" s="37">
        <v>89.0</v>
      </c>
      <c r="E3460" s="37">
        <v>2.0</v>
      </c>
      <c r="F3460" s="24" t="str">
        <f t="array" ref="F3460">"https://www.google.com/maps/search/?api=1&amp;query=" &amp; A3460 &amp; "," &amp; B3460</f>
        <v>https://www.google.com/maps/search/?api=1&amp;query=-30.89152898787760,-55.54954202387400</v>
      </c>
      <c r="G3460" s="25" t="str">
        <f t="array" ref="G3460">"https://earth.google.com/web/search/" &amp; A3460 &amp; "," &amp; B3460</f>
        <v>https://earth.google.com/web/search/-30.89152898787760,-55.54954202387400</v>
      </c>
      <c r="H3460" s="12"/>
      <c r="I3460" s="12"/>
      <c r="J3460" s="12"/>
      <c r="K3460" s="12"/>
      <c r="L3460" s="12"/>
      <c r="M3460" s="12"/>
      <c r="N3460" s="12"/>
      <c r="O3460" s="12"/>
      <c r="P3460" s="12"/>
      <c r="Q3460" s="12"/>
      <c r="R3460" s="12"/>
      <c r="S3460" s="12"/>
      <c r="T3460" s="12"/>
      <c r="U3460" s="12"/>
      <c r="V3460" s="12"/>
      <c r="W3460" s="12"/>
      <c r="X3460" s="12"/>
      <c r="Y3460" s="12"/>
      <c r="Z3460" s="12"/>
      <c r="AA3460" s="12"/>
    </row>
    <row r="3461" ht="26.25" customHeight="1">
      <c r="A3461" s="28" t="s">
        <v>6932</v>
      </c>
      <c r="B3461" s="29" t="s">
        <v>6933</v>
      </c>
      <c r="C3461" s="30">
        <v>4.0</v>
      </c>
      <c r="D3461" s="31">
        <v>89.0</v>
      </c>
      <c r="E3461" s="31">
        <v>3.0</v>
      </c>
      <c r="F3461" s="32" t="str">
        <f t="array" ref="F3461">"https://www.google.com/maps/search/?api=1&amp;query=" &amp; A3461 &amp; "," &amp; B3461</f>
        <v>https://www.google.com/maps/search/?api=1&amp;query=-30.89165561775220,-55.54928088197580</v>
      </c>
      <c r="G3461" s="33" t="str">
        <f t="array" ref="G3461">"https://earth.google.com/web/search/" &amp; A3461 &amp; "," &amp; B3461</f>
        <v>https://earth.google.com/web/search/-30.89165561775220,-55.54928088197580</v>
      </c>
      <c r="H3461" s="12"/>
      <c r="I3461" s="12"/>
      <c r="J3461" s="12"/>
      <c r="K3461" s="12"/>
      <c r="L3461" s="12"/>
      <c r="M3461" s="12"/>
      <c r="N3461" s="12"/>
      <c r="O3461" s="12"/>
      <c r="P3461" s="12"/>
      <c r="Q3461" s="12"/>
      <c r="R3461" s="12"/>
      <c r="S3461" s="12"/>
      <c r="T3461" s="12"/>
      <c r="U3461" s="12"/>
      <c r="V3461" s="12"/>
      <c r="W3461" s="12"/>
      <c r="X3461" s="12"/>
      <c r="Y3461" s="12"/>
      <c r="Z3461" s="12"/>
      <c r="AA3461" s="12"/>
    </row>
    <row r="3462" ht="26.25" customHeight="1">
      <c r="A3462" s="34" t="s">
        <v>6934</v>
      </c>
      <c r="B3462" s="35" t="s">
        <v>6935</v>
      </c>
      <c r="C3462" s="36">
        <v>4.0</v>
      </c>
      <c r="D3462" s="37">
        <v>89.0</v>
      </c>
      <c r="E3462" s="37">
        <v>4.0</v>
      </c>
      <c r="F3462" s="24" t="str">
        <f t="array" ref="F3462">"https://www.google.com/maps/search/?api=1&amp;query=" &amp; A3462 &amp; "," &amp; B3462</f>
        <v>https://www.google.com/maps/search/?api=1&amp;query=-30.89158221224620,-55.54904947094720</v>
      </c>
      <c r="G3462" s="25" t="str">
        <f t="array" ref="G3462">"https://earth.google.com/web/search/" &amp; A3462 &amp; "," &amp; B3462</f>
        <v>https://earth.google.com/web/search/-30.89158221224620,-55.54904947094720</v>
      </c>
      <c r="H3462" s="12"/>
      <c r="I3462" s="12"/>
      <c r="J3462" s="12"/>
      <c r="K3462" s="12"/>
      <c r="L3462" s="12"/>
      <c r="M3462" s="12"/>
      <c r="N3462" s="12"/>
      <c r="O3462" s="12"/>
      <c r="P3462" s="12"/>
      <c r="Q3462" s="12"/>
      <c r="R3462" s="12"/>
      <c r="S3462" s="12"/>
      <c r="T3462" s="12"/>
      <c r="U3462" s="12"/>
      <c r="V3462" s="12"/>
      <c r="W3462" s="12"/>
      <c r="X3462" s="12"/>
      <c r="Y3462" s="12"/>
      <c r="Z3462" s="12"/>
      <c r="AA3462" s="12"/>
    </row>
    <row r="3463" ht="26.25" customHeight="1">
      <c r="A3463" s="28" t="s">
        <v>6936</v>
      </c>
      <c r="B3463" s="29" t="s">
        <v>6937</v>
      </c>
      <c r="C3463" s="30">
        <v>4.0</v>
      </c>
      <c r="D3463" s="31">
        <v>89.0</v>
      </c>
      <c r="E3463" s="31">
        <v>5.0</v>
      </c>
      <c r="F3463" s="32" t="str">
        <f t="array" ref="F3463">"https://www.google.com/maps/search/?api=1&amp;query=" &amp; A3463 &amp; "," &amp; B3463</f>
        <v>https://www.google.com/maps/search/?api=1&amp;query=-30.89119965204610,-5.55487830932773</v>
      </c>
      <c r="G3463" s="33" t="str">
        <f t="array" ref="G3463">"https://earth.google.com/web/search/" &amp; A3463 &amp; "," &amp; B3463</f>
        <v>https://earth.google.com/web/search/-30.89119965204610,-5.55487830932773</v>
      </c>
      <c r="H3463" s="12"/>
      <c r="I3463" s="12"/>
      <c r="J3463" s="12"/>
      <c r="K3463" s="12"/>
      <c r="L3463" s="12"/>
      <c r="M3463" s="12"/>
      <c r="N3463" s="12"/>
      <c r="O3463" s="12"/>
      <c r="P3463" s="12"/>
      <c r="Q3463" s="12"/>
      <c r="R3463" s="12"/>
      <c r="S3463" s="12"/>
      <c r="T3463" s="12"/>
      <c r="U3463" s="12"/>
      <c r="V3463" s="12"/>
      <c r="W3463" s="12"/>
      <c r="X3463" s="12"/>
      <c r="Y3463" s="12"/>
      <c r="Z3463" s="12"/>
      <c r="AA3463" s="12"/>
    </row>
    <row r="3464" ht="26.25" customHeight="1">
      <c r="A3464" s="34" t="s">
        <v>6938</v>
      </c>
      <c r="B3464" s="35" t="s">
        <v>6939</v>
      </c>
      <c r="C3464" s="36">
        <v>4.0</v>
      </c>
      <c r="D3464" s="37">
        <v>90.0</v>
      </c>
      <c r="E3464" s="37">
        <v>1.0</v>
      </c>
      <c r="F3464" s="24" t="str">
        <f t="array" ref="F3464">"https://www.google.com/maps/search/?api=1&amp;query=" &amp; A3464 &amp; "," &amp; B3464</f>
        <v>https://www.google.com/maps/search/?api=1&amp;query=-30.89094862847150,-55.55056315002350</v>
      </c>
      <c r="G3464" s="25" t="str">
        <f t="array" ref="G3464">"https://earth.google.com/web/search/" &amp; A3464 &amp; "," &amp; B3464</f>
        <v>https://earth.google.com/web/search/-30.89094862847150,-55.55056315002350</v>
      </c>
      <c r="H3464" s="12"/>
      <c r="I3464" s="12"/>
      <c r="J3464" s="12"/>
      <c r="K3464" s="12"/>
      <c r="L3464" s="12"/>
      <c r="M3464" s="12"/>
      <c r="N3464" s="12"/>
      <c r="O3464" s="12"/>
      <c r="P3464" s="12"/>
      <c r="Q3464" s="12"/>
      <c r="R3464" s="12"/>
      <c r="S3464" s="12"/>
      <c r="T3464" s="12"/>
      <c r="U3464" s="12"/>
      <c r="V3464" s="12"/>
      <c r="W3464" s="12"/>
      <c r="X3464" s="12"/>
      <c r="Y3464" s="12"/>
      <c r="Z3464" s="12"/>
      <c r="AA3464" s="12"/>
    </row>
    <row r="3465" ht="26.25" customHeight="1">
      <c r="A3465" s="28" t="s">
        <v>6940</v>
      </c>
      <c r="B3465" s="29" t="s">
        <v>6941</v>
      </c>
      <c r="C3465" s="30">
        <v>4.0</v>
      </c>
      <c r="D3465" s="31">
        <v>90.0</v>
      </c>
      <c r="E3465" s="31">
        <v>2.0</v>
      </c>
      <c r="F3465" s="32" t="str">
        <f t="array" ref="F3465">"https://www.google.com/maps/search/?api=1&amp;query=" &amp; A3465 &amp; "," &amp; B3465</f>
        <v>https://www.google.com/maps/search/?api=1&amp;query=-30.89077971171420,-55.54978400397240</v>
      </c>
      <c r="G3465" s="33" t="str">
        <f t="array" ref="G3465">"https://earth.google.com/web/search/" &amp; A3465 &amp; "," &amp; B3465</f>
        <v>https://earth.google.com/web/search/-30.89077971171420,-55.54978400397240</v>
      </c>
      <c r="H3465" s="12"/>
      <c r="I3465" s="12"/>
      <c r="J3465" s="12"/>
      <c r="K3465" s="12"/>
      <c r="L3465" s="12"/>
      <c r="M3465" s="12"/>
      <c r="N3465" s="12"/>
      <c r="O3465" s="12"/>
      <c r="P3465" s="12"/>
      <c r="Q3465" s="12"/>
      <c r="R3465" s="12"/>
      <c r="S3465" s="12"/>
      <c r="T3465" s="12"/>
      <c r="U3465" s="12"/>
      <c r="V3465" s="12"/>
      <c r="W3465" s="12"/>
      <c r="X3465" s="12"/>
      <c r="Y3465" s="12"/>
      <c r="Z3465" s="12"/>
      <c r="AA3465" s="12"/>
    </row>
    <row r="3466" ht="26.25" customHeight="1">
      <c r="A3466" s="34" t="s">
        <v>6942</v>
      </c>
      <c r="B3466" s="35" t="s">
        <v>6943</v>
      </c>
      <c r="C3466" s="36">
        <v>4.0</v>
      </c>
      <c r="D3466" s="37">
        <v>90.0</v>
      </c>
      <c r="E3466" s="37">
        <v>3.0</v>
      </c>
      <c r="F3466" s="24" t="str">
        <f t="array" ref="F3466">"https://www.google.com/maps/search/?api=1&amp;query=" &amp; A3466 &amp; "," &amp; B3466</f>
        <v>https://www.google.com/maps/search/?api=1&amp;query=-30.89044850952870,-55.54973125752030</v>
      </c>
      <c r="G3466" s="25" t="str">
        <f t="array" ref="G3466">"https://earth.google.com/web/search/" &amp; A3466 &amp; "," &amp; B3466</f>
        <v>https://earth.google.com/web/search/-30.89044850952870,-55.54973125752030</v>
      </c>
      <c r="H3466" s="12"/>
      <c r="I3466" s="12"/>
      <c r="J3466" s="12"/>
      <c r="K3466" s="12"/>
      <c r="L3466" s="12"/>
      <c r="M3466" s="12"/>
      <c r="N3466" s="12"/>
      <c r="O3466" s="12"/>
      <c r="P3466" s="12"/>
      <c r="Q3466" s="12"/>
      <c r="R3466" s="12"/>
      <c r="S3466" s="12"/>
      <c r="T3466" s="12"/>
      <c r="U3466" s="12"/>
      <c r="V3466" s="12"/>
      <c r="W3466" s="12"/>
      <c r="X3466" s="12"/>
      <c r="Y3466" s="12"/>
      <c r="Z3466" s="12"/>
      <c r="AA3466" s="12"/>
    </row>
    <row r="3467" ht="26.25" customHeight="1">
      <c r="A3467" s="28" t="s">
        <v>6944</v>
      </c>
      <c r="B3467" s="29" t="s">
        <v>6945</v>
      </c>
      <c r="C3467" s="30">
        <v>4.0</v>
      </c>
      <c r="D3467" s="31">
        <v>90.0</v>
      </c>
      <c r="E3467" s="31">
        <v>4.0</v>
      </c>
      <c r="F3467" s="32" t="str">
        <f t="array" ref="F3467">"https://www.google.com/maps/search/?api=1&amp;query=" &amp; A3467 &amp; "," &amp; B3467</f>
        <v>https://www.google.com/maps/search/?api=1&amp;query=-30.89040212338060,-55.55058601453180</v>
      </c>
      <c r="G3467" s="33" t="str">
        <f t="array" ref="G3467">"https://earth.google.com/web/search/" &amp; A3467 &amp; "," &amp; B3467</f>
        <v>https://earth.google.com/web/search/-30.89040212338060,-55.55058601453180</v>
      </c>
      <c r="H3467" s="12"/>
      <c r="I3467" s="12"/>
      <c r="J3467" s="12"/>
      <c r="K3467" s="12"/>
      <c r="L3467" s="12"/>
      <c r="M3467" s="12"/>
      <c r="N3467" s="12"/>
      <c r="O3467" s="12"/>
      <c r="P3467" s="12"/>
      <c r="Q3467" s="12"/>
      <c r="R3467" s="12"/>
      <c r="S3467" s="12"/>
      <c r="T3467" s="12"/>
      <c r="U3467" s="12"/>
      <c r="V3467" s="12"/>
      <c r="W3467" s="12"/>
      <c r="X3467" s="12"/>
      <c r="Y3467" s="12"/>
      <c r="Z3467" s="12"/>
      <c r="AA3467" s="12"/>
    </row>
    <row r="3468" ht="26.25" customHeight="1">
      <c r="A3468" s="34" t="s">
        <v>6946</v>
      </c>
      <c r="B3468" s="35" t="s">
        <v>6947</v>
      </c>
      <c r="C3468" s="36">
        <v>4.0</v>
      </c>
      <c r="D3468" s="37">
        <v>90.0</v>
      </c>
      <c r="E3468" s="37">
        <v>5.0</v>
      </c>
      <c r="F3468" s="24" t="str">
        <f t="array" ref="F3468">"https://www.google.com/maps/search/?api=1&amp;query=" &amp; A3468 &amp; "," &amp; B3468</f>
        <v>https://www.google.com/maps/search/?api=1&amp;query=-30.89052922978060,-55.55066640569510</v>
      </c>
      <c r="G3468" s="25" t="str">
        <f t="array" ref="G3468">"https://earth.google.com/web/search/" &amp; A3468 &amp; "," &amp; B3468</f>
        <v>https://earth.google.com/web/search/-30.89052922978060,-55.55066640569510</v>
      </c>
      <c r="H3468" s="12"/>
      <c r="I3468" s="12"/>
      <c r="J3468" s="12"/>
      <c r="K3468" s="12"/>
      <c r="L3468" s="12"/>
      <c r="M3468" s="12"/>
      <c r="N3468" s="12"/>
      <c r="O3468" s="12"/>
      <c r="P3468" s="12"/>
      <c r="Q3468" s="12"/>
      <c r="R3468" s="12"/>
      <c r="S3468" s="12"/>
      <c r="T3468" s="12"/>
      <c r="U3468" s="12"/>
      <c r="V3468" s="12"/>
      <c r="W3468" s="12"/>
      <c r="X3468" s="12"/>
      <c r="Y3468" s="12"/>
      <c r="Z3468" s="12"/>
      <c r="AA3468" s="12"/>
    </row>
    <row r="3469" ht="26.25" customHeight="1">
      <c r="A3469" s="28" t="s">
        <v>6948</v>
      </c>
      <c r="B3469" s="29" t="s">
        <v>6949</v>
      </c>
      <c r="C3469" s="30">
        <v>4.0</v>
      </c>
      <c r="D3469" s="31">
        <v>91.0</v>
      </c>
      <c r="E3469" s="31">
        <v>1.0</v>
      </c>
      <c r="F3469" s="32" t="str">
        <f t="array" ref="F3469">"https://www.google.com/maps/search/?api=1&amp;query=" &amp; A3469 &amp; "," &amp; B3469</f>
        <v>https://www.google.com/maps/search/?api=1&amp;query=-30.89034468348830,-55.55169909737740</v>
      </c>
      <c r="G3469" s="33" t="str">
        <f t="array" ref="G3469">"https://earth.google.com/web/search/" &amp; A3469 &amp; "," &amp; B3469</f>
        <v>https://earth.google.com/web/search/-30.89034468348830,-55.55169909737740</v>
      </c>
      <c r="H3469" s="12"/>
      <c r="I3469" s="12"/>
      <c r="J3469" s="12"/>
      <c r="K3469" s="12"/>
      <c r="L3469" s="12"/>
      <c r="M3469" s="12"/>
      <c r="N3469" s="12"/>
      <c r="O3469" s="12"/>
      <c r="P3469" s="12"/>
      <c r="Q3469" s="12"/>
      <c r="R3469" s="12"/>
      <c r="S3469" s="12"/>
      <c r="T3469" s="12"/>
      <c r="U3469" s="12"/>
      <c r="V3469" s="12"/>
      <c r="W3469" s="12"/>
      <c r="X3469" s="12"/>
      <c r="Y3469" s="12"/>
      <c r="Z3469" s="12"/>
      <c r="AA3469" s="12"/>
    </row>
    <row r="3470" ht="26.25" customHeight="1">
      <c r="A3470" s="34" t="s">
        <v>6950</v>
      </c>
      <c r="B3470" s="35" t="s">
        <v>6951</v>
      </c>
      <c r="C3470" s="36">
        <v>4.0</v>
      </c>
      <c r="D3470" s="37">
        <v>91.0</v>
      </c>
      <c r="E3470" s="37">
        <v>2.0</v>
      </c>
      <c r="F3470" s="24" t="str">
        <f t="array" ref="F3470">"https://www.google.com/maps/search/?api=1&amp;query=" &amp; A3470 &amp; "," &amp; B3470</f>
        <v>https://www.google.com/maps/search/?api=1&amp;query=-30.89029514602710,-55.55064566729730</v>
      </c>
      <c r="G3470" s="25" t="str">
        <f t="array" ref="G3470">"https://earth.google.com/web/search/" &amp; A3470 &amp; "," &amp; B3470</f>
        <v>https://earth.google.com/web/search/-30.89029514602710,-55.55064566729730</v>
      </c>
      <c r="H3470" s="12"/>
      <c r="I3470" s="12"/>
      <c r="J3470" s="12"/>
      <c r="K3470" s="12"/>
      <c r="L3470" s="12"/>
      <c r="M3470" s="12"/>
      <c r="N3470" s="12"/>
      <c r="O3470" s="12"/>
      <c r="P3470" s="12"/>
      <c r="Q3470" s="12"/>
      <c r="R3470" s="12"/>
      <c r="S3470" s="12"/>
      <c r="T3470" s="12"/>
      <c r="U3470" s="12"/>
      <c r="V3470" s="12"/>
      <c r="W3470" s="12"/>
      <c r="X3470" s="12"/>
      <c r="Y3470" s="12"/>
      <c r="Z3470" s="12"/>
      <c r="AA3470" s="12"/>
    </row>
    <row r="3471" ht="26.25" customHeight="1">
      <c r="A3471" s="28" t="s">
        <v>6952</v>
      </c>
      <c r="B3471" s="29" t="s">
        <v>6953</v>
      </c>
      <c r="C3471" s="30">
        <v>4.0</v>
      </c>
      <c r="D3471" s="31">
        <v>91.0</v>
      </c>
      <c r="E3471" s="31">
        <v>3.0</v>
      </c>
      <c r="F3471" s="32" t="str">
        <f t="array" ref="F3471">"https://www.google.com/maps/search/?api=1&amp;query=" &amp; A3471 &amp; "," &amp; B3471</f>
        <v>https://www.google.com/maps/search/?api=1&amp;query=-30.89004608501880,-5.55505005854452</v>
      </c>
      <c r="G3471" s="33" t="str">
        <f t="array" ref="G3471">"https://earth.google.com/web/search/" &amp; A3471 &amp; "," &amp; B3471</f>
        <v>https://earth.google.com/web/search/-30.89004608501880,-5.55505005854452</v>
      </c>
      <c r="H3471" s="12"/>
      <c r="I3471" s="12"/>
      <c r="J3471" s="12"/>
      <c r="K3471" s="12"/>
      <c r="L3471" s="12"/>
      <c r="M3471" s="12"/>
      <c r="N3471" s="12"/>
      <c r="O3471" s="12"/>
      <c r="P3471" s="12"/>
      <c r="Q3471" s="12"/>
      <c r="R3471" s="12"/>
      <c r="S3471" s="12"/>
      <c r="T3471" s="12"/>
      <c r="U3471" s="12"/>
      <c r="V3471" s="12"/>
      <c r="W3471" s="12"/>
      <c r="X3471" s="12"/>
      <c r="Y3471" s="12"/>
      <c r="Z3471" s="12"/>
      <c r="AA3471" s="12"/>
    </row>
    <row r="3472" ht="26.25" customHeight="1">
      <c r="A3472" s="34" t="s">
        <v>6954</v>
      </c>
      <c r="B3472" s="35" t="s">
        <v>6955</v>
      </c>
      <c r="C3472" s="36">
        <v>4.0</v>
      </c>
      <c r="D3472" s="37">
        <v>91.0</v>
      </c>
      <c r="E3472" s="37">
        <v>4.0</v>
      </c>
      <c r="F3472" s="24" t="str">
        <f t="array" ref="F3472">"https://www.google.com/maps/search/?api=1&amp;query=" &amp; A3472 &amp; "," &amp; B3472</f>
        <v>https://www.google.com/maps/search/?api=1&amp;query=-30.88998185328280,-55.55060716642840</v>
      </c>
      <c r="G3472" s="25" t="str">
        <f t="array" ref="G3472">"https://earth.google.com/web/search/" &amp; A3472 &amp; "," &amp; B3472</f>
        <v>https://earth.google.com/web/search/-30.88998185328280,-55.55060716642840</v>
      </c>
      <c r="H3472" s="12"/>
      <c r="I3472" s="12"/>
      <c r="J3472" s="12"/>
      <c r="K3472" s="12"/>
      <c r="L3472" s="12"/>
      <c r="M3472" s="12"/>
      <c r="N3472" s="12"/>
      <c r="O3472" s="12"/>
      <c r="P3472" s="12"/>
      <c r="Q3472" s="12"/>
      <c r="R3472" s="12"/>
      <c r="S3472" s="12"/>
      <c r="T3472" s="12"/>
      <c r="U3472" s="12"/>
      <c r="V3472" s="12"/>
      <c r="W3472" s="12"/>
      <c r="X3472" s="12"/>
      <c r="Y3472" s="12"/>
      <c r="Z3472" s="12"/>
      <c r="AA3472" s="12"/>
    </row>
    <row r="3473" ht="26.25" customHeight="1">
      <c r="A3473" s="28" t="s">
        <v>6956</v>
      </c>
      <c r="B3473" s="29" t="s">
        <v>6957</v>
      </c>
      <c r="C3473" s="30">
        <v>4.0</v>
      </c>
      <c r="D3473" s="31">
        <v>91.0</v>
      </c>
      <c r="E3473" s="31">
        <v>5.0</v>
      </c>
      <c r="F3473" s="32" t="str">
        <f t="array" ref="F3473">"https://www.google.com/maps/search/?api=1&amp;query=" &amp; A3473 &amp; "," &amp; B3473</f>
        <v>https://www.google.com/maps/search/?api=1&amp;query=-30.88991944446190,-55.55071511135500</v>
      </c>
      <c r="G3473" s="33" t="str">
        <f t="array" ref="G3473">"https://earth.google.com/web/search/" &amp; A3473 &amp; "," &amp; B3473</f>
        <v>https://earth.google.com/web/search/-30.88991944446190,-55.55071511135500</v>
      </c>
      <c r="H3473" s="12"/>
      <c r="I3473" s="12"/>
      <c r="J3473" s="12"/>
      <c r="K3473" s="12"/>
      <c r="L3473" s="12"/>
      <c r="M3473" s="12"/>
      <c r="N3473" s="12"/>
      <c r="O3473" s="12"/>
      <c r="P3473" s="12"/>
      <c r="Q3473" s="12"/>
      <c r="R3473" s="12"/>
      <c r="S3473" s="12"/>
      <c r="T3473" s="12"/>
      <c r="U3473" s="12"/>
      <c r="V3473" s="12"/>
      <c r="W3473" s="12"/>
      <c r="X3473" s="12"/>
      <c r="Y3473" s="12"/>
      <c r="Z3473" s="12"/>
      <c r="AA3473" s="12"/>
    </row>
    <row r="3474" ht="26.25" customHeight="1">
      <c r="A3474" s="34" t="s">
        <v>6958</v>
      </c>
      <c r="B3474" s="35" t="s">
        <v>6959</v>
      </c>
      <c r="C3474" s="36">
        <v>4.0</v>
      </c>
      <c r="D3474" s="37">
        <v>91.0</v>
      </c>
      <c r="E3474" s="37">
        <v>6.0</v>
      </c>
      <c r="F3474" s="24" t="str">
        <f t="array" ref="F3474">"https://www.google.com/maps/search/?api=1&amp;query=" &amp; A3474 &amp; "," &amp; B3474</f>
        <v>https://www.google.com/maps/search/?api=1&amp;query=-30.88976098664310,-55.55099222739300</v>
      </c>
      <c r="G3474" s="25" t="str">
        <f t="array" ref="G3474">"https://earth.google.com/web/search/" &amp; A3474 &amp; "," &amp; B3474</f>
        <v>https://earth.google.com/web/search/-30.88976098664310,-55.55099222739300</v>
      </c>
      <c r="H3474" s="12"/>
      <c r="I3474" s="12"/>
      <c r="J3474" s="12"/>
      <c r="K3474" s="12"/>
      <c r="L3474" s="12"/>
      <c r="M3474" s="12"/>
      <c r="N3474" s="12"/>
      <c r="O3474" s="12"/>
      <c r="P3474" s="12"/>
      <c r="Q3474" s="12"/>
      <c r="R3474" s="12"/>
      <c r="S3474" s="12"/>
      <c r="T3474" s="12"/>
      <c r="U3474" s="12"/>
      <c r="V3474" s="12"/>
      <c r="W3474" s="12"/>
      <c r="X3474" s="12"/>
      <c r="Y3474" s="12"/>
      <c r="Z3474" s="12"/>
      <c r="AA3474" s="12"/>
    </row>
    <row r="3475" ht="26.25" customHeight="1">
      <c r="A3475" s="28" t="s">
        <v>6960</v>
      </c>
      <c r="B3475" s="29" t="s">
        <v>6961</v>
      </c>
      <c r="C3475" s="30">
        <v>4.0</v>
      </c>
      <c r="D3475" s="31">
        <v>91.0</v>
      </c>
      <c r="E3475" s="31">
        <v>7.0</v>
      </c>
      <c r="F3475" s="32" t="str">
        <f t="array" ref="F3475">"https://www.google.com/maps/search/?api=1&amp;query=" &amp; A3475 &amp; "," &amp; B3475</f>
        <v>https://www.google.com/maps/search/?api=1&amp;query=-30.88970934327260,-55.55111370779340</v>
      </c>
      <c r="G3475" s="33" t="str">
        <f t="array" ref="G3475">"https://earth.google.com/web/search/" &amp; A3475 &amp; "," &amp; B3475</f>
        <v>https://earth.google.com/web/search/-30.88970934327260,-55.55111370779340</v>
      </c>
      <c r="H3475" s="12"/>
      <c r="I3475" s="12"/>
      <c r="J3475" s="12"/>
      <c r="K3475" s="12"/>
      <c r="L3475" s="12"/>
      <c r="M3475" s="12"/>
      <c r="N3475" s="12"/>
      <c r="O3475" s="12"/>
      <c r="P3475" s="12"/>
      <c r="Q3475" s="12"/>
      <c r="R3475" s="12"/>
      <c r="S3475" s="12"/>
      <c r="T3475" s="12"/>
      <c r="U3475" s="12"/>
      <c r="V3475" s="12"/>
      <c r="W3475" s="12"/>
      <c r="X3475" s="12"/>
      <c r="Y3475" s="12"/>
      <c r="Z3475" s="12"/>
      <c r="AA3475" s="12"/>
    </row>
    <row r="3476" ht="26.25" customHeight="1">
      <c r="A3476" s="34" t="s">
        <v>6962</v>
      </c>
      <c r="B3476" s="35" t="s">
        <v>6963</v>
      </c>
      <c r="C3476" s="36">
        <v>4.0</v>
      </c>
      <c r="D3476" s="37">
        <v>91.0</v>
      </c>
      <c r="E3476" s="37">
        <v>8.0</v>
      </c>
      <c r="F3476" s="24" t="str">
        <f t="array" ref="F3476">"https://www.google.com/maps/search/?api=1&amp;query=" &amp; A3476 &amp; "," &amp; B3476</f>
        <v>https://www.google.com/maps/search/?api=1&amp;query=-30.88966865704750,-55.55121361647560</v>
      </c>
      <c r="G3476" s="25" t="str">
        <f t="array" ref="G3476">"https://earth.google.com/web/search/" &amp; A3476 &amp; "," &amp; B3476</f>
        <v>https://earth.google.com/web/search/-30.88966865704750,-55.55121361647560</v>
      </c>
      <c r="H3476" s="12"/>
      <c r="I3476" s="12"/>
      <c r="J3476" s="12"/>
      <c r="K3476" s="12"/>
      <c r="L3476" s="12"/>
      <c r="M3476" s="12"/>
      <c r="N3476" s="12"/>
      <c r="O3476" s="12"/>
      <c r="P3476" s="12"/>
      <c r="Q3476" s="12"/>
      <c r="R3476" s="12"/>
      <c r="S3476" s="12"/>
      <c r="T3476" s="12"/>
      <c r="U3476" s="12"/>
      <c r="V3476" s="12"/>
      <c r="W3476" s="12"/>
      <c r="X3476" s="12"/>
      <c r="Y3476" s="12"/>
      <c r="Z3476" s="12"/>
      <c r="AA3476" s="12"/>
    </row>
    <row r="3477" ht="26.25" customHeight="1">
      <c r="A3477" s="28" t="s">
        <v>6964</v>
      </c>
      <c r="B3477" s="29" t="s">
        <v>6965</v>
      </c>
      <c r="C3477" s="30">
        <v>4.0</v>
      </c>
      <c r="D3477" s="31">
        <v>91.0</v>
      </c>
      <c r="E3477" s="31">
        <v>9.0</v>
      </c>
      <c r="F3477" s="32" t="str">
        <f t="array" ref="F3477">"https://www.google.com/maps/search/?api=1&amp;query=" &amp; A3477 &amp; "," &amp; B3477</f>
        <v>https://www.google.com/maps/search/?api=1&amp;query=-30.88973495249010,-55.55133540866150</v>
      </c>
      <c r="G3477" s="33" t="str">
        <f t="array" ref="G3477">"https://earth.google.com/web/search/" &amp; A3477 &amp; "," &amp; B3477</f>
        <v>https://earth.google.com/web/search/-30.88973495249010,-55.55133540866150</v>
      </c>
      <c r="H3477" s="12"/>
      <c r="I3477" s="12"/>
      <c r="J3477" s="12"/>
      <c r="K3477" s="12"/>
      <c r="L3477" s="12"/>
      <c r="M3477" s="12"/>
      <c r="N3477" s="12"/>
      <c r="O3477" s="12"/>
      <c r="P3477" s="12"/>
      <c r="Q3477" s="12"/>
      <c r="R3477" s="12"/>
      <c r="S3477" s="12"/>
      <c r="T3477" s="12"/>
      <c r="U3477" s="12"/>
      <c r="V3477" s="12"/>
      <c r="W3477" s="12"/>
      <c r="X3477" s="12"/>
      <c r="Y3477" s="12"/>
      <c r="Z3477" s="12"/>
      <c r="AA3477" s="12"/>
    </row>
    <row r="3478" ht="26.25" customHeight="1">
      <c r="A3478" s="34" t="s">
        <v>6966</v>
      </c>
      <c r="B3478" s="35" t="s">
        <v>6967</v>
      </c>
      <c r="C3478" s="36">
        <v>4.0</v>
      </c>
      <c r="D3478" s="37">
        <v>91.0</v>
      </c>
      <c r="E3478" s="37">
        <v>10.0</v>
      </c>
      <c r="F3478" s="24" t="str">
        <f t="array" ref="F3478">"https://www.google.com/maps/search/?api=1&amp;query=" &amp; A3478 &amp; "," &amp; B3478</f>
        <v>https://www.google.com/maps/search/?api=1&amp;query=-30.88983859460440,-0.55551436394413</v>
      </c>
      <c r="G3478" s="25" t="str">
        <f t="array" ref="G3478">"https://earth.google.com/web/search/" &amp; A3478 &amp; "," &amp; B3478</f>
        <v>https://earth.google.com/web/search/-30.88983859460440,-0.55551436394413</v>
      </c>
      <c r="H3478" s="12"/>
      <c r="I3478" s="12"/>
      <c r="J3478" s="12"/>
      <c r="K3478" s="12"/>
      <c r="L3478" s="12"/>
      <c r="M3478" s="12"/>
      <c r="N3478" s="12"/>
      <c r="O3478" s="12"/>
      <c r="P3478" s="12"/>
      <c r="Q3478" s="12"/>
      <c r="R3478" s="12"/>
      <c r="S3478" s="12"/>
      <c r="T3478" s="12"/>
      <c r="U3478" s="12"/>
      <c r="V3478" s="12"/>
      <c r="W3478" s="12"/>
      <c r="X3478" s="12"/>
      <c r="Y3478" s="12"/>
      <c r="Z3478" s="12"/>
      <c r="AA3478" s="12"/>
    </row>
    <row r="3479" ht="26.25" customHeight="1">
      <c r="A3479" s="28" t="s">
        <v>6968</v>
      </c>
      <c r="B3479" s="29" t="s">
        <v>6969</v>
      </c>
      <c r="C3479" s="30">
        <v>4.0</v>
      </c>
      <c r="D3479" s="31">
        <v>91.0</v>
      </c>
      <c r="E3479" s="31">
        <v>11.0</v>
      </c>
      <c r="F3479" s="32" t="str">
        <f t="array" ref="F3479">"https://www.google.com/maps/search/?api=1&amp;query=" &amp; A3479 &amp; "," &amp; B3479</f>
        <v>https://www.google.com/maps/search/?api=1&amp;query=-30.89007896250740,-55.55157735528260</v>
      </c>
      <c r="G3479" s="33" t="str">
        <f t="array" ref="G3479">"https://earth.google.com/web/search/" &amp; A3479 &amp; "," &amp; B3479</f>
        <v>https://earth.google.com/web/search/-30.89007896250740,-55.55157735528260</v>
      </c>
      <c r="H3479" s="12"/>
      <c r="I3479" s="12"/>
      <c r="J3479" s="12"/>
      <c r="K3479" s="12"/>
      <c r="L3479" s="12"/>
      <c r="M3479" s="12"/>
      <c r="N3479" s="12"/>
      <c r="O3479" s="12"/>
      <c r="P3479" s="12"/>
      <c r="Q3479" s="12"/>
      <c r="R3479" s="12"/>
      <c r="S3479" s="12"/>
      <c r="T3479" s="12"/>
      <c r="U3479" s="12"/>
      <c r="V3479" s="12"/>
      <c r="W3479" s="12"/>
      <c r="X3479" s="12"/>
      <c r="Y3479" s="12"/>
      <c r="Z3479" s="12"/>
      <c r="AA3479" s="12"/>
    </row>
    <row r="3480" ht="26.25" customHeight="1">
      <c r="A3480" s="34" t="s">
        <v>6970</v>
      </c>
      <c r="B3480" s="35" t="s">
        <v>6971</v>
      </c>
      <c r="C3480" s="36">
        <v>4.0</v>
      </c>
      <c r="D3480" s="37">
        <v>91.0</v>
      </c>
      <c r="E3480" s="37">
        <v>12.0</v>
      </c>
      <c r="F3480" s="24" t="str">
        <f t="array" ref="F3480">"https://www.google.com/maps/search/?api=1&amp;query=" &amp; A3480 &amp; "," &amp; B3480</f>
        <v>https://www.google.com/maps/search/?api=1&amp;query=-30.89014802497640,-55.55165406229490</v>
      </c>
      <c r="G3480" s="25" t="str">
        <f t="array" ref="G3480">"https://earth.google.com/web/search/" &amp; A3480 &amp; "," &amp; B3480</f>
        <v>https://earth.google.com/web/search/-30.89014802497640,-55.55165406229490</v>
      </c>
      <c r="H3480" s="12"/>
      <c r="I3480" s="12"/>
      <c r="J3480" s="12"/>
      <c r="K3480" s="12"/>
      <c r="L3480" s="12"/>
      <c r="M3480" s="12"/>
      <c r="N3480" s="12"/>
      <c r="O3480" s="12"/>
      <c r="P3480" s="12"/>
      <c r="Q3480" s="12"/>
      <c r="R3480" s="12"/>
      <c r="S3480" s="12"/>
      <c r="T3480" s="12"/>
      <c r="U3480" s="12"/>
      <c r="V3480" s="12"/>
      <c r="W3480" s="12"/>
      <c r="X3480" s="12"/>
      <c r="Y3480" s="12"/>
      <c r="Z3480" s="12"/>
      <c r="AA3480" s="12"/>
    </row>
    <row r="3481" ht="26.25" customHeight="1">
      <c r="A3481" s="28" t="s">
        <v>6972</v>
      </c>
      <c r="B3481" s="29" t="s">
        <v>6973</v>
      </c>
      <c r="C3481" s="30">
        <v>4.0</v>
      </c>
      <c r="D3481" s="31">
        <v>91.0</v>
      </c>
      <c r="E3481" s="31">
        <v>13.0</v>
      </c>
      <c r="F3481" s="32" t="str">
        <f t="array" ref="F3481">"https://www.google.com/maps/search/?api=1&amp;query=" &amp; A3481 &amp; "," &amp; B3481</f>
        <v>https://www.google.com/maps/search/?api=1&amp;query=-30.89022065281780,-55.55168441197630</v>
      </c>
      <c r="G3481" s="33" t="str">
        <f t="array" ref="G3481">"https://earth.google.com/web/search/" &amp; A3481 &amp; "," &amp; B3481</f>
        <v>https://earth.google.com/web/search/-30.89022065281780,-55.55168441197630</v>
      </c>
      <c r="H3481" s="12"/>
      <c r="I3481" s="12"/>
      <c r="J3481" s="12"/>
      <c r="K3481" s="12"/>
      <c r="L3481" s="12"/>
      <c r="M3481" s="12"/>
      <c r="N3481" s="12"/>
      <c r="O3481" s="12"/>
      <c r="P3481" s="12"/>
      <c r="Q3481" s="12"/>
      <c r="R3481" s="12"/>
      <c r="S3481" s="12"/>
      <c r="T3481" s="12"/>
      <c r="U3481" s="12"/>
      <c r="V3481" s="12"/>
      <c r="W3481" s="12"/>
      <c r="X3481" s="12"/>
      <c r="Y3481" s="12"/>
      <c r="Z3481" s="12"/>
      <c r="AA3481" s="12"/>
    </row>
    <row r="3482" ht="26.25" customHeight="1">
      <c r="A3482" s="34" t="s">
        <v>6974</v>
      </c>
      <c r="B3482" s="35" t="s">
        <v>6975</v>
      </c>
      <c r="C3482" s="36">
        <v>4.0</v>
      </c>
      <c r="D3482" s="37">
        <v>92.0</v>
      </c>
      <c r="E3482" s="37">
        <v>1.0</v>
      </c>
      <c r="F3482" s="24" t="str">
        <f t="array" ref="F3482">"https://www.google.com/maps/search/?api=1&amp;query=" &amp; A3482 &amp; "," &amp; B3482</f>
        <v>https://www.google.com/maps/search/?api=1&amp;query=-30.88998180973090,-55.55246144816160</v>
      </c>
      <c r="G3482" s="25" t="str">
        <f t="array" ref="G3482">"https://earth.google.com/web/search/" &amp; A3482 &amp; "," &amp; B3482</f>
        <v>https://earth.google.com/web/search/-30.88998180973090,-55.55246144816160</v>
      </c>
      <c r="H3482" s="12"/>
      <c r="I3482" s="12"/>
      <c r="J3482" s="12"/>
      <c r="K3482" s="12"/>
      <c r="L3482" s="12"/>
      <c r="M3482" s="12"/>
      <c r="N3482" s="12"/>
      <c r="O3482" s="12"/>
      <c r="P3482" s="12"/>
      <c r="Q3482" s="12"/>
      <c r="R3482" s="12"/>
      <c r="S3482" s="12"/>
      <c r="T3482" s="12"/>
      <c r="U3482" s="12"/>
      <c r="V3482" s="12"/>
      <c r="W3482" s="12"/>
      <c r="X3482" s="12"/>
      <c r="Y3482" s="12"/>
      <c r="Z3482" s="12"/>
      <c r="AA3482" s="12"/>
    </row>
    <row r="3483" ht="26.25" customHeight="1">
      <c r="A3483" s="28" t="s">
        <v>6976</v>
      </c>
      <c r="B3483" s="29" t="s">
        <v>6977</v>
      </c>
      <c r="C3483" s="30">
        <v>4.0</v>
      </c>
      <c r="D3483" s="31">
        <v>92.0</v>
      </c>
      <c r="E3483" s="31">
        <v>2.0</v>
      </c>
      <c r="F3483" s="32" t="str">
        <f t="array" ref="F3483">"https://www.google.com/maps/search/?api=1&amp;query=" &amp; A3483 &amp; "," &amp; B3483</f>
        <v>https://www.google.com/maps/search/?api=1&amp;query=-30.89015066669870,-55.55207639069880</v>
      </c>
      <c r="G3483" s="33" t="str">
        <f t="array" ref="G3483">"https://earth.google.com/web/search/" &amp; A3483 &amp; "," &amp; B3483</f>
        <v>https://earth.google.com/web/search/-30.89015066669870,-55.55207639069880</v>
      </c>
      <c r="H3483" s="12"/>
      <c r="I3483" s="12"/>
      <c r="J3483" s="12"/>
      <c r="K3483" s="12"/>
      <c r="L3483" s="12"/>
      <c r="M3483" s="12"/>
      <c r="N3483" s="12"/>
      <c r="O3483" s="12"/>
      <c r="P3483" s="12"/>
      <c r="Q3483" s="12"/>
      <c r="R3483" s="12"/>
      <c r="S3483" s="12"/>
      <c r="T3483" s="12"/>
      <c r="U3483" s="12"/>
      <c r="V3483" s="12"/>
      <c r="W3483" s="12"/>
      <c r="X3483" s="12"/>
      <c r="Y3483" s="12"/>
      <c r="Z3483" s="12"/>
      <c r="AA3483" s="12"/>
    </row>
    <row r="3484" ht="26.25" customHeight="1">
      <c r="A3484" s="34" t="s">
        <v>6978</v>
      </c>
      <c r="B3484" s="35" t="s">
        <v>6979</v>
      </c>
      <c r="C3484" s="36">
        <v>4.0</v>
      </c>
      <c r="D3484" s="37">
        <v>92.0</v>
      </c>
      <c r="E3484" s="37">
        <v>3.0</v>
      </c>
      <c r="F3484" s="24" t="str">
        <f t="array" ref="F3484">"https://www.google.com/maps/search/?api=1&amp;query=" &amp; A3484 &amp; "," &amp; B3484</f>
        <v>https://www.google.com/maps/search/?api=1&amp;query=-30.89025374244110,-55.55183057781010</v>
      </c>
      <c r="G3484" s="25" t="str">
        <f t="array" ref="G3484">"https://earth.google.com/web/search/" &amp; A3484 &amp; "," &amp; B3484</f>
        <v>https://earth.google.com/web/search/-30.89025374244110,-55.55183057781010</v>
      </c>
      <c r="H3484" s="12"/>
      <c r="I3484" s="12"/>
      <c r="J3484" s="12"/>
      <c r="K3484" s="12"/>
      <c r="L3484" s="12"/>
      <c r="M3484" s="12"/>
      <c r="N3484" s="12"/>
      <c r="O3484" s="12"/>
      <c r="P3484" s="12"/>
      <c r="Q3484" s="12"/>
      <c r="R3484" s="12"/>
      <c r="S3484" s="12"/>
      <c r="T3484" s="12"/>
      <c r="U3484" s="12"/>
      <c r="V3484" s="12"/>
      <c r="W3484" s="12"/>
      <c r="X3484" s="12"/>
      <c r="Y3484" s="12"/>
      <c r="Z3484" s="12"/>
      <c r="AA3484" s="12"/>
    </row>
    <row r="3485" ht="26.25" customHeight="1">
      <c r="A3485" s="28" t="s">
        <v>6980</v>
      </c>
      <c r="B3485" s="29" t="s">
        <v>6981</v>
      </c>
      <c r="C3485" s="30">
        <v>4.0</v>
      </c>
      <c r="D3485" s="31">
        <v>92.0</v>
      </c>
      <c r="E3485" s="31">
        <v>4.0</v>
      </c>
      <c r="F3485" s="32" t="str">
        <f t="array" ref="F3485">"https://www.google.com/maps/search/?api=1&amp;query=" &amp; A3485 &amp; "," &amp; B3485</f>
        <v>https://www.google.com/maps/search/?api=1&amp;query=-3.08900363473512,-55.55167221267050</v>
      </c>
      <c r="G3485" s="33" t="str">
        <f t="array" ref="G3485">"https://earth.google.com/web/search/" &amp; A3485 &amp; "," &amp; B3485</f>
        <v>https://earth.google.com/web/search/-3.08900363473512,-55.55167221267050</v>
      </c>
      <c r="H3485" s="12"/>
      <c r="I3485" s="12"/>
      <c r="J3485" s="12"/>
      <c r="K3485" s="12"/>
      <c r="L3485" s="12"/>
      <c r="M3485" s="12"/>
      <c r="N3485" s="12"/>
      <c r="O3485" s="12"/>
      <c r="P3485" s="12"/>
      <c r="Q3485" s="12"/>
      <c r="R3485" s="12"/>
      <c r="S3485" s="12"/>
      <c r="T3485" s="12"/>
      <c r="U3485" s="12"/>
      <c r="V3485" s="12"/>
      <c r="W3485" s="12"/>
      <c r="X3485" s="12"/>
      <c r="Y3485" s="12"/>
      <c r="Z3485" s="12"/>
      <c r="AA3485" s="12"/>
    </row>
    <row r="3486" ht="26.25" customHeight="1">
      <c r="A3486" s="34" t="s">
        <v>6982</v>
      </c>
      <c r="B3486" s="35" t="s">
        <v>6983</v>
      </c>
      <c r="C3486" s="36">
        <v>4.0</v>
      </c>
      <c r="D3486" s="37">
        <v>92.0</v>
      </c>
      <c r="E3486" s="37">
        <v>5.0</v>
      </c>
      <c r="F3486" s="24" t="str">
        <f t="array" ref="F3486">"https://www.google.com/maps/search/?api=1&amp;query=" &amp; A3486 &amp; "," &amp; B3486</f>
        <v>https://www.google.com/maps/search/?api=1&amp;query=-30.88974344734690,-55.55151818269620</v>
      </c>
      <c r="G3486" s="25" t="str">
        <f t="array" ref="G3486">"https://earth.google.com/web/search/" &amp; A3486 &amp; "," &amp; B3486</f>
        <v>https://earth.google.com/web/search/-30.88974344734690,-55.55151818269620</v>
      </c>
      <c r="H3486" s="12"/>
      <c r="I3486" s="12"/>
      <c r="J3486" s="12"/>
      <c r="K3486" s="12"/>
      <c r="L3486" s="12"/>
      <c r="M3486" s="12"/>
      <c r="N3486" s="12"/>
      <c r="O3486" s="12"/>
      <c r="P3486" s="12"/>
      <c r="Q3486" s="12"/>
      <c r="R3486" s="12"/>
      <c r="S3486" s="12"/>
      <c r="T3486" s="12"/>
      <c r="U3486" s="12"/>
      <c r="V3486" s="12"/>
      <c r="W3486" s="12"/>
      <c r="X3486" s="12"/>
      <c r="Y3486" s="12"/>
      <c r="Z3486" s="12"/>
      <c r="AA3486" s="12"/>
    </row>
    <row r="3487" ht="26.25" customHeight="1">
      <c r="A3487" s="28" t="s">
        <v>6984</v>
      </c>
      <c r="B3487" s="29" t="s">
        <v>6985</v>
      </c>
      <c r="C3487" s="30">
        <v>4.0</v>
      </c>
      <c r="D3487" s="31">
        <v>92.0</v>
      </c>
      <c r="E3487" s="31">
        <v>6.0</v>
      </c>
      <c r="F3487" s="32" t="str">
        <f t="array" ref="F3487">"https://www.google.com/maps/search/?api=1&amp;query=" &amp; A3487 &amp; "," &amp; B3487</f>
        <v>https://www.google.com/maps/search/?api=1&amp;query=-30.88960136251030,-55.55142848711100</v>
      </c>
      <c r="G3487" s="33" t="str">
        <f t="array" ref="G3487">"https://earth.google.com/web/search/" &amp; A3487 &amp; "," &amp; B3487</f>
        <v>https://earth.google.com/web/search/-30.88960136251030,-55.55142848711100</v>
      </c>
      <c r="H3487" s="12"/>
      <c r="I3487" s="12"/>
      <c r="J3487" s="12"/>
      <c r="K3487" s="12"/>
      <c r="L3487" s="12"/>
      <c r="M3487" s="12"/>
      <c r="N3487" s="12"/>
      <c r="O3487" s="12"/>
      <c r="P3487" s="12"/>
      <c r="Q3487" s="12"/>
      <c r="R3487" s="12"/>
      <c r="S3487" s="12"/>
      <c r="T3487" s="12"/>
      <c r="U3487" s="12"/>
      <c r="V3487" s="12"/>
      <c r="W3487" s="12"/>
      <c r="X3487" s="12"/>
      <c r="Y3487" s="12"/>
      <c r="Z3487" s="12"/>
      <c r="AA3487" s="12"/>
    </row>
    <row r="3488" ht="26.25" customHeight="1">
      <c r="A3488" s="34" t="s">
        <v>6986</v>
      </c>
      <c r="B3488" s="35" t="s">
        <v>6987</v>
      </c>
      <c r="C3488" s="36">
        <v>4.0</v>
      </c>
      <c r="D3488" s="37">
        <v>92.0</v>
      </c>
      <c r="E3488" s="37">
        <v>7.0</v>
      </c>
      <c r="F3488" s="24" t="str">
        <f t="array" ref="F3488">"https://www.google.com/maps/search/?api=1&amp;query=" &amp; A3488 &amp; "," &amp; B3488</f>
        <v>https://www.google.com/maps/search/?api=1&amp;query=-3.08894946725167,-55.55150482032530</v>
      </c>
      <c r="G3488" s="25" t="str">
        <f t="array" ref="G3488">"https://earth.google.com/web/search/" &amp; A3488 &amp; "," &amp; B3488</f>
        <v>https://earth.google.com/web/search/-3.08894946725167,-55.55150482032530</v>
      </c>
      <c r="H3488" s="12"/>
      <c r="I3488" s="12"/>
      <c r="J3488" s="12"/>
      <c r="K3488" s="12"/>
      <c r="L3488" s="12"/>
      <c r="M3488" s="12"/>
      <c r="N3488" s="12"/>
      <c r="O3488" s="12"/>
      <c r="P3488" s="12"/>
      <c r="Q3488" s="12"/>
      <c r="R3488" s="12"/>
      <c r="S3488" s="12"/>
      <c r="T3488" s="12"/>
      <c r="U3488" s="12"/>
      <c r="V3488" s="12"/>
      <c r="W3488" s="12"/>
      <c r="X3488" s="12"/>
      <c r="Y3488" s="12"/>
      <c r="Z3488" s="12"/>
      <c r="AA3488" s="12"/>
    </row>
    <row r="3489" ht="26.25" customHeight="1">
      <c r="A3489" s="28" t="s">
        <v>6988</v>
      </c>
      <c r="B3489" s="29" t="s">
        <v>6989</v>
      </c>
      <c r="C3489" s="30">
        <v>4.0</v>
      </c>
      <c r="D3489" s="31">
        <v>92.0</v>
      </c>
      <c r="E3489" s="31">
        <v>8.0</v>
      </c>
      <c r="F3489" s="32" t="str">
        <f t="array" ref="F3489">"https://www.google.com/maps/search/?api=1&amp;query=" &amp; A3489 &amp; "," &amp; B3489</f>
        <v>https://www.google.com/maps/search/?api=1&amp;query=-30.88941316547050,-55.55173950435050</v>
      </c>
      <c r="G3489" s="33" t="str">
        <f t="array" ref="G3489">"https://earth.google.com/web/search/" &amp; A3489 &amp; "," &amp; B3489</f>
        <v>https://earth.google.com/web/search/-30.88941316547050,-55.55173950435050</v>
      </c>
      <c r="H3489" s="12"/>
      <c r="I3489" s="12"/>
      <c r="J3489" s="12"/>
      <c r="K3489" s="12"/>
      <c r="L3489" s="12"/>
      <c r="M3489" s="12"/>
      <c r="N3489" s="12"/>
      <c r="O3489" s="12"/>
      <c r="P3489" s="12"/>
      <c r="Q3489" s="12"/>
      <c r="R3489" s="12"/>
      <c r="S3489" s="12"/>
      <c r="T3489" s="12"/>
      <c r="U3489" s="12"/>
      <c r="V3489" s="12"/>
      <c r="W3489" s="12"/>
      <c r="X3489" s="12"/>
      <c r="Y3489" s="12"/>
      <c r="Z3489" s="12"/>
      <c r="AA3489" s="12"/>
    </row>
    <row r="3490" ht="26.25" customHeight="1">
      <c r="A3490" s="34" t="s">
        <v>6990</v>
      </c>
      <c r="B3490" s="35" t="s">
        <v>6991</v>
      </c>
      <c r="C3490" s="36">
        <v>4.0</v>
      </c>
      <c r="D3490" s="37">
        <v>92.0</v>
      </c>
      <c r="E3490" s="37">
        <v>9.0</v>
      </c>
      <c r="F3490" s="24" t="str">
        <f t="array" ref="F3490">"https://www.google.com/maps/search/?api=1&amp;query=" &amp; A3490 &amp; "," &amp; B3490</f>
        <v>https://www.google.com/maps/search/?api=1&amp;query=-30.88921798115350,-55.55225210470260</v>
      </c>
      <c r="G3490" s="25" t="str">
        <f t="array" ref="G3490">"https://earth.google.com/web/search/" &amp; A3490 &amp; "," &amp; B3490</f>
        <v>https://earth.google.com/web/search/-30.88921798115350,-55.55225210470260</v>
      </c>
      <c r="H3490" s="12"/>
      <c r="I3490" s="12"/>
      <c r="J3490" s="12"/>
      <c r="K3490" s="12"/>
      <c r="L3490" s="12"/>
      <c r="M3490" s="12"/>
      <c r="N3490" s="12"/>
      <c r="O3490" s="12"/>
      <c r="P3490" s="12"/>
      <c r="Q3490" s="12"/>
      <c r="R3490" s="12"/>
      <c r="S3490" s="12"/>
      <c r="T3490" s="12"/>
      <c r="U3490" s="12"/>
      <c r="V3490" s="12"/>
      <c r="W3490" s="12"/>
      <c r="X3490" s="12"/>
      <c r="Y3490" s="12"/>
      <c r="Z3490" s="12"/>
      <c r="AA3490" s="12"/>
    </row>
    <row r="3491" ht="26.25" customHeight="1">
      <c r="A3491" s="28" t="s">
        <v>6992</v>
      </c>
      <c r="B3491" s="29" t="s">
        <v>6993</v>
      </c>
      <c r="C3491" s="30">
        <v>4.0</v>
      </c>
      <c r="D3491" s="31">
        <v>92.0</v>
      </c>
      <c r="E3491" s="31">
        <v>10.0</v>
      </c>
      <c r="F3491" s="32" t="str">
        <f t="array" ref="F3491">"https://www.google.com/maps/search/?api=1&amp;query=" &amp; A3491 &amp; "," &amp; B3491</f>
        <v>https://www.google.com/maps/search/?api=1&amp;query=-30.88954693706750,-55.55245131725800</v>
      </c>
      <c r="G3491" s="33" t="str">
        <f t="array" ref="G3491">"https://earth.google.com/web/search/" &amp; A3491 &amp; "," &amp; B3491</f>
        <v>https://earth.google.com/web/search/-30.88954693706750,-55.55245131725800</v>
      </c>
      <c r="H3491" s="12"/>
      <c r="I3491" s="12"/>
      <c r="J3491" s="12"/>
      <c r="K3491" s="12"/>
      <c r="L3491" s="12"/>
      <c r="M3491" s="12"/>
      <c r="N3491" s="12"/>
      <c r="O3491" s="12"/>
      <c r="P3491" s="12"/>
      <c r="Q3491" s="12"/>
      <c r="R3491" s="12"/>
      <c r="S3491" s="12"/>
      <c r="T3491" s="12"/>
      <c r="U3491" s="12"/>
      <c r="V3491" s="12"/>
      <c r="W3491" s="12"/>
      <c r="X3491" s="12"/>
      <c r="Y3491" s="12"/>
      <c r="Z3491" s="12"/>
      <c r="AA3491" s="12"/>
    </row>
    <row r="3492" ht="26.25" customHeight="1">
      <c r="A3492" s="34" t="s">
        <v>6994</v>
      </c>
      <c r="B3492" s="35" t="s">
        <v>6995</v>
      </c>
      <c r="C3492" s="36">
        <v>4.0</v>
      </c>
      <c r="D3492" s="37">
        <v>93.0</v>
      </c>
      <c r="E3492" s="37">
        <v>1.0</v>
      </c>
      <c r="F3492" s="24" t="str">
        <f t="array" ref="F3492">"https://www.google.com/maps/search/?api=1&amp;query=" &amp; A3492 &amp; "," &amp; B3492</f>
        <v>https://www.google.com/maps/search/?api=1&amp;query=-30.88959676507280,-55.55315310720330</v>
      </c>
      <c r="G3492" s="25" t="str">
        <f t="array" ref="G3492">"https://earth.google.com/web/search/" &amp; A3492 &amp; "," &amp; B3492</f>
        <v>https://earth.google.com/web/search/-30.88959676507280,-55.55315310720330</v>
      </c>
      <c r="H3492" s="12"/>
      <c r="I3492" s="12"/>
      <c r="J3492" s="12"/>
      <c r="K3492" s="12"/>
      <c r="L3492" s="12"/>
      <c r="M3492" s="12"/>
      <c r="N3492" s="12"/>
      <c r="O3492" s="12"/>
      <c r="P3492" s="12"/>
      <c r="Q3492" s="12"/>
      <c r="R3492" s="12"/>
      <c r="S3492" s="12"/>
      <c r="T3492" s="12"/>
      <c r="U3492" s="12"/>
      <c r="V3492" s="12"/>
      <c r="W3492" s="12"/>
      <c r="X3492" s="12"/>
      <c r="Y3492" s="12"/>
      <c r="Z3492" s="12"/>
      <c r="AA3492" s="12"/>
    </row>
    <row r="3493" ht="26.25" customHeight="1">
      <c r="A3493" s="28" t="s">
        <v>6996</v>
      </c>
      <c r="B3493" s="29" t="s">
        <v>6997</v>
      </c>
      <c r="C3493" s="30">
        <v>4.0</v>
      </c>
      <c r="D3493" s="31">
        <v>93.0</v>
      </c>
      <c r="E3493" s="31">
        <v>2.0</v>
      </c>
      <c r="F3493" s="32" t="str">
        <f t="array" ref="F3493">"https://www.google.com/maps/search/?api=1&amp;query=" &amp; A3493 &amp; "," &amp; B3493</f>
        <v>https://www.google.com/maps/search/?api=1&amp;query=-30.88952033304350,-55.55258992113270</v>
      </c>
      <c r="G3493" s="33" t="str">
        <f t="array" ref="G3493">"https://earth.google.com/web/search/" &amp; A3493 &amp; "," &amp; B3493</f>
        <v>https://earth.google.com/web/search/-30.88952033304350,-55.55258992113270</v>
      </c>
      <c r="H3493" s="12"/>
      <c r="I3493" s="12"/>
      <c r="J3493" s="12"/>
      <c r="K3493" s="12"/>
      <c r="L3493" s="12"/>
      <c r="M3493" s="12"/>
      <c r="N3493" s="12"/>
      <c r="O3493" s="12"/>
      <c r="P3493" s="12"/>
      <c r="Q3493" s="12"/>
      <c r="R3493" s="12"/>
      <c r="S3493" s="12"/>
      <c r="T3493" s="12"/>
      <c r="U3493" s="12"/>
      <c r="V3493" s="12"/>
      <c r="W3493" s="12"/>
      <c r="X3493" s="12"/>
      <c r="Y3493" s="12"/>
      <c r="Z3493" s="12"/>
      <c r="AA3493" s="12"/>
    </row>
    <row r="3494" ht="26.25" customHeight="1">
      <c r="A3494" s="34" t="s">
        <v>6998</v>
      </c>
      <c r="B3494" s="35" t="s">
        <v>6999</v>
      </c>
      <c r="C3494" s="36">
        <v>4.0</v>
      </c>
      <c r="D3494" s="37">
        <v>93.0</v>
      </c>
      <c r="E3494" s="37">
        <v>3.0</v>
      </c>
      <c r="F3494" s="24" t="str">
        <f t="array" ref="F3494">"https://www.google.com/maps/search/?api=1&amp;query=" &amp; A3494 &amp; "," &amp; B3494</f>
        <v>https://www.google.com/maps/search/?api=1&amp;query=-30.88884646701040,-55.55275579658810</v>
      </c>
      <c r="G3494" s="25" t="str">
        <f t="array" ref="G3494">"https://earth.google.com/web/search/" &amp; A3494 &amp; "," &amp; B3494</f>
        <v>https://earth.google.com/web/search/-30.88884646701040,-55.55275579658810</v>
      </c>
      <c r="H3494" s="12"/>
      <c r="I3494" s="12"/>
      <c r="J3494" s="12"/>
      <c r="K3494" s="12"/>
      <c r="L3494" s="12"/>
      <c r="M3494" s="12"/>
      <c r="N3494" s="12"/>
      <c r="O3494" s="12"/>
      <c r="P3494" s="12"/>
      <c r="Q3494" s="12"/>
      <c r="R3494" s="12"/>
      <c r="S3494" s="12"/>
      <c r="T3494" s="12"/>
      <c r="U3494" s="12"/>
      <c r="V3494" s="12"/>
      <c r="W3494" s="12"/>
      <c r="X3494" s="12"/>
      <c r="Y3494" s="12"/>
      <c r="Z3494" s="12"/>
      <c r="AA3494" s="12"/>
    </row>
    <row r="3495" ht="26.25" customHeight="1">
      <c r="A3495" s="28" t="s">
        <v>7000</v>
      </c>
      <c r="B3495" s="29" t="s">
        <v>7001</v>
      </c>
      <c r="C3495" s="30">
        <v>4.0</v>
      </c>
      <c r="D3495" s="31">
        <v>93.0</v>
      </c>
      <c r="E3495" s="31">
        <v>4.0</v>
      </c>
      <c r="F3495" s="32" t="str">
        <f t="array" ref="F3495">"https://www.google.com/maps/search/?api=1&amp;query=" &amp; A3495 &amp; "," &amp; B3495</f>
        <v>https://www.google.com/maps/search/?api=1&amp;query=-30.88872855806720,-55.55299304698580</v>
      </c>
      <c r="G3495" s="33" t="str">
        <f t="array" ref="G3495">"https://earth.google.com/web/search/" &amp; A3495 &amp; "," &amp; B3495</f>
        <v>https://earth.google.com/web/search/-30.88872855806720,-55.55299304698580</v>
      </c>
      <c r="H3495" s="12"/>
      <c r="I3495" s="12"/>
      <c r="J3495" s="12"/>
      <c r="K3495" s="12"/>
      <c r="L3495" s="12"/>
      <c r="M3495" s="12"/>
      <c r="N3495" s="12"/>
      <c r="O3495" s="12"/>
      <c r="P3495" s="12"/>
      <c r="Q3495" s="12"/>
      <c r="R3495" s="12"/>
      <c r="S3495" s="12"/>
      <c r="T3495" s="12"/>
      <c r="U3495" s="12"/>
      <c r="V3495" s="12"/>
      <c r="W3495" s="12"/>
      <c r="X3495" s="12"/>
      <c r="Y3495" s="12"/>
      <c r="Z3495" s="12"/>
      <c r="AA3495" s="12"/>
    </row>
    <row r="3496" ht="26.25" customHeight="1">
      <c r="A3496" s="34" t="s">
        <v>7002</v>
      </c>
      <c r="B3496" s="35" t="s">
        <v>7003</v>
      </c>
      <c r="C3496" s="36">
        <v>4.0</v>
      </c>
      <c r="D3496" s="37">
        <v>93.0</v>
      </c>
      <c r="E3496" s="37">
        <v>5.0</v>
      </c>
      <c r="F3496" s="24" t="str">
        <f t="array" ref="F3496">"https://www.google.com/maps/search/?api=1&amp;query=" &amp; A3496 &amp; "," &amp; B3496</f>
        <v>https://www.google.com/maps/search/?api=1&amp;query=-30.88885275324260,-55.55321500938830</v>
      </c>
      <c r="G3496" s="25" t="str">
        <f t="array" ref="G3496">"https://earth.google.com/web/search/" &amp; A3496 &amp; "," &amp; B3496</f>
        <v>https://earth.google.com/web/search/-30.88885275324260,-55.55321500938830</v>
      </c>
      <c r="H3496" s="12"/>
      <c r="I3496" s="12"/>
      <c r="J3496" s="12"/>
      <c r="K3496" s="12"/>
      <c r="L3496" s="12"/>
      <c r="M3496" s="12"/>
      <c r="N3496" s="12"/>
      <c r="O3496" s="12"/>
      <c r="P3496" s="12"/>
      <c r="Q3496" s="12"/>
      <c r="R3496" s="12"/>
      <c r="S3496" s="12"/>
      <c r="T3496" s="12"/>
      <c r="U3496" s="12"/>
      <c r="V3496" s="12"/>
      <c r="W3496" s="12"/>
      <c r="X3496" s="12"/>
      <c r="Y3496" s="12"/>
      <c r="Z3496" s="12"/>
      <c r="AA3496" s="12"/>
    </row>
    <row r="3497" ht="26.25" customHeight="1">
      <c r="A3497" s="28" t="s">
        <v>7004</v>
      </c>
      <c r="B3497" s="29" t="s">
        <v>7005</v>
      </c>
      <c r="C3497" s="30">
        <v>4.0</v>
      </c>
      <c r="D3497" s="31">
        <v>104.0</v>
      </c>
      <c r="E3497" s="31">
        <v>1.0</v>
      </c>
      <c r="F3497" s="32" t="str">
        <f t="array" ref="F3497">"https://www.google.com/maps/search/?api=1&amp;query=" &amp; A3497 &amp; "," &amp; B3497</f>
        <v>https://www.google.com/maps/search/?api=1&amp;query=-30.89032705143030,-55.55382407743270</v>
      </c>
      <c r="G3497" s="33" t="str">
        <f t="array" ref="G3497">"https://earth.google.com/web/search/" &amp; A3497 &amp; "," &amp; B3497</f>
        <v>https://earth.google.com/web/search/-30.89032705143030,-55.55382407743270</v>
      </c>
      <c r="H3497" s="12"/>
      <c r="I3497" s="12"/>
      <c r="J3497" s="12"/>
      <c r="K3497" s="12"/>
      <c r="L3497" s="12"/>
      <c r="M3497" s="12"/>
      <c r="N3497" s="12"/>
      <c r="O3497" s="12"/>
      <c r="P3497" s="12"/>
      <c r="Q3497" s="12"/>
      <c r="R3497" s="12"/>
      <c r="S3497" s="12"/>
      <c r="T3497" s="12"/>
      <c r="U3497" s="12"/>
      <c r="V3497" s="12"/>
      <c r="W3497" s="12"/>
      <c r="X3497" s="12"/>
      <c r="Y3497" s="12"/>
      <c r="Z3497" s="12"/>
      <c r="AA3497" s="12"/>
    </row>
    <row r="3498" ht="26.25" customHeight="1">
      <c r="A3498" s="34" t="s">
        <v>7006</v>
      </c>
      <c r="B3498" s="35" t="s">
        <v>7007</v>
      </c>
      <c r="C3498" s="36">
        <v>4.0</v>
      </c>
      <c r="D3498" s="37">
        <v>104.0</v>
      </c>
      <c r="E3498" s="37">
        <v>2.0</v>
      </c>
      <c r="F3498" s="24" t="str">
        <f t="array" ref="F3498">"https://www.google.com/maps/search/?api=1&amp;query=" &amp; A3498 &amp; "," &amp; B3498</f>
        <v>https://www.google.com/maps/search/?api=1&amp;query=-30.89041588555990,-55.55363696645990</v>
      </c>
      <c r="G3498" s="25" t="str">
        <f t="array" ref="G3498">"https://earth.google.com/web/search/" &amp; A3498 &amp; "," &amp; B3498</f>
        <v>https://earth.google.com/web/search/-30.89041588555990,-55.55363696645990</v>
      </c>
      <c r="H3498" s="12"/>
      <c r="I3498" s="12"/>
      <c r="J3498" s="12"/>
      <c r="K3498" s="12"/>
      <c r="L3498" s="12"/>
      <c r="M3498" s="12"/>
      <c r="N3498" s="12"/>
      <c r="O3498" s="12"/>
      <c r="P3498" s="12"/>
      <c r="Q3498" s="12"/>
      <c r="R3498" s="12"/>
      <c r="S3498" s="12"/>
      <c r="T3498" s="12"/>
      <c r="U3498" s="12"/>
      <c r="V3498" s="12"/>
      <c r="W3498" s="12"/>
      <c r="X3498" s="12"/>
      <c r="Y3498" s="12"/>
      <c r="Z3498" s="12"/>
      <c r="AA3498" s="12"/>
    </row>
    <row r="3499" ht="26.25" customHeight="1">
      <c r="A3499" s="28" t="s">
        <v>7008</v>
      </c>
      <c r="B3499" s="29" t="s">
        <v>7009</v>
      </c>
      <c r="C3499" s="30">
        <v>4.0</v>
      </c>
      <c r="D3499" s="31">
        <v>104.0</v>
      </c>
      <c r="E3499" s="31">
        <v>3.0</v>
      </c>
      <c r="F3499" s="32" t="str">
        <f t="array" ref="F3499">"https://www.google.com/maps/search/?api=1&amp;query=" &amp; A3499 &amp; "," &amp; B3499</f>
        <v>https://www.google.com/maps/search/?api=1&amp;query=-30.89026655815630,-55.55312843633480</v>
      </c>
      <c r="G3499" s="33" t="str">
        <f t="array" ref="G3499">"https://earth.google.com/web/search/" &amp; A3499 &amp; "," &amp; B3499</f>
        <v>https://earth.google.com/web/search/-30.89026655815630,-55.55312843633480</v>
      </c>
      <c r="H3499" s="12"/>
      <c r="I3499" s="12"/>
      <c r="J3499" s="12"/>
      <c r="K3499" s="12"/>
      <c r="L3499" s="12"/>
      <c r="M3499" s="12"/>
      <c r="N3499" s="12"/>
      <c r="O3499" s="12"/>
      <c r="P3499" s="12"/>
      <c r="Q3499" s="12"/>
      <c r="R3499" s="12"/>
      <c r="S3499" s="12"/>
      <c r="T3499" s="12"/>
      <c r="U3499" s="12"/>
      <c r="V3499" s="12"/>
      <c r="W3499" s="12"/>
      <c r="X3499" s="12"/>
      <c r="Y3499" s="12"/>
      <c r="Z3499" s="12"/>
      <c r="AA3499" s="12"/>
    </row>
    <row r="3500" ht="26.25" customHeight="1">
      <c r="A3500" s="34" t="s">
        <v>7010</v>
      </c>
      <c r="B3500" s="35" t="s">
        <v>7011</v>
      </c>
      <c r="C3500" s="36">
        <v>4.0</v>
      </c>
      <c r="D3500" s="37">
        <v>104.0</v>
      </c>
      <c r="E3500" s="37">
        <v>4.0</v>
      </c>
      <c r="F3500" s="24" t="str">
        <f t="array" ref="F3500">"https://www.google.com/maps/search/?api=1&amp;query=" &amp; A3500 &amp; "," &amp; B3500</f>
        <v>https://www.google.com/maps/search/?api=1&amp;query=-30.88959853104680,-55.55333334130350</v>
      </c>
      <c r="G3500" s="25" t="str">
        <f t="array" ref="G3500">"https://earth.google.com/web/search/" &amp; A3500 &amp; "," &amp; B3500</f>
        <v>https://earth.google.com/web/search/-30.88959853104680,-55.55333334130350</v>
      </c>
      <c r="H3500" s="12"/>
      <c r="I3500" s="12"/>
      <c r="J3500" s="12"/>
      <c r="K3500" s="12"/>
      <c r="L3500" s="12"/>
      <c r="M3500" s="12"/>
      <c r="N3500" s="12"/>
      <c r="O3500" s="12"/>
      <c r="P3500" s="12"/>
      <c r="Q3500" s="12"/>
      <c r="R3500" s="12"/>
      <c r="S3500" s="12"/>
      <c r="T3500" s="12"/>
      <c r="U3500" s="12"/>
      <c r="V3500" s="12"/>
      <c r="W3500" s="12"/>
      <c r="X3500" s="12"/>
      <c r="Y3500" s="12"/>
      <c r="Z3500" s="12"/>
      <c r="AA3500" s="12"/>
    </row>
    <row r="3501" ht="26.25" customHeight="1">
      <c r="A3501" s="28" t="s">
        <v>7012</v>
      </c>
      <c r="B3501" s="29" t="s">
        <v>7013</v>
      </c>
      <c r="C3501" s="30">
        <v>4.0</v>
      </c>
      <c r="D3501" s="31">
        <v>104.0</v>
      </c>
      <c r="E3501" s="31">
        <v>5.0</v>
      </c>
      <c r="F3501" s="32" t="str">
        <f t="array" ref="F3501">"https://www.google.com/maps/search/?api=1&amp;query=" &amp; A3501 &amp; "," &amp; B3501</f>
        <v>https://www.google.com/maps/search/?api=1&amp;query=-30.88955297642050,-55.55341824475000</v>
      </c>
      <c r="G3501" s="33" t="str">
        <f t="array" ref="G3501">"https://earth.google.com/web/search/" &amp; A3501 &amp; "," &amp; B3501</f>
        <v>https://earth.google.com/web/search/-30.88955297642050,-55.55341824475000</v>
      </c>
      <c r="H3501" s="12"/>
      <c r="I3501" s="12"/>
      <c r="J3501" s="12"/>
      <c r="K3501" s="12"/>
      <c r="L3501" s="12"/>
      <c r="M3501" s="12"/>
      <c r="N3501" s="12"/>
      <c r="O3501" s="12"/>
      <c r="P3501" s="12"/>
      <c r="Q3501" s="12"/>
      <c r="R3501" s="12"/>
      <c r="S3501" s="12"/>
      <c r="T3501" s="12"/>
      <c r="U3501" s="12"/>
      <c r="V3501" s="12"/>
      <c r="W3501" s="12"/>
      <c r="X3501" s="12"/>
      <c r="Y3501" s="12"/>
      <c r="Z3501" s="12"/>
      <c r="AA3501" s="12"/>
    </row>
    <row r="3502" ht="26.25" customHeight="1">
      <c r="A3502" s="34" t="s">
        <v>7014</v>
      </c>
      <c r="B3502" s="35" t="s">
        <v>7015</v>
      </c>
      <c r="C3502" s="36">
        <v>4.0</v>
      </c>
      <c r="D3502" s="37">
        <v>104.0</v>
      </c>
      <c r="E3502" s="37">
        <v>6.0</v>
      </c>
      <c r="F3502" s="24" t="str">
        <f t="array" ref="F3502">"https://www.google.com/maps/search/?api=1&amp;query=" &amp; A3502 &amp; "," &amp; B3502</f>
        <v>https://www.google.com/maps/search/?api=1&amp;query=-30.88952380224510,-55.55352898634240</v>
      </c>
      <c r="G3502" s="25" t="str">
        <f t="array" ref="G3502">"https://earth.google.com/web/search/" &amp; A3502 &amp; "," &amp; B3502</f>
        <v>https://earth.google.com/web/search/-30.88952380224510,-55.55352898634240</v>
      </c>
      <c r="H3502" s="12"/>
      <c r="I3502" s="12"/>
      <c r="J3502" s="12"/>
      <c r="K3502" s="12"/>
      <c r="L3502" s="12"/>
      <c r="M3502" s="12"/>
      <c r="N3502" s="12"/>
      <c r="O3502" s="12"/>
      <c r="P3502" s="12"/>
      <c r="Q3502" s="12"/>
      <c r="R3502" s="12"/>
      <c r="S3502" s="12"/>
      <c r="T3502" s="12"/>
      <c r="U3502" s="12"/>
      <c r="V3502" s="12"/>
      <c r="W3502" s="12"/>
      <c r="X3502" s="12"/>
      <c r="Y3502" s="12"/>
      <c r="Z3502" s="12"/>
      <c r="AA3502" s="12"/>
    </row>
    <row r="3503" ht="26.25" customHeight="1">
      <c r="A3503" s="28" t="s">
        <v>7016</v>
      </c>
      <c r="B3503" s="29" t="s">
        <v>7017</v>
      </c>
      <c r="C3503" s="30">
        <v>4.0</v>
      </c>
      <c r="D3503" s="31">
        <v>104.0</v>
      </c>
      <c r="E3503" s="31">
        <v>7.0</v>
      </c>
      <c r="F3503" s="32" t="str">
        <f t="array" ref="F3503">"https://www.google.com/maps/search/?api=1&amp;query=" &amp; A3503 &amp; "," &amp; B3503</f>
        <v>https://www.google.com/maps/search/?api=1&amp;query=-30.88948004782210,-55.55359893188410</v>
      </c>
      <c r="G3503" s="33" t="str">
        <f t="array" ref="G3503">"https://earth.google.com/web/search/" &amp; A3503 &amp; "," &amp; B3503</f>
        <v>https://earth.google.com/web/search/-30.88948004782210,-55.55359893188410</v>
      </c>
      <c r="H3503" s="12"/>
      <c r="I3503" s="12"/>
      <c r="J3503" s="12"/>
      <c r="K3503" s="12"/>
      <c r="L3503" s="12"/>
      <c r="M3503" s="12"/>
      <c r="N3503" s="12"/>
      <c r="O3503" s="12"/>
      <c r="P3503" s="12"/>
      <c r="Q3503" s="12"/>
      <c r="R3503" s="12"/>
      <c r="S3503" s="12"/>
      <c r="T3503" s="12"/>
      <c r="U3503" s="12"/>
      <c r="V3503" s="12"/>
      <c r="W3503" s="12"/>
      <c r="X3503" s="12"/>
      <c r="Y3503" s="12"/>
      <c r="Z3503" s="12"/>
      <c r="AA3503" s="12"/>
    </row>
    <row r="3504" ht="26.25" customHeight="1">
      <c r="A3504" s="34" t="s">
        <v>7018</v>
      </c>
      <c r="B3504" s="35" t="s">
        <v>7019</v>
      </c>
      <c r="C3504" s="36">
        <v>4.0</v>
      </c>
      <c r="D3504" s="37">
        <v>104.0</v>
      </c>
      <c r="E3504" s="37">
        <v>8.0</v>
      </c>
      <c r="F3504" s="24" t="str">
        <f t="array" ref="F3504">"https://www.google.com/maps/search/?api=1&amp;query=" &amp; A3504 &amp; "," &amp; B3504</f>
        <v>https://www.google.com/maps/search/?api=1&amp;query=-30.88964300486640,-55.55380461146830</v>
      </c>
      <c r="G3504" s="25" t="str">
        <f t="array" ref="G3504">"https://earth.google.com/web/search/" &amp; A3504 &amp; "," &amp; B3504</f>
        <v>https://earth.google.com/web/search/-30.88964300486640,-55.55380461146830</v>
      </c>
      <c r="H3504" s="12"/>
      <c r="I3504" s="12"/>
      <c r="J3504" s="12"/>
      <c r="K3504" s="12"/>
      <c r="L3504" s="12"/>
      <c r="M3504" s="12"/>
      <c r="N3504" s="12"/>
      <c r="O3504" s="12"/>
      <c r="P3504" s="12"/>
      <c r="Q3504" s="12"/>
      <c r="R3504" s="12"/>
      <c r="S3504" s="12"/>
      <c r="T3504" s="12"/>
      <c r="U3504" s="12"/>
      <c r="V3504" s="12"/>
      <c r="W3504" s="12"/>
      <c r="X3504" s="12"/>
      <c r="Y3504" s="12"/>
      <c r="Z3504" s="12"/>
      <c r="AA3504" s="12"/>
    </row>
    <row r="3505" ht="26.25" customHeight="1">
      <c r="A3505" s="28" t="s">
        <v>7020</v>
      </c>
      <c r="B3505" s="29" t="s">
        <v>7021</v>
      </c>
      <c r="C3505" s="30">
        <v>4.0</v>
      </c>
      <c r="D3505" s="31">
        <v>104.0</v>
      </c>
      <c r="E3505" s="31">
        <v>9.0</v>
      </c>
      <c r="F3505" s="32" t="str">
        <f t="array" ref="F3505">"https://www.google.com/maps/search/?api=1&amp;query=" &amp; A3505 &amp; "," &amp; B3505</f>
        <v>https://www.google.com/maps/search/?api=1&amp;query=-3.08897481225079,-55.55386638800820</v>
      </c>
      <c r="G3505" s="33" t="str">
        <f t="array" ref="G3505">"https://earth.google.com/web/search/" &amp; A3505 &amp; "," &amp; B3505</f>
        <v>https://earth.google.com/web/search/-3.08897481225079,-55.55386638800820</v>
      </c>
      <c r="H3505" s="12"/>
      <c r="I3505" s="12"/>
      <c r="J3505" s="12"/>
      <c r="K3505" s="12"/>
      <c r="L3505" s="12"/>
      <c r="M3505" s="12"/>
      <c r="N3505" s="12"/>
      <c r="O3505" s="12"/>
      <c r="P3505" s="12"/>
      <c r="Q3505" s="12"/>
      <c r="R3505" s="12"/>
      <c r="S3505" s="12"/>
      <c r="T3505" s="12"/>
      <c r="U3505" s="12"/>
      <c r="V3505" s="12"/>
      <c r="W3505" s="12"/>
      <c r="X3505" s="12"/>
      <c r="Y3505" s="12"/>
      <c r="Z3505" s="12"/>
      <c r="AA3505" s="12"/>
    </row>
    <row r="3506" ht="26.25" customHeight="1">
      <c r="A3506" s="34" t="s">
        <v>7022</v>
      </c>
      <c r="B3506" s="35" t="s">
        <v>7023</v>
      </c>
      <c r="C3506" s="36">
        <v>4.0</v>
      </c>
      <c r="D3506" s="37">
        <v>105.0</v>
      </c>
      <c r="E3506" s="37">
        <v>1.0</v>
      </c>
      <c r="F3506" s="24" t="str">
        <f t="array" ref="F3506">"https://www.google.com/maps/search/?api=1&amp;query=" &amp; A3506 &amp; "," &amp; B3506</f>
        <v>https://www.google.com/maps/search/?api=1&amp;query=-3.08908306597709,-55.55229661910560</v>
      </c>
      <c r="G3506" s="25" t="str">
        <f t="array" ref="G3506">"https://earth.google.com/web/search/" &amp; A3506 &amp; "," &amp; B3506</f>
        <v>https://earth.google.com/web/search/-3.08908306597709,-55.55229661910560</v>
      </c>
      <c r="H3506" s="12"/>
      <c r="I3506" s="12"/>
      <c r="J3506" s="12"/>
      <c r="K3506" s="12"/>
      <c r="L3506" s="12"/>
      <c r="M3506" s="12"/>
      <c r="N3506" s="12"/>
      <c r="O3506" s="12"/>
      <c r="P3506" s="12"/>
      <c r="Q3506" s="12"/>
      <c r="R3506" s="12"/>
      <c r="S3506" s="12"/>
      <c r="T3506" s="12"/>
      <c r="U3506" s="12"/>
      <c r="V3506" s="12"/>
      <c r="W3506" s="12"/>
      <c r="X3506" s="12"/>
      <c r="Y3506" s="12"/>
      <c r="Z3506" s="12"/>
      <c r="AA3506" s="12"/>
    </row>
    <row r="3507" ht="26.25" customHeight="1">
      <c r="A3507" s="28" t="s">
        <v>7024</v>
      </c>
      <c r="B3507" s="29" t="s">
        <v>7025</v>
      </c>
      <c r="C3507" s="30">
        <v>4.0</v>
      </c>
      <c r="D3507" s="31">
        <v>105.0</v>
      </c>
      <c r="E3507" s="31">
        <v>2.0</v>
      </c>
      <c r="F3507" s="32" t="str">
        <f t="array" ref="F3507">"https://www.google.com/maps/search/?api=1&amp;query=" &amp; A3507 &amp; "," &amp; B3507</f>
        <v>https://www.google.com/maps/search/?api=1&amp;query=-30.89073442092100,-55.55218174483830</v>
      </c>
      <c r="G3507" s="33" t="str">
        <f t="array" ref="G3507">"https://earth.google.com/web/search/" &amp; A3507 &amp; "," &amp; B3507</f>
        <v>https://earth.google.com/web/search/-30.89073442092100,-55.55218174483830</v>
      </c>
      <c r="H3507" s="12"/>
      <c r="I3507" s="12"/>
      <c r="J3507" s="12"/>
      <c r="K3507" s="12"/>
      <c r="L3507" s="12"/>
      <c r="M3507" s="12"/>
      <c r="N3507" s="12"/>
      <c r="O3507" s="12"/>
      <c r="P3507" s="12"/>
      <c r="Q3507" s="12"/>
      <c r="R3507" s="12"/>
      <c r="S3507" s="12"/>
      <c r="T3507" s="12"/>
      <c r="U3507" s="12"/>
      <c r="V3507" s="12"/>
      <c r="W3507" s="12"/>
      <c r="X3507" s="12"/>
      <c r="Y3507" s="12"/>
      <c r="Z3507" s="12"/>
      <c r="AA3507" s="12"/>
    </row>
    <row r="3508" ht="26.25" customHeight="1">
      <c r="A3508" s="34" t="s">
        <v>7026</v>
      </c>
      <c r="B3508" s="35" t="s">
        <v>7027</v>
      </c>
      <c r="C3508" s="36">
        <v>4.0</v>
      </c>
      <c r="D3508" s="37">
        <v>105.0</v>
      </c>
      <c r="E3508" s="37">
        <v>3.0</v>
      </c>
      <c r="F3508" s="24" t="str">
        <f t="array" ref="F3508">"https://www.google.com/maps/search/?api=1&amp;query=" &amp; A3508 &amp; "," &amp; B3508</f>
        <v>https://www.google.com/maps/search/?api=1&amp;query=-30.89014151601240,-55.55292035812910</v>
      </c>
      <c r="G3508" s="25" t="str">
        <f t="array" ref="G3508">"https://earth.google.com/web/search/" &amp; A3508 &amp; "," &amp; B3508</f>
        <v>https://earth.google.com/web/search/-30.89014151601240,-55.55292035812910</v>
      </c>
      <c r="H3508" s="12"/>
      <c r="I3508" s="12"/>
      <c r="J3508" s="12"/>
      <c r="K3508" s="12"/>
      <c r="L3508" s="12"/>
      <c r="M3508" s="12"/>
      <c r="N3508" s="12"/>
      <c r="O3508" s="12"/>
      <c r="P3508" s="12"/>
      <c r="Q3508" s="12"/>
      <c r="R3508" s="12"/>
      <c r="S3508" s="12"/>
      <c r="T3508" s="12"/>
      <c r="U3508" s="12"/>
      <c r="V3508" s="12"/>
      <c r="W3508" s="12"/>
      <c r="X3508" s="12"/>
      <c r="Y3508" s="12"/>
      <c r="Z3508" s="12"/>
      <c r="AA3508" s="12"/>
    </row>
    <row r="3509" ht="26.25" customHeight="1">
      <c r="A3509" s="28" t="s">
        <v>7028</v>
      </c>
      <c r="B3509" s="29" t="s">
        <v>7029</v>
      </c>
      <c r="C3509" s="30">
        <v>4.0</v>
      </c>
      <c r="D3509" s="31">
        <v>106.0</v>
      </c>
      <c r="E3509" s="31">
        <v>1.0</v>
      </c>
      <c r="F3509" s="32" t="str">
        <f t="array" ref="F3509">"https://www.google.com/maps/search/?api=1&amp;query=" &amp; A3509 &amp; "," &amp; B3509</f>
        <v>https://www.google.com/maps/search/?api=1&amp;query=-30.89115905825200,-55.55227706409380</v>
      </c>
      <c r="G3509" s="33" t="str">
        <f t="array" ref="G3509">"https://earth.google.com/web/search/" &amp; A3509 &amp; "," &amp; B3509</f>
        <v>https://earth.google.com/web/search/-30.89115905825200,-55.55227706409380</v>
      </c>
      <c r="H3509" s="12"/>
      <c r="I3509" s="12"/>
      <c r="J3509" s="12"/>
      <c r="K3509" s="12"/>
      <c r="L3509" s="12"/>
      <c r="M3509" s="12"/>
      <c r="N3509" s="12"/>
      <c r="O3509" s="12"/>
      <c r="P3509" s="12"/>
      <c r="Q3509" s="12"/>
      <c r="R3509" s="12"/>
      <c r="S3509" s="12"/>
      <c r="T3509" s="12"/>
      <c r="U3509" s="12"/>
      <c r="V3509" s="12"/>
      <c r="W3509" s="12"/>
      <c r="X3509" s="12"/>
      <c r="Y3509" s="12"/>
      <c r="Z3509" s="12"/>
      <c r="AA3509" s="12"/>
    </row>
    <row r="3510" ht="26.25" customHeight="1">
      <c r="A3510" s="34" t="s">
        <v>7030</v>
      </c>
      <c r="B3510" s="35" t="s">
        <v>7031</v>
      </c>
      <c r="C3510" s="36">
        <v>4.0</v>
      </c>
      <c r="D3510" s="37">
        <v>106.0</v>
      </c>
      <c r="E3510" s="37">
        <v>2.0</v>
      </c>
      <c r="F3510" s="24" t="str">
        <f t="array" ref="F3510">"https://www.google.com/maps/search/?api=1&amp;query=" &amp; A3510 &amp; "," &amp; B3510</f>
        <v>https://www.google.com/maps/search/?api=1&amp;query=-30.89119911147820,-5.55521791309855</v>
      </c>
      <c r="G3510" s="25" t="str">
        <f t="array" ref="G3510">"https://earth.google.com/web/search/" &amp; A3510 &amp; "," &amp; B3510</f>
        <v>https://earth.google.com/web/search/-30.89119911147820,-5.55521791309855</v>
      </c>
      <c r="H3510" s="12"/>
      <c r="I3510" s="12"/>
      <c r="J3510" s="12"/>
      <c r="K3510" s="12"/>
      <c r="L3510" s="12"/>
      <c r="M3510" s="12"/>
      <c r="N3510" s="12"/>
      <c r="O3510" s="12"/>
      <c r="P3510" s="12"/>
      <c r="Q3510" s="12"/>
      <c r="R3510" s="12"/>
      <c r="S3510" s="12"/>
      <c r="T3510" s="12"/>
      <c r="U3510" s="12"/>
      <c r="V3510" s="12"/>
      <c r="W3510" s="12"/>
      <c r="X3510" s="12"/>
      <c r="Y3510" s="12"/>
      <c r="Z3510" s="12"/>
      <c r="AA3510" s="12"/>
    </row>
    <row r="3511" ht="26.25" customHeight="1">
      <c r="A3511" s="28" t="s">
        <v>7032</v>
      </c>
      <c r="B3511" s="29" t="s">
        <v>7033</v>
      </c>
      <c r="C3511" s="30">
        <v>4.0</v>
      </c>
      <c r="D3511" s="31">
        <v>106.0</v>
      </c>
      <c r="E3511" s="31">
        <v>3.0</v>
      </c>
      <c r="F3511" s="32" t="str">
        <f t="array" ref="F3511">"https://www.google.com/maps/search/?api=1&amp;query=" &amp; A3511 &amp; "," &amp; B3511</f>
        <v>https://www.google.com/maps/search/?api=1&amp;query=-30.89139523369130,-55.55139975017390</v>
      </c>
      <c r="G3511" s="33" t="str">
        <f t="array" ref="G3511">"https://earth.google.com/web/search/" &amp; A3511 &amp; "," &amp; B3511</f>
        <v>https://earth.google.com/web/search/-30.89139523369130,-55.55139975017390</v>
      </c>
      <c r="H3511" s="12"/>
      <c r="I3511" s="12"/>
      <c r="J3511" s="12"/>
      <c r="K3511" s="12"/>
      <c r="L3511" s="12"/>
      <c r="M3511" s="12"/>
      <c r="N3511" s="12"/>
      <c r="O3511" s="12"/>
      <c r="P3511" s="12"/>
      <c r="Q3511" s="12"/>
      <c r="R3511" s="12"/>
      <c r="S3511" s="12"/>
      <c r="T3511" s="12"/>
      <c r="U3511" s="12"/>
      <c r="V3511" s="12"/>
      <c r="W3511" s="12"/>
      <c r="X3511" s="12"/>
      <c r="Y3511" s="12"/>
      <c r="Z3511" s="12"/>
      <c r="AA3511" s="12"/>
    </row>
    <row r="3512" ht="26.25" customHeight="1">
      <c r="A3512" s="34" t="s">
        <v>7034</v>
      </c>
      <c r="B3512" s="35" t="s">
        <v>7035</v>
      </c>
      <c r="C3512" s="36">
        <v>4.0</v>
      </c>
      <c r="D3512" s="37">
        <v>106.0</v>
      </c>
      <c r="E3512" s="37">
        <v>4.0</v>
      </c>
      <c r="F3512" s="24" t="str">
        <f t="array" ref="F3512">"https://www.google.com/maps/search/?api=1&amp;query=" &amp; A3512 &amp; "," &amp; B3512</f>
        <v>https://www.google.com/maps/search/?api=1&amp;query=-30.89046041265480,-55.55176773835680</v>
      </c>
      <c r="G3512" s="25" t="str">
        <f t="array" ref="G3512">"https://earth.google.com/web/search/" &amp; A3512 &amp; "," &amp; B3512</f>
        <v>https://earth.google.com/web/search/-30.89046041265480,-55.55176773835680</v>
      </c>
      <c r="H3512" s="12"/>
      <c r="I3512" s="12"/>
      <c r="J3512" s="12"/>
      <c r="K3512" s="12"/>
      <c r="L3512" s="12"/>
      <c r="M3512" s="12"/>
      <c r="N3512" s="12"/>
      <c r="O3512" s="12"/>
      <c r="P3512" s="12"/>
      <c r="Q3512" s="12"/>
      <c r="R3512" s="12"/>
      <c r="S3512" s="12"/>
      <c r="T3512" s="12"/>
      <c r="U3512" s="12"/>
      <c r="V3512" s="12"/>
      <c r="W3512" s="12"/>
      <c r="X3512" s="12"/>
      <c r="Y3512" s="12"/>
      <c r="Z3512" s="12"/>
      <c r="AA3512" s="12"/>
    </row>
    <row r="3513" ht="26.25" customHeight="1">
      <c r="A3513" s="28" t="s">
        <v>7036</v>
      </c>
      <c r="B3513" s="29" t="s">
        <v>7037</v>
      </c>
      <c r="C3513" s="30">
        <v>4.0</v>
      </c>
      <c r="D3513" s="31">
        <v>106.0</v>
      </c>
      <c r="E3513" s="31">
        <v>5.0</v>
      </c>
      <c r="F3513" s="32" t="str">
        <f t="array" ref="F3513">"https://www.google.com/maps/search/?api=1&amp;query=" &amp; A3513 &amp; "," &amp; B3513</f>
        <v>https://www.google.com/maps/search/?api=1&amp;query=-30.89049820568530,-55.55190136475560</v>
      </c>
      <c r="G3513" s="33" t="str">
        <f t="array" ref="G3513">"https://earth.google.com/web/search/" &amp; A3513 &amp; "," &amp; B3513</f>
        <v>https://earth.google.com/web/search/-30.89049820568530,-55.55190136475560</v>
      </c>
      <c r="H3513" s="12"/>
      <c r="I3513" s="12"/>
      <c r="J3513" s="12"/>
      <c r="K3513" s="12"/>
      <c r="L3513" s="12"/>
      <c r="M3513" s="12"/>
      <c r="N3513" s="12"/>
      <c r="O3513" s="12"/>
      <c r="P3513" s="12"/>
      <c r="Q3513" s="12"/>
      <c r="R3513" s="12"/>
      <c r="S3513" s="12"/>
      <c r="T3513" s="12"/>
      <c r="U3513" s="12"/>
      <c r="V3513" s="12"/>
      <c r="W3513" s="12"/>
      <c r="X3513" s="12"/>
      <c r="Y3513" s="12"/>
      <c r="Z3513" s="12"/>
      <c r="AA3513" s="12"/>
    </row>
    <row r="3514" ht="26.25" customHeight="1">
      <c r="A3514" s="34" t="s">
        <v>7038</v>
      </c>
      <c r="B3514" s="35" t="s">
        <v>7039</v>
      </c>
      <c r="C3514" s="36">
        <v>4.0</v>
      </c>
      <c r="D3514" s="37">
        <v>106.0</v>
      </c>
      <c r="E3514" s="37">
        <v>6.0</v>
      </c>
      <c r="F3514" s="24" t="str">
        <f t="array" ref="F3514">"https://www.google.com/maps/search/?api=1&amp;query=" &amp; A3514 &amp; "," &amp; B3514</f>
        <v>https://www.google.com/maps/search/?api=1&amp;query=-30.89080141495310,-55.55209887181650</v>
      </c>
      <c r="G3514" s="25" t="str">
        <f t="array" ref="G3514">"https://earth.google.com/web/search/" &amp; A3514 &amp; "," &amp; B3514</f>
        <v>https://earth.google.com/web/search/-30.89080141495310,-55.55209887181650</v>
      </c>
      <c r="H3514" s="12"/>
      <c r="I3514" s="12"/>
      <c r="J3514" s="12"/>
      <c r="K3514" s="12"/>
      <c r="L3514" s="12"/>
      <c r="M3514" s="12"/>
      <c r="N3514" s="12"/>
      <c r="O3514" s="12"/>
      <c r="P3514" s="12"/>
      <c r="Q3514" s="12"/>
      <c r="R3514" s="12"/>
      <c r="S3514" s="12"/>
      <c r="T3514" s="12"/>
      <c r="U3514" s="12"/>
      <c r="V3514" s="12"/>
      <c r="W3514" s="12"/>
      <c r="X3514" s="12"/>
      <c r="Y3514" s="12"/>
      <c r="Z3514" s="12"/>
      <c r="AA3514" s="12"/>
    </row>
    <row r="3515" ht="26.25" customHeight="1">
      <c r="A3515" s="28" t="s">
        <v>7040</v>
      </c>
      <c r="B3515" s="29" t="s">
        <v>7041</v>
      </c>
      <c r="C3515" s="30">
        <v>4.0</v>
      </c>
      <c r="D3515" s="31">
        <v>106.0</v>
      </c>
      <c r="E3515" s="31">
        <v>7.0</v>
      </c>
      <c r="F3515" s="32" t="str">
        <f t="array" ref="F3515">"https://www.google.com/maps/search/?api=1&amp;query=" &amp; A3515 &amp; "," &amp; B3515</f>
        <v>https://www.google.com/maps/search/?api=1&amp;query=-30.89093270440140,-55.55218941841830</v>
      </c>
      <c r="G3515" s="33" t="str">
        <f t="array" ref="G3515">"https://earth.google.com/web/search/" &amp; A3515 &amp; "," &amp; B3515</f>
        <v>https://earth.google.com/web/search/-30.89093270440140,-55.55218941841830</v>
      </c>
      <c r="H3515" s="12"/>
      <c r="I3515" s="12"/>
      <c r="J3515" s="12"/>
      <c r="K3515" s="12"/>
      <c r="L3515" s="12"/>
      <c r="M3515" s="12"/>
      <c r="N3515" s="12"/>
      <c r="O3515" s="12"/>
      <c r="P3515" s="12"/>
      <c r="Q3515" s="12"/>
      <c r="R3515" s="12"/>
      <c r="S3515" s="12"/>
      <c r="T3515" s="12"/>
      <c r="U3515" s="12"/>
      <c r="V3515" s="12"/>
      <c r="W3515" s="12"/>
      <c r="X3515" s="12"/>
      <c r="Y3515" s="12"/>
      <c r="Z3515" s="12"/>
      <c r="AA3515" s="12"/>
    </row>
    <row r="3516" ht="26.25" customHeight="1">
      <c r="A3516" s="34" t="s">
        <v>7042</v>
      </c>
      <c r="B3516" s="35" t="s">
        <v>7043</v>
      </c>
      <c r="C3516" s="36">
        <v>4.0</v>
      </c>
      <c r="D3516" s="37">
        <v>106.0</v>
      </c>
      <c r="E3516" s="37">
        <v>8.0</v>
      </c>
      <c r="F3516" s="24" t="str">
        <f t="array" ref="F3516">"https://www.google.com/maps/search/?api=1&amp;query=" &amp; A3516 &amp; "," &amp; B3516</f>
        <v>https://www.google.com/maps/search/?api=1&amp;query=-3.08910706636221,-55.55229313722430</v>
      </c>
      <c r="G3516" s="25" t="str">
        <f t="array" ref="G3516">"https://earth.google.com/web/search/" &amp; A3516 &amp; "," &amp; B3516</f>
        <v>https://earth.google.com/web/search/-3.08910706636221,-55.55229313722430</v>
      </c>
      <c r="H3516" s="12"/>
      <c r="I3516" s="12"/>
      <c r="J3516" s="12"/>
      <c r="K3516" s="12"/>
      <c r="L3516" s="12"/>
      <c r="M3516" s="12"/>
      <c r="N3516" s="12"/>
      <c r="O3516" s="12"/>
      <c r="P3516" s="12"/>
      <c r="Q3516" s="12"/>
      <c r="R3516" s="12"/>
      <c r="S3516" s="12"/>
      <c r="T3516" s="12"/>
      <c r="U3516" s="12"/>
      <c r="V3516" s="12"/>
      <c r="W3516" s="12"/>
      <c r="X3516" s="12"/>
      <c r="Y3516" s="12"/>
      <c r="Z3516" s="12"/>
      <c r="AA3516" s="12"/>
    </row>
    <row r="3517" ht="26.25" customHeight="1">
      <c r="A3517" s="28" t="s">
        <v>7044</v>
      </c>
      <c r="B3517" s="29" t="s">
        <v>7045</v>
      </c>
      <c r="C3517" s="30">
        <v>4.0</v>
      </c>
      <c r="D3517" s="31">
        <v>107.0</v>
      </c>
      <c r="E3517" s="31">
        <v>1.0</v>
      </c>
      <c r="F3517" s="32" t="str">
        <f t="array" ref="F3517">"https://www.google.com/maps/search/?api=1&amp;query=" &amp; A3517 &amp; "," &amp; B3517</f>
        <v>https://www.google.com/maps/search/?api=1&amp;query=-30.89173090550750,-55.55118840197880</v>
      </c>
      <c r="G3517" s="33" t="str">
        <f t="array" ref="G3517">"https://earth.google.com/web/search/" &amp; A3517 &amp; "," &amp; B3517</f>
        <v>https://earth.google.com/web/search/-30.89173090550750,-55.55118840197880</v>
      </c>
      <c r="H3517" s="12"/>
      <c r="I3517" s="12"/>
      <c r="J3517" s="12"/>
      <c r="K3517" s="12"/>
      <c r="L3517" s="12"/>
      <c r="M3517" s="12"/>
      <c r="N3517" s="12"/>
      <c r="O3517" s="12"/>
      <c r="P3517" s="12"/>
      <c r="Q3517" s="12"/>
      <c r="R3517" s="12"/>
      <c r="S3517" s="12"/>
      <c r="T3517" s="12"/>
      <c r="U3517" s="12"/>
      <c r="V3517" s="12"/>
      <c r="W3517" s="12"/>
      <c r="X3517" s="12"/>
      <c r="Y3517" s="12"/>
      <c r="Z3517" s="12"/>
      <c r="AA3517" s="12"/>
    </row>
    <row r="3518" ht="26.25" customHeight="1">
      <c r="A3518" s="34" t="s">
        <v>7046</v>
      </c>
      <c r="B3518" s="35" t="s">
        <v>7047</v>
      </c>
      <c r="C3518" s="36">
        <v>4.0</v>
      </c>
      <c r="D3518" s="37">
        <v>107.0</v>
      </c>
      <c r="E3518" s="37">
        <v>2.0</v>
      </c>
      <c r="F3518" s="24" t="str">
        <f t="array" ref="F3518">"https://www.google.com/maps/search/?api=1&amp;query=" &amp; A3518 &amp; "," &amp; B3518</f>
        <v>https://www.google.com/maps/search/?api=1&amp;query=-30.89165822458090,-55.55035853322350</v>
      </c>
      <c r="G3518" s="25" t="str">
        <f t="array" ref="G3518">"https://earth.google.com/web/search/" &amp; A3518 &amp; "," &amp; B3518</f>
        <v>https://earth.google.com/web/search/-30.89165822458090,-55.55035853322350</v>
      </c>
      <c r="H3518" s="12"/>
      <c r="I3518" s="12"/>
      <c r="J3518" s="12"/>
      <c r="K3518" s="12"/>
      <c r="L3518" s="12"/>
      <c r="M3518" s="12"/>
      <c r="N3518" s="12"/>
      <c r="O3518" s="12"/>
      <c r="P3518" s="12"/>
      <c r="Q3518" s="12"/>
      <c r="R3518" s="12"/>
      <c r="S3518" s="12"/>
      <c r="T3518" s="12"/>
      <c r="U3518" s="12"/>
      <c r="V3518" s="12"/>
      <c r="W3518" s="12"/>
      <c r="X3518" s="12"/>
      <c r="Y3518" s="12"/>
      <c r="Z3518" s="12"/>
      <c r="AA3518" s="12"/>
    </row>
    <row r="3519" ht="26.25" customHeight="1">
      <c r="A3519" s="28" t="s">
        <v>7048</v>
      </c>
      <c r="B3519" s="29" t="s">
        <v>7049</v>
      </c>
      <c r="C3519" s="30">
        <v>4.0</v>
      </c>
      <c r="D3519" s="31">
        <v>107.0</v>
      </c>
      <c r="E3519" s="31">
        <v>3.0</v>
      </c>
      <c r="F3519" s="32" t="str">
        <f t="array" ref="F3519">"https://www.google.com/maps/search/?api=1&amp;query=" &amp; A3519 &amp; "," &amp; B3519</f>
        <v>https://www.google.com/maps/search/?api=1&amp;query=-30.89092949435350,-55.55095609162970</v>
      </c>
      <c r="G3519" s="33" t="str">
        <f t="array" ref="G3519">"https://earth.google.com/web/search/" &amp; A3519 &amp; "," &amp; B3519</f>
        <v>https://earth.google.com/web/search/-30.89092949435350,-55.55095609162970</v>
      </c>
      <c r="H3519" s="12"/>
      <c r="I3519" s="12"/>
      <c r="J3519" s="12"/>
      <c r="K3519" s="12"/>
      <c r="L3519" s="12"/>
      <c r="M3519" s="12"/>
      <c r="N3519" s="12"/>
      <c r="O3519" s="12"/>
      <c r="P3519" s="12"/>
      <c r="Q3519" s="12"/>
      <c r="R3519" s="12"/>
      <c r="S3519" s="12"/>
      <c r="T3519" s="12"/>
      <c r="U3519" s="12"/>
      <c r="V3519" s="12"/>
      <c r="W3519" s="12"/>
      <c r="X3519" s="12"/>
      <c r="Y3519" s="12"/>
      <c r="Z3519" s="12"/>
      <c r="AA3519" s="12"/>
    </row>
    <row r="3520" ht="26.25" customHeight="1">
      <c r="A3520" s="34" t="s">
        <v>7050</v>
      </c>
      <c r="B3520" s="35" t="s">
        <v>7051</v>
      </c>
      <c r="C3520" s="36">
        <v>4.0</v>
      </c>
      <c r="D3520" s="37">
        <v>107.0</v>
      </c>
      <c r="E3520" s="37">
        <v>4.0</v>
      </c>
      <c r="F3520" s="24" t="str">
        <f t="array" ref="F3520">"https://www.google.com/maps/search/?api=1&amp;query=" &amp; A3520 &amp; "," &amp; B3520</f>
        <v>https://www.google.com/maps/search/?api=1&amp;query=-30.89102714121750,-55.55103177778000</v>
      </c>
      <c r="G3520" s="25" t="str">
        <f t="array" ref="G3520">"https://earth.google.com/web/search/" &amp; A3520 &amp; "," &amp; B3520</f>
        <v>https://earth.google.com/web/search/-30.89102714121750,-55.55103177778000</v>
      </c>
      <c r="H3520" s="12"/>
      <c r="I3520" s="12"/>
      <c r="J3520" s="12"/>
      <c r="K3520" s="12"/>
      <c r="L3520" s="12"/>
      <c r="M3520" s="12"/>
      <c r="N3520" s="12"/>
      <c r="O3520" s="12"/>
      <c r="P3520" s="12"/>
      <c r="Q3520" s="12"/>
      <c r="R3520" s="12"/>
      <c r="S3520" s="12"/>
      <c r="T3520" s="12"/>
      <c r="U3520" s="12"/>
      <c r="V3520" s="12"/>
      <c r="W3520" s="12"/>
      <c r="X3520" s="12"/>
      <c r="Y3520" s="12"/>
      <c r="Z3520" s="12"/>
      <c r="AA3520" s="12"/>
    </row>
    <row r="3521" ht="26.25" customHeight="1">
      <c r="A3521" s="28" t="s">
        <v>7052</v>
      </c>
      <c r="B3521" s="29" t="s">
        <v>7053</v>
      </c>
      <c r="C3521" s="30">
        <v>4.0</v>
      </c>
      <c r="D3521" s="31">
        <v>108.0</v>
      </c>
      <c r="E3521" s="31">
        <v>1.0</v>
      </c>
      <c r="F3521" s="32" t="str">
        <f t="array" ref="F3521">"https://www.google.com/maps/search/?api=1&amp;query=" &amp; A3521 &amp; "," &amp; B3521</f>
        <v>https://www.google.com/maps/search/?api=1&amp;query=-30.89217230212470,-55.54947320255270</v>
      </c>
      <c r="G3521" s="33" t="str">
        <f t="array" ref="G3521">"https://earth.google.com/web/search/" &amp; A3521 &amp; "," &amp; B3521</f>
        <v>https://earth.google.com/web/search/-30.89217230212470,-55.54947320255270</v>
      </c>
      <c r="H3521" s="12"/>
      <c r="I3521" s="12"/>
      <c r="J3521" s="12"/>
      <c r="K3521" s="12"/>
      <c r="L3521" s="12"/>
      <c r="M3521" s="12"/>
      <c r="N3521" s="12"/>
      <c r="O3521" s="12"/>
      <c r="P3521" s="12"/>
      <c r="Q3521" s="12"/>
      <c r="R3521" s="12"/>
      <c r="S3521" s="12"/>
      <c r="T3521" s="12"/>
      <c r="U3521" s="12"/>
      <c r="V3521" s="12"/>
      <c r="W3521" s="12"/>
      <c r="X3521" s="12"/>
      <c r="Y3521" s="12"/>
      <c r="Z3521" s="12"/>
      <c r="AA3521" s="12"/>
    </row>
    <row r="3522" ht="26.25" customHeight="1">
      <c r="A3522" s="34" t="s">
        <v>7054</v>
      </c>
      <c r="B3522" s="35" t="s">
        <v>7055</v>
      </c>
      <c r="C3522" s="36">
        <v>4.0</v>
      </c>
      <c r="D3522" s="37">
        <v>108.0</v>
      </c>
      <c r="E3522" s="37">
        <v>2.0</v>
      </c>
      <c r="F3522" s="24" t="str">
        <f t="array" ref="F3522">"https://www.google.com/maps/search/?api=1&amp;query=" &amp; A3522 &amp; "," &amp; B3522</f>
        <v>https://www.google.com/maps/search/?api=1&amp;query=-30.89208588504060,-5.55494130796249</v>
      </c>
      <c r="G3522" s="25" t="str">
        <f t="array" ref="G3522">"https://earth.google.com/web/search/" &amp; A3522 &amp; "," &amp; B3522</f>
        <v>https://earth.google.com/web/search/-30.89208588504060,-5.55494130796249</v>
      </c>
      <c r="H3522" s="12"/>
      <c r="I3522" s="12"/>
      <c r="J3522" s="12"/>
      <c r="K3522" s="12"/>
      <c r="L3522" s="12"/>
      <c r="M3522" s="12"/>
      <c r="N3522" s="12"/>
      <c r="O3522" s="12"/>
      <c r="P3522" s="12"/>
      <c r="Q3522" s="12"/>
      <c r="R3522" s="12"/>
      <c r="S3522" s="12"/>
      <c r="T3522" s="12"/>
      <c r="U3522" s="12"/>
      <c r="V3522" s="12"/>
      <c r="W3522" s="12"/>
      <c r="X3522" s="12"/>
      <c r="Y3522" s="12"/>
      <c r="Z3522" s="12"/>
      <c r="AA3522" s="12"/>
    </row>
    <row r="3523" ht="26.25" customHeight="1">
      <c r="A3523" s="28" t="s">
        <v>7056</v>
      </c>
      <c r="B3523" s="29" t="s">
        <v>7057</v>
      </c>
      <c r="C3523" s="30">
        <v>4.0</v>
      </c>
      <c r="D3523" s="31">
        <v>108.0</v>
      </c>
      <c r="E3523" s="31">
        <v>3.0</v>
      </c>
      <c r="F3523" s="32" t="str">
        <f t="array" ref="F3523">"https://www.google.com/maps/search/?api=1&amp;query=" &amp; A3523 &amp; "," &amp; B3523</f>
        <v>https://www.google.com/maps/search/?api=1&amp;query=-30.89193056368840,-55.54929259772490</v>
      </c>
      <c r="G3523" s="33" t="str">
        <f t="array" ref="G3523">"https://earth.google.com/web/search/" &amp; A3523 &amp; "," &amp; B3523</f>
        <v>https://earth.google.com/web/search/-30.89193056368840,-55.54929259772490</v>
      </c>
      <c r="H3523" s="12"/>
      <c r="I3523" s="12"/>
      <c r="J3523" s="12"/>
      <c r="K3523" s="12"/>
      <c r="L3523" s="12"/>
      <c r="M3523" s="12"/>
      <c r="N3523" s="12"/>
      <c r="O3523" s="12"/>
      <c r="P3523" s="12"/>
      <c r="Q3523" s="12"/>
      <c r="R3523" s="12"/>
      <c r="S3523" s="12"/>
      <c r="T3523" s="12"/>
      <c r="U3523" s="12"/>
      <c r="V3523" s="12"/>
      <c r="W3523" s="12"/>
      <c r="X3523" s="12"/>
      <c r="Y3523" s="12"/>
      <c r="Z3523" s="12"/>
      <c r="AA3523" s="12"/>
    </row>
    <row r="3524" ht="26.25" customHeight="1">
      <c r="A3524" s="34" t="s">
        <v>7058</v>
      </c>
      <c r="B3524" s="35" t="s">
        <v>7059</v>
      </c>
      <c r="C3524" s="36">
        <v>4.0</v>
      </c>
      <c r="D3524" s="37">
        <v>108.0</v>
      </c>
      <c r="E3524" s="37">
        <v>4.0</v>
      </c>
      <c r="F3524" s="24" t="str">
        <f t="array" ref="F3524">"https://www.google.com/maps/search/?api=1&amp;query=" &amp; A3524 &amp; "," &amp; B3524</f>
        <v>https://www.google.com/maps/search/?api=1&amp;query=-3.08916271110214,-55.55018938602430</v>
      </c>
      <c r="G3524" s="25" t="str">
        <f t="array" ref="G3524">"https://earth.google.com/web/search/" &amp; A3524 &amp; "," &amp; B3524</f>
        <v>https://earth.google.com/web/search/-3.08916271110214,-55.55018938602430</v>
      </c>
      <c r="H3524" s="12"/>
      <c r="I3524" s="12"/>
      <c r="J3524" s="12"/>
      <c r="K3524" s="12"/>
      <c r="L3524" s="12"/>
      <c r="M3524" s="12"/>
      <c r="N3524" s="12"/>
      <c r="O3524" s="12"/>
      <c r="P3524" s="12"/>
      <c r="Q3524" s="12"/>
      <c r="R3524" s="12"/>
      <c r="S3524" s="12"/>
      <c r="T3524" s="12"/>
      <c r="U3524" s="12"/>
      <c r="V3524" s="12"/>
      <c r="W3524" s="12"/>
      <c r="X3524" s="12"/>
      <c r="Y3524" s="12"/>
      <c r="Z3524" s="12"/>
      <c r="AA3524" s="12"/>
    </row>
    <row r="3525" ht="26.25" customHeight="1">
      <c r="A3525" s="28" t="s">
        <v>7060</v>
      </c>
      <c r="B3525" s="29" t="s">
        <v>7061</v>
      </c>
      <c r="C3525" s="30">
        <v>4.0</v>
      </c>
      <c r="D3525" s="31">
        <v>108.0</v>
      </c>
      <c r="E3525" s="31">
        <v>6.0</v>
      </c>
      <c r="F3525" s="32" t="str">
        <f t="array" ref="F3525">"https://www.google.com/maps/search/?api=1&amp;query=" &amp; A3525 &amp; "," &amp; B3525</f>
        <v>https://www.google.com/maps/search/?api=1&amp;query=-30.89216384253280,-55.55033502581450</v>
      </c>
      <c r="G3525" s="33" t="str">
        <f t="array" ref="G3525">"https://earth.google.com/web/search/" &amp; A3525 &amp; "," &amp; B3525</f>
        <v>https://earth.google.com/web/search/-30.89216384253280,-55.55033502581450</v>
      </c>
      <c r="H3525" s="12"/>
      <c r="I3525" s="12"/>
      <c r="J3525" s="12"/>
      <c r="K3525" s="12"/>
      <c r="L3525" s="12"/>
      <c r="M3525" s="12"/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</row>
    <row r="3526" ht="26.25" customHeight="1">
      <c r="A3526" s="34" t="s">
        <v>7062</v>
      </c>
      <c r="B3526" s="35" t="s">
        <v>7063</v>
      </c>
      <c r="C3526" s="36">
        <v>4.0</v>
      </c>
      <c r="D3526" s="37">
        <v>109.0</v>
      </c>
      <c r="E3526" s="37">
        <v>1.0</v>
      </c>
      <c r="F3526" s="24" t="str">
        <f t="array" ref="F3526">"https://www.google.com/maps/search/?api=1&amp;query=" &amp; A3526 &amp; "," &amp; B3526</f>
        <v>https://www.google.com/maps/search/?api=1&amp;query=-30.89272401164690,-55.54928611580980</v>
      </c>
      <c r="G3526" s="25" t="str">
        <f t="array" ref="G3526">"https://earth.google.com/web/search/" &amp; A3526 &amp; "," &amp; B3526</f>
        <v>https://earth.google.com/web/search/-30.89272401164690,-55.54928611580980</v>
      </c>
      <c r="H3526" s="12"/>
      <c r="I3526" s="12"/>
      <c r="J3526" s="12"/>
      <c r="K3526" s="12"/>
      <c r="L3526" s="12"/>
      <c r="M3526" s="12"/>
      <c r="N3526" s="12"/>
      <c r="O3526" s="12"/>
      <c r="P3526" s="12"/>
      <c r="Q3526" s="12"/>
      <c r="R3526" s="12"/>
      <c r="S3526" s="12"/>
      <c r="T3526" s="12"/>
      <c r="U3526" s="12"/>
      <c r="V3526" s="12"/>
      <c r="W3526" s="12"/>
      <c r="X3526" s="12"/>
      <c r="Y3526" s="12"/>
      <c r="Z3526" s="12"/>
      <c r="AA3526" s="12"/>
    </row>
    <row r="3527" ht="26.25" customHeight="1">
      <c r="A3527" s="28" t="s">
        <v>7064</v>
      </c>
      <c r="B3527" s="29" t="s">
        <v>7065</v>
      </c>
      <c r="C3527" s="30">
        <v>4.0</v>
      </c>
      <c r="D3527" s="31">
        <v>109.0</v>
      </c>
      <c r="E3527" s="31">
        <v>2.0</v>
      </c>
      <c r="F3527" s="32" t="str">
        <f t="array" ref="F3527">"https://www.google.com/maps/search/?api=1&amp;query=" &amp; A3527 &amp; "," &amp; B3527</f>
        <v>https://www.google.com/maps/search/?api=1&amp;query=-30.89291151079600,-55.54889976879620</v>
      </c>
      <c r="G3527" s="33" t="str">
        <f t="array" ref="G3527">"https://earth.google.com/web/search/" &amp; A3527 &amp; "," &amp; B3527</f>
        <v>https://earth.google.com/web/search/-30.89291151079600,-55.54889976879620</v>
      </c>
      <c r="H3527" s="12"/>
      <c r="I3527" s="12"/>
      <c r="J3527" s="12"/>
      <c r="K3527" s="12"/>
      <c r="L3527" s="12"/>
      <c r="M3527" s="12"/>
      <c r="N3527" s="12"/>
      <c r="O3527" s="12"/>
      <c r="P3527" s="12"/>
      <c r="Q3527" s="12"/>
      <c r="R3527" s="12"/>
      <c r="S3527" s="12"/>
      <c r="T3527" s="12"/>
      <c r="U3527" s="12"/>
      <c r="V3527" s="12"/>
      <c r="W3527" s="12"/>
      <c r="X3527" s="12"/>
      <c r="Y3527" s="12"/>
      <c r="Z3527" s="12"/>
      <c r="AA3527" s="12"/>
    </row>
    <row r="3528" ht="26.25" customHeight="1">
      <c r="A3528" s="34" t="s">
        <v>7066</v>
      </c>
      <c r="B3528" s="35" t="s">
        <v>7067</v>
      </c>
      <c r="C3528" s="36">
        <v>4.0</v>
      </c>
      <c r="D3528" s="37">
        <v>109.0</v>
      </c>
      <c r="E3528" s="37">
        <v>3.0</v>
      </c>
      <c r="F3528" s="24" t="str">
        <f t="array" ref="F3528">"https://www.google.com/maps/search/?api=1&amp;query=" &amp; A3528 &amp; "," &amp; B3528</f>
        <v>https://www.google.com/maps/search/?api=1&amp;query=-3.08921811445409,-55.54849628555020</v>
      </c>
      <c r="G3528" s="25" t="str">
        <f t="array" ref="G3528">"https://earth.google.com/web/search/" &amp; A3528 &amp; "," &amp; B3528</f>
        <v>https://earth.google.com/web/search/-3.08921811445409,-55.54849628555020</v>
      </c>
      <c r="H3528" s="12"/>
      <c r="I3528" s="12"/>
      <c r="J3528" s="12"/>
      <c r="K3528" s="12"/>
      <c r="L3528" s="12"/>
      <c r="M3528" s="12"/>
      <c r="N3528" s="12"/>
      <c r="O3528" s="12"/>
      <c r="P3528" s="12"/>
      <c r="Q3528" s="12"/>
      <c r="R3528" s="12"/>
      <c r="S3528" s="12"/>
      <c r="T3528" s="12"/>
      <c r="U3528" s="12"/>
      <c r="V3528" s="12"/>
      <c r="W3528" s="12"/>
      <c r="X3528" s="12"/>
      <c r="Y3528" s="12"/>
      <c r="Z3528" s="12"/>
      <c r="AA3528" s="12"/>
    </row>
    <row r="3529" ht="26.25" customHeight="1">
      <c r="A3529" s="28" t="s">
        <v>7068</v>
      </c>
      <c r="B3529" s="29" t="s">
        <v>7069</v>
      </c>
      <c r="C3529" s="30">
        <v>4.0</v>
      </c>
      <c r="D3529" s="31">
        <v>109.0</v>
      </c>
      <c r="E3529" s="31">
        <v>4.0</v>
      </c>
      <c r="F3529" s="32" t="str">
        <f t="array" ref="F3529">"https://www.google.com/maps/search/?api=1&amp;query=" &amp; A3529 &amp; "," &amp; B3529</f>
        <v>https://www.google.com/maps/search/?api=1&amp;query=-30.89214862078770,-55.54856369251320</v>
      </c>
      <c r="G3529" s="33" t="str">
        <f t="array" ref="G3529">"https://earth.google.com/web/search/" &amp; A3529 &amp; "," &amp; B3529</f>
        <v>https://earth.google.com/web/search/-30.89214862078770,-55.54856369251320</v>
      </c>
      <c r="H3529" s="12"/>
      <c r="I3529" s="12"/>
      <c r="J3529" s="12"/>
      <c r="K3529" s="12"/>
      <c r="L3529" s="12"/>
      <c r="M3529" s="12"/>
      <c r="N3529" s="12"/>
      <c r="O3529" s="12"/>
      <c r="P3529" s="12"/>
      <c r="Q3529" s="12"/>
      <c r="R3529" s="12"/>
      <c r="S3529" s="12"/>
      <c r="T3529" s="12"/>
      <c r="U3529" s="12"/>
      <c r="V3529" s="12"/>
      <c r="W3529" s="12"/>
      <c r="X3529" s="12"/>
      <c r="Y3529" s="12"/>
      <c r="Z3529" s="12"/>
      <c r="AA3529" s="12"/>
    </row>
    <row r="3530" ht="26.25" customHeight="1">
      <c r="A3530" s="34" t="s">
        <v>7070</v>
      </c>
      <c r="B3530" s="35" t="s">
        <v>7071</v>
      </c>
      <c r="C3530" s="36">
        <v>4.0</v>
      </c>
      <c r="D3530" s="37">
        <v>109.0</v>
      </c>
      <c r="E3530" s="37">
        <v>5.0</v>
      </c>
      <c r="F3530" s="24" t="str">
        <f t="array" ref="F3530">"https://www.google.com/maps/search/?api=1&amp;query=" &amp; A3530 &amp; "," &amp; B3530</f>
        <v>https://www.google.com/maps/search/?api=1&amp;query=-30.89191449914690,-55.54917015893280</v>
      </c>
      <c r="G3530" s="25" t="str">
        <f t="array" ref="G3530">"https://earth.google.com/web/search/" &amp; A3530 &amp; "," &amp; B3530</f>
        <v>https://earth.google.com/web/search/-30.89191449914690,-55.54917015893280</v>
      </c>
      <c r="H3530" s="12"/>
      <c r="I3530" s="12"/>
      <c r="J3530" s="12"/>
      <c r="K3530" s="12"/>
      <c r="L3530" s="12"/>
      <c r="M3530" s="12"/>
      <c r="N3530" s="12"/>
      <c r="O3530" s="12"/>
      <c r="P3530" s="12"/>
      <c r="Q3530" s="12"/>
      <c r="R3530" s="12"/>
      <c r="S3530" s="12"/>
      <c r="T3530" s="12"/>
      <c r="U3530" s="12"/>
      <c r="V3530" s="12"/>
      <c r="W3530" s="12"/>
      <c r="X3530" s="12"/>
      <c r="Y3530" s="12"/>
      <c r="Z3530" s="12"/>
      <c r="AA3530" s="12"/>
    </row>
    <row r="3531" ht="26.25" customHeight="1">
      <c r="A3531" s="28" t="s">
        <v>7072</v>
      </c>
      <c r="B3531" s="29" t="s">
        <v>7073</v>
      </c>
      <c r="C3531" s="30">
        <v>4.0</v>
      </c>
      <c r="D3531" s="31">
        <v>109.0</v>
      </c>
      <c r="E3531" s="31">
        <v>6.0</v>
      </c>
      <c r="F3531" s="32" t="str">
        <f t="array" ref="F3531">"https://www.google.com/maps/search/?api=1&amp;query=" &amp; A3531 &amp; "," &amp; B3531</f>
        <v>https://www.google.com/maps/search/?api=1&amp;query=-30.89233220984460,-55.54946780982520</v>
      </c>
      <c r="G3531" s="33" t="str">
        <f t="array" ref="G3531">"https://earth.google.com/web/search/" &amp; A3531 &amp; "," &amp; B3531</f>
        <v>https://earth.google.com/web/search/-30.89233220984460,-55.54946780982520</v>
      </c>
      <c r="H3531" s="12"/>
      <c r="I3531" s="12"/>
      <c r="J3531" s="12"/>
      <c r="K3531" s="12"/>
      <c r="L3531" s="12"/>
      <c r="M3531" s="12"/>
      <c r="N3531" s="12"/>
      <c r="O3531" s="12"/>
      <c r="P3531" s="12"/>
      <c r="Q3531" s="12"/>
      <c r="R3531" s="12"/>
      <c r="S3531" s="12"/>
      <c r="T3531" s="12"/>
      <c r="U3531" s="12"/>
      <c r="V3531" s="12"/>
      <c r="W3531" s="12"/>
      <c r="X3531" s="12"/>
      <c r="Y3531" s="12"/>
      <c r="Z3531" s="12"/>
      <c r="AA3531" s="12"/>
    </row>
    <row r="3532" ht="26.25" customHeight="1">
      <c r="A3532" s="34" t="s">
        <v>7074</v>
      </c>
      <c r="B3532" s="35" t="s">
        <v>7075</v>
      </c>
      <c r="C3532" s="36">
        <v>4.0</v>
      </c>
      <c r="D3532" s="37">
        <v>110.0</v>
      </c>
      <c r="E3532" s="37">
        <v>1.0</v>
      </c>
      <c r="F3532" s="24" t="str">
        <f t="array" ref="F3532">"https://www.google.com/maps/search/?api=1&amp;query=" &amp; A3532 &amp; "," &amp; B3532</f>
        <v>https://www.google.com/maps/search/?api=1&amp;query=-30.89308012067390,-55.54862049628330</v>
      </c>
      <c r="G3532" s="25" t="str">
        <f t="array" ref="G3532">"https://earth.google.com/web/search/" &amp; A3532 &amp; "," &amp; B3532</f>
        <v>https://earth.google.com/web/search/-30.89308012067390,-55.54862049628330</v>
      </c>
      <c r="H3532" s="12"/>
      <c r="I3532" s="12"/>
      <c r="J3532" s="12"/>
      <c r="K3532" s="12"/>
      <c r="L3532" s="12"/>
      <c r="M3532" s="12"/>
      <c r="N3532" s="12"/>
      <c r="O3532" s="12"/>
      <c r="P3532" s="12"/>
      <c r="Q3532" s="12"/>
      <c r="R3532" s="12"/>
      <c r="S3532" s="12"/>
      <c r="T3532" s="12"/>
      <c r="U3532" s="12"/>
      <c r="V3532" s="12"/>
      <c r="W3532" s="12"/>
      <c r="X3532" s="12"/>
      <c r="Y3532" s="12"/>
      <c r="Z3532" s="12"/>
      <c r="AA3532" s="12"/>
    </row>
    <row r="3533" ht="26.25" customHeight="1">
      <c r="A3533" s="28" t="s">
        <v>7076</v>
      </c>
      <c r="B3533" s="29" t="s">
        <v>7077</v>
      </c>
      <c r="C3533" s="30">
        <v>4.0</v>
      </c>
      <c r="D3533" s="31">
        <v>110.0</v>
      </c>
      <c r="E3533" s="31">
        <v>2.0</v>
      </c>
      <c r="F3533" s="32" t="str">
        <f t="array" ref="F3533">"https://www.google.com/maps/search/?api=1&amp;query=" &amp; A3533 &amp; "," &amp; B3533</f>
        <v>https://www.google.com/maps/search/?api=1&amp;query=-30.89311811140190,-55.54853989159830</v>
      </c>
      <c r="G3533" s="33" t="str">
        <f t="array" ref="G3533">"https://earth.google.com/web/search/" &amp; A3533 &amp; "," &amp; B3533</f>
        <v>https://earth.google.com/web/search/-30.89311811140190,-55.54853989159830</v>
      </c>
      <c r="H3533" s="12"/>
      <c r="I3533" s="12"/>
      <c r="J3533" s="12"/>
      <c r="K3533" s="12"/>
      <c r="L3533" s="12"/>
      <c r="M3533" s="12"/>
      <c r="N3533" s="12"/>
      <c r="O3533" s="12"/>
      <c r="P3533" s="12"/>
      <c r="Q3533" s="12"/>
      <c r="R3533" s="12"/>
      <c r="S3533" s="12"/>
      <c r="T3533" s="12"/>
      <c r="U3533" s="12"/>
      <c r="V3533" s="12"/>
      <c r="W3533" s="12"/>
      <c r="X3533" s="12"/>
      <c r="Y3533" s="12"/>
      <c r="Z3533" s="12"/>
      <c r="AA3533" s="12"/>
    </row>
    <row r="3534" ht="26.25" customHeight="1">
      <c r="A3534" s="34" t="s">
        <v>7078</v>
      </c>
      <c r="B3534" s="35" t="s">
        <v>7079</v>
      </c>
      <c r="C3534" s="36">
        <v>4.0</v>
      </c>
      <c r="D3534" s="37">
        <v>110.0</v>
      </c>
      <c r="E3534" s="37">
        <v>3.0</v>
      </c>
      <c r="F3534" s="24" t="str">
        <f t="array" ref="F3534">"https://www.google.com/maps/search/?api=1&amp;query=" &amp; A3534 &amp; "," &amp; B3534</f>
        <v>https://www.google.com/maps/search/?api=1&amp;query=-30.89332066597710,-55.54815297744170</v>
      </c>
      <c r="G3534" s="25" t="str">
        <f t="array" ref="G3534">"https://earth.google.com/web/search/" &amp; A3534 &amp; "," &amp; B3534</f>
        <v>https://earth.google.com/web/search/-30.89332066597710,-55.54815297744170</v>
      </c>
      <c r="H3534" s="12"/>
      <c r="I3534" s="12"/>
      <c r="J3534" s="12"/>
      <c r="K3534" s="12"/>
      <c r="L3534" s="12"/>
      <c r="M3534" s="12"/>
      <c r="N3534" s="12"/>
      <c r="O3534" s="12"/>
      <c r="P3534" s="12"/>
      <c r="Q3534" s="12"/>
      <c r="R3534" s="12"/>
      <c r="S3534" s="12"/>
      <c r="T3534" s="12"/>
      <c r="U3534" s="12"/>
      <c r="V3534" s="12"/>
      <c r="W3534" s="12"/>
      <c r="X3534" s="12"/>
      <c r="Y3534" s="12"/>
      <c r="Z3534" s="12"/>
      <c r="AA3534" s="12"/>
    </row>
    <row r="3535" ht="26.25" customHeight="1">
      <c r="A3535" s="28" t="s">
        <v>7080</v>
      </c>
      <c r="B3535" s="29" t="s">
        <v>7081</v>
      </c>
      <c r="C3535" s="30">
        <v>4.0</v>
      </c>
      <c r="D3535" s="31">
        <v>110.0</v>
      </c>
      <c r="E3535" s="31">
        <v>4.0</v>
      </c>
      <c r="F3535" s="32" t="str">
        <f t="array" ref="F3535">"https://www.google.com/maps/search/?api=1&amp;query=" &amp; A3535 &amp; "," &amp; B3535</f>
        <v>https://www.google.com/maps/search/?api=1&amp;query=-30.89337400727470,-55.54803385634340</v>
      </c>
      <c r="G3535" s="33" t="str">
        <f t="array" ref="G3535">"https://earth.google.com/web/search/" &amp; A3535 &amp; "," &amp; B3535</f>
        <v>https://earth.google.com/web/search/-30.89337400727470,-55.54803385634340</v>
      </c>
      <c r="H3535" s="12"/>
      <c r="I3535" s="12"/>
      <c r="J3535" s="12"/>
      <c r="K3535" s="12"/>
      <c r="L3535" s="12"/>
      <c r="M3535" s="12"/>
      <c r="N3535" s="12"/>
      <c r="O3535" s="12"/>
      <c r="P3535" s="12"/>
      <c r="Q3535" s="12"/>
      <c r="R3535" s="12"/>
      <c r="S3535" s="12"/>
      <c r="T3535" s="12"/>
      <c r="U3535" s="12"/>
      <c r="V3535" s="12"/>
      <c r="W3535" s="12"/>
      <c r="X3535" s="12"/>
      <c r="Y3535" s="12"/>
      <c r="Z3535" s="12"/>
      <c r="AA3535" s="12"/>
    </row>
    <row r="3536" ht="26.25" customHeight="1">
      <c r="A3536" s="34" t="s">
        <v>7082</v>
      </c>
      <c r="B3536" s="35" t="s">
        <v>7083</v>
      </c>
      <c r="C3536" s="36">
        <v>4.0</v>
      </c>
      <c r="D3536" s="37">
        <v>110.0</v>
      </c>
      <c r="E3536" s="37">
        <v>5.0</v>
      </c>
      <c r="F3536" s="24" t="str">
        <f t="array" ref="F3536">"https://www.google.com/maps/search/?api=1&amp;query=" &amp; A3536 &amp; "," &amp; B3536</f>
        <v>https://www.google.com/maps/search/?api=1&amp;query=-30.89308123389080,-55.54762842252640</v>
      </c>
      <c r="G3536" s="25" t="str">
        <f t="array" ref="G3536">"https://earth.google.com/web/search/" &amp; A3536 &amp; "," &amp; B3536</f>
        <v>https://earth.google.com/web/search/-30.89308123389080,-55.54762842252640</v>
      </c>
      <c r="H3536" s="12"/>
      <c r="I3536" s="12"/>
      <c r="J3536" s="12"/>
      <c r="K3536" s="12"/>
      <c r="L3536" s="12"/>
      <c r="M3536" s="12"/>
      <c r="N3536" s="12"/>
      <c r="O3536" s="12"/>
      <c r="P3536" s="12"/>
      <c r="Q3536" s="12"/>
      <c r="R3536" s="12"/>
      <c r="S3536" s="12"/>
      <c r="T3536" s="12"/>
      <c r="U3536" s="12"/>
      <c r="V3536" s="12"/>
      <c r="W3536" s="12"/>
      <c r="X3536" s="12"/>
      <c r="Y3536" s="12"/>
      <c r="Z3536" s="12"/>
      <c r="AA3536" s="12"/>
    </row>
    <row r="3537" ht="26.25" customHeight="1">
      <c r="A3537" s="28" t="s">
        <v>7084</v>
      </c>
      <c r="B3537" s="29" t="s">
        <v>7085</v>
      </c>
      <c r="C3537" s="30">
        <v>4.0</v>
      </c>
      <c r="D3537" s="31">
        <v>110.0</v>
      </c>
      <c r="E3537" s="31">
        <v>6.0</v>
      </c>
      <c r="F3537" s="32" t="str">
        <f t="array" ref="F3537">"https://www.google.com/maps/search/?api=1&amp;query=" &amp; A3537 &amp; "," &amp; B3537</f>
        <v>https://www.google.com/maps/search/?api=1&amp;query=-30.89295691237040,-55.54752992440450</v>
      </c>
      <c r="G3537" s="33" t="str">
        <f t="array" ref="G3537">"https://earth.google.com/web/search/" &amp; A3537 &amp; "," &amp; B3537</f>
        <v>https://earth.google.com/web/search/-30.89295691237040,-55.54752992440450</v>
      </c>
      <c r="H3537" s="12"/>
      <c r="I3537" s="12"/>
      <c r="J3537" s="12"/>
      <c r="K3537" s="12"/>
      <c r="L3537" s="12"/>
      <c r="M3537" s="12"/>
      <c r="N3537" s="12"/>
      <c r="O3537" s="12"/>
      <c r="P3537" s="12"/>
      <c r="Q3537" s="12"/>
      <c r="R3537" s="12"/>
      <c r="S3537" s="12"/>
      <c r="T3537" s="12"/>
      <c r="U3537" s="12"/>
      <c r="V3537" s="12"/>
      <c r="W3537" s="12"/>
      <c r="X3537" s="12"/>
      <c r="Y3537" s="12"/>
      <c r="Z3537" s="12"/>
      <c r="AA3537" s="12"/>
    </row>
    <row r="3538" ht="26.25" customHeight="1">
      <c r="A3538" s="34" t="s">
        <v>7086</v>
      </c>
      <c r="B3538" s="35" t="s">
        <v>7087</v>
      </c>
      <c r="C3538" s="36">
        <v>4.0</v>
      </c>
      <c r="D3538" s="37">
        <v>110.0</v>
      </c>
      <c r="E3538" s="37">
        <v>7.0</v>
      </c>
      <c r="F3538" s="24" t="str">
        <f t="array" ref="F3538">"https://www.google.com/maps/search/?api=1&amp;query=" &amp; A3538 &amp; "," &amp; B3538</f>
        <v>https://www.google.com/maps/search/?api=1&amp;query=-30.89286877464110,-5.55474526291136</v>
      </c>
      <c r="G3538" s="25" t="str">
        <f t="array" ref="G3538">"https://earth.google.com/web/search/" &amp; A3538 &amp; "," &amp; B3538</f>
        <v>https://earth.google.com/web/search/-30.89286877464110,-5.55474526291136</v>
      </c>
      <c r="H3538" s="12"/>
      <c r="I3538" s="12"/>
      <c r="J3538" s="12"/>
      <c r="K3538" s="12"/>
      <c r="L3538" s="12"/>
      <c r="M3538" s="12"/>
      <c r="N3538" s="12"/>
      <c r="O3538" s="12"/>
      <c r="P3538" s="12"/>
      <c r="Q3538" s="12"/>
      <c r="R3538" s="12"/>
      <c r="S3538" s="12"/>
      <c r="T3538" s="12"/>
      <c r="U3538" s="12"/>
      <c r="V3538" s="12"/>
      <c r="W3538" s="12"/>
      <c r="X3538" s="12"/>
      <c r="Y3538" s="12"/>
      <c r="Z3538" s="12"/>
      <c r="AA3538" s="12"/>
    </row>
    <row r="3539" ht="26.25" customHeight="1">
      <c r="A3539" s="28" t="s">
        <v>7088</v>
      </c>
      <c r="B3539" s="29" t="s">
        <v>7089</v>
      </c>
      <c r="C3539" s="30">
        <v>4.0</v>
      </c>
      <c r="D3539" s="31">
        <v>110.0</v>
      </c>
      <c r="E3539" s="31">
        <v>8.0</v>
      </c>
      <c r="F3539" s="32" t="str">
        <f t="array" ref="F3539">"https://www.google.com/maps/search/?api=1&amp;query=" &amp; A3539 &amp; "," &amp; B3539</f>
        <v>https://www.google.com/maps/search/?api=1&amp;query=-30.89244527438080,-55.54800946642650</v>
      </c>
      <c r="G3539" s="33" t="str">
        <f t="array" ref="G3539">"https://earth.google.com/web/search/" &amp; A3539 &amp; "," &amp; B3539</f>
        <v>https://earth.google.com/web/search/-30.89244527438080,-55.54800946642650</v>
      </c>
      <c r="H3539" s="12"/>
      <c r="I3539" s="12"/>
      <c r="J3539" s="12"/>
      <c r="K3539" s="12"/>
      <c r="L3539" s="12"/>
      <c r="M3539" s="12"/>
      <c r="N3539" s="12"/>
      <c r="O3539" s="12"/>
      <c r="P3539" s="12"/>
      <c r="Q3539" s="12"/>
      <c r="R3539" s="12"/>
      <c r="S3539" s="12"/>
      <c r="T3539" s="12"/>
      <c r="U3539" s="12"/>
      <c r="V3539" s="12"/>
      <c r="W3539" s="12"/>
      <c r="X3539" s="12"/>
      <c r="Y3539" s="12"/>
      <c r="Z3539" s="12"/>
      <c r="AA3539" s="12"/>
    </row>
    <row r="3540" ht="26.25" customHeight="1">
      <c r="A3540" s="34" t="s">
        <v>7090</v>
      </c>
      <c r="B3540" s="35" t="s">
        <v>7091</v>
      </c>
      <c r="C3540" s="36">
        <v>4.0</v>
      </c>
      <c r="D3540" s="37">
        <v>110.0</v>
      </c>
      <c r="E3540" s="37">
        <v>9.0</v>
      </c>
      <c r="F3540" s="24" t="str">
        <f t="array" ref="F3540">"https://www.google.com/maps/search/?api=1&amp;query=" &amp; A3540 &amp; "," &amp; B3540</f>
        <v>https://www.google.com/maps/search/?api=1&amp;query=-30.89236333422040,-55.54821733073190</v>
      </c>
      <c r="G3540" s="25" t="str">
        <f t="array" ref="G3540">"https://earth.google.com/web/search/" &amp; A3540 &amp; "," &amp; B3540</f>
        <v>https://earth.google.com/web/search/-30.89236333422040,-55.54821733073190</v>
      </c>
      <c r="H3540" s="12"/>
      <c r="I3540" s="12"/>
      <c r="J3540" s="12"/>
      <c r="K3540" s="12"/>
      <c r="L3540" s="12"/>
      <c r="M3540" s="12"/>
      <c r="N3540" s="12"/>
      <c r="O3540" s="12"/>
      <c r="P3540" s="12"/>
      <c r="Q3540" s="12"/>
      <c r="R3540" s="12"/>
      <c r="S3540" s="12"/>
      <c r="T3540" s="12"/>
      <c r="U3540" s="12"/>
      <c r="V3540" s="12"/>
      <c r="W3540" s="12"/>
      <c r="X3540" s="12"/>
      <c r="Y3540" s="12"/>
      <c r="Z3540" s="12"/>
      <c r="AA3540" s="12"/>
    </row>
    <row r="3541" ht="26.25" customHeight="1">
      <c r="A3541" s="28" t="s">
        <v>7092</v>
      </c>
      <c r="B3541" s="29" t="s">
        <v>7093</v>
      </c>
      <c r="C3541" s="30">
        <v>4.0</v>
      </c>
      <c r="D3541" s="31">
        <v>110.0</v>
      </c>
      <c r="E3541" s="31">
        <v>10.0</v>
      </c>
      <c r="F3541" s="32" t="str">
        <f t="array" ref="F3541">"https://www.google.com/maps/search/?api=1&amp;query=" &amp; A3541 &amp; "," &amp; B3541</f>
        <v>https://www.google.com/maps/search/?api=1&amp;query=-30.89244526172800,-55.54828726312090</v>
      </c>
      <c r="G3541" s="33" t="str">
        <f t="array" ref="G3541">"https://earth.google.com/web/search/" &amp; A3541 &amp; "," &amp; B3541</f>
        <v>https://earth.google.com/web/search/-30.89244526172800,-55.54828726312090</v>
      </c>
      <c r="H3541" s="12"/>
      <c r="I3541" s="12"/>
      <c r="J3541" s="12"/>
      <c r="K3541" s="12"/>
      <c r="L3541" s="12"/>
      <c r="M3541" s="12"/>
      <c r="N3541" s="12"/>
      <c r="O3541" s="12"/>
      <c r="P3541" s="12"/>
      <c r="Q3541" s="12"/>
      <c r="R3541" s="12"/>
      <c r="S3541" s="12"/>
      <c r="T3541" s="12"/>
      <c r="U3541" s="12"/>
      <c r="V3541" s="12"/>
      <c r="W3541" s="12"/>
      <c r="X3541" s="12"/>
      <c r="Y3541" s="12"/>
      <c r="Z3541" s="12"/>
      <c r="AA3541" s="12"/>
    </row>
    <row r="3542" ht="26.25" customHeight="1">
      <c r="A3542" s="34" t="s">
        <v>7094</v>
      </c>
      <c r="B3542" s="35" t="s">
        <v>7095</v>
      </c>
      <c r="C3542" s="36">
        <v>4.0</v>
      </c>
      <c r="D3542" s="37">
        <v>110.0</v>
      </c>
      <c r="E3542" s="37">
        <v>11.0</v>
      </c>
      <c r="F3542" s="24" t="str">
        <f t="array" ref="F3542">"https://www.google.com/maps/search/?api=1&amp;query=" &amp; A3542 &amp; "," &amp; B3542</f>
        <v>https://www.google.com/maps/search/?api=1&amp;query=-30.89276856059920,-55.54853228645880</v>
      </c>
      <c r="G3542" s="25" t="str">
        <f t="array" ref="G3542">"https://earth.google.com/web/search/" &amp; A3542 &amp; "," &amp; B3542</f>
        <v>https://earth.google.com/web/search/-30.89276856059920,-55.54853228645880</v>
      </c>
      <c r="H3542" s="12"/>
      <c r="I3542" s="12"/>
      <c r="J3542" s="12"/>
      <c r="K3542" s="12"/>
      <c r="L3542" s="12"/>
      <c r="M3542" s="12"/>
      <c r="N3542" s="12"/>
      <c r="O3542" s="12"/>
      <c r="P3542" s="12"/>
      <c r="Q3542" s="12"/>
      <c r="R3542" s="12"/>
      <c r="S3542" s="12"/>
      <c r="T3542" s="12"/>
      <c r="U3542" s="12"/>
      <c r="V3542" s="12"/>
      <c r="W3542" s="12"/>
      <c r="X3542" s="12"/>
      <c r="Y3542" s="12"/>
      <c r="Z3542" s="12"/>
      <c r="AA3542" s="12"/>
    </row>
    <row r="3543" ht="26.25" customHeight="1">
      <c r="A3543" s="28" t="s">
        <v>7096</v>
      </c>
      <c r="B3543" s="29" t="s">
        <v>7097</v>
      </c>
      <c r="C3543" s="30">
        <v>4.0</v>
      </c>
      <c r="D3543" s="31">
        <v>110.0</v>
      </c>
      <c r="E3543" s="31">
        <v>12.0</v>
      </c>
      <c r="F3543" s="32" t="str">
        <f t="array" ref="F3543">"https://www.google.com/maps/search/?api=1&amp;query=" &amp; A3543 &amp; "," &amp; B3543</f>
        <v>https://www.google.com/maps/search/?api=1&amp;query=-3.08929056938658,-55.54861007358410</v>
      </c>
      <c r="G3543" s="33" t="str">
        <f t="array" ref="G3543">"https://earth.google.com/web/search/" &amp; A3543 &amp; "," &amp; B3543</f>
        <v>https://earth.google.com/web/search/-3.08929056938658,-55.54861007358410</v>
      </c>
      <c r="H3543" s="12"/>
      <c r="I3543" s="12"/>
      <c r="J3543" s="12"/>
      <c r="K3543" s="12"/>
      <c r="L3543" s="12"/>
      <c r="M3543" s="12"/>
      <c r="N3543" s="12"/>
      <c r="O3543" s="12"/>
      <c r="P3543" s="12"/>
      <c r="Q3543" s="12"/>
      <c r="R3543" s="12"/>
      <c r="S3543" s="12"/>
      <c r="T3543" s="12"/>
      <c r="U3543" s="12"/>
      <c r="V3543" s="12"/>
      <c r="W3543" s="12"/>
      <c r="X3543" s="12"/>
      <c r="Y3543" s="12"/>
      <c r="Z3543" s="12"/>
      <c r="AA3543" s="12"/>
    </row>
    <row r="3544" ht="26.25" customHeight="1">
      <c r="A3544" s="34" t="s">
        <v>7098</v>
      </c>
      <c r="B3544" s="35" t="s">
        <v>7099</v>
      </c>
      <c r="C3544" s="36">
        <v>4.0</v>
      </c>
      <c r="D3544" s="37">
        <v>110.0</v>
      </c>
      <c r="E3544" s="37">
        <v>13.0</v>
      </c>
      <c r="F3544" s="24" t="str">
        <f t="array" ref="F3544">"https://www.google.com/maps/search/?api=1&amp;query=" &amp; A3544 &amp; "," &amp; B3544</f>
        <v>https://www.google.com/maps/search/?api=1&amp;query=-30.89297837882670,-55.54868080383380</v>
      </c>
      <c r="G3544" s="25" t="str">
        <f t="array" ref="G3544">"https://earth.google.com/web/search/" &amp; A3544 &amp; "," &amp; B3544</f>
        <v>https://earth.google.com/web/search/-30.89297837882670,-55.54868080383380</v>
      </c>
      <c r="H3544" s="12"/>
      <c r="I3544" s="12"/>
      <c r="J3544" s="12"/>
      <c r="K3544" s="12"/>
      <c r="L3544" s="12"/>
      <c r="M3544" s="12"/>
      <c r="N3544" s="12"/>
      <c r="O3544" s="12"/>
      <c r="P3544" s="12"/>
      <c r="Q3544" s="12"/>
      <c r="R3544" s="12"/>
      <c r="S3544" s="12"/>
      <c r="T3544" s="12"/>
      <c r="U3544" s="12"/>
      <c r="V3544" s="12"/>
      <c r="W3544" s="12"/>
      <c r="X3544" s="12"/>
      <c r="Y3544" s="12"/>
      <c r="Z3544" s="12"/>
      <c r="AA3544" s="12"/>
    </row>
    <row r="3545" ht="26.25" customHeight="1">
      <c r="A3545" s="28" t="s">
        <v>7100</v>
      </c>
      <c r="B3545" s="29" t="s">
        <v>7101</v>
      </c>
      <c r="C3545" s="30">
        <v>4.0</v>
      </c>
      <c r="D3545" s="31">
        <v>143.0</v>
      </c>
      <c r="E3545" s="31">
        <v>1.0</v>
      </c>
      <c r="F3545" s="32" t="str">
        <f t="array" ref="F3545">"https://www.google.com/maps/search/?api=1&amp;query=" &amp; A3545 &amp; "," &amp; B3545</f>
        <v>https://www.google.com/maps/search/?api=1&amp;query=-30.89391781092440,-55.54903771938290</v>
      </c>
      <c r="G3545" s="33" t="str">
        <f t="array" ref="G3545">"https://earth.google.com/web/search/" &amp; A3545 &amp; "," &amp; B3545</f>
        <v>https://earth.google.com/web/search/-30.89391781092440,-55.54903771938290</v>
      </c>
      <c r="H3545" s="12"/>
      <c r="I3545" s="12"/>
      <c r="J3545" s="12"/>
      <c r="K3545" s="12"/>
      <c r="L3545" s="12"/>
      <c r="M3545" s="12"/>
      <c r="N3545" s="12"/>
      <c r="O3545" s="12"/>
      <c r="P3545" s="12"/>
      <c r="Q3545" s="12"/>
      <c r="R3545" s="12"/>
      <c r="S3545" s="12"/>
      <c r="T3545" s="12"/>
      <c r="U3545" s="12"/>
      <c r="V3545" s="12"/>
      <c r="W3545" s="12"/>
      <c r="X3545" s="12"/>
      <c r="Y3545" s="12"/>
      <c r="Z3545" s="12"/>
      <c r="AA3545" s="12"/>
    </row>
    <row r="3546" ht="26.25" customHeight="1">
      <c r="A3546" s="34" t="s">
        <v>7102</v>
      </c>
      <c r="B3546" s="35" t="s">
        <v>7103</v>
      </c>
      <c r="C3546" s="36">
        <v>4.0</v>
      </c>
      <c r="D3546" s="37">
        <v>143.0</v>
      </c>
      <c r="E3546" s="37">
        <v>2.0</v>
      </c>
      <c r="F3546" s="24" t="str">
        <f t="array" ref="F3546">"https://www.google.com/maps/search/?api=1&amp;query=" &amp; A3546 &amp; "," &amp; B3546</f>
        <v>https://www.google.com/maps/search/?api=1&amp;query=-3.08940030669972,-55.54884993171870</v>
      </c>
      <c r="G3546" s="25" t="str">
        <f t="array" ref="G3546">"https://earth.google.com/web/search/" &amp; A3546 &amp; "," &amp; B3546</f>
        <v>https://earth.google.com/web/search/-3.08940030669972,-55.54884993171870</v>
      </c>
      <c r="H3546" s="12"/>
      <c r="I3546" s="12"/>
      <c r="J3546" s="12"/>
      <c r="K3546" s="12"/>
      <c r="L3546" s="12"/>
      <c r="M3546" s="12"/>
      <c r="N3546" s="12"/>
      <c r="O3546" s="12"/>
      <c r="P3546" s="12"/>
      <c r="Q3546" s="12"/>
      <c r="R3546" s="12"/>
      <c r="S3546" s="12"/>
      <c r="T3546" s="12"/>
      <c r="U3546" s="12"/>
      <c r="V3546" s="12"/>
      <c r="W3546" s="12"/>
      <c r="X3546" s="12"/>
      <c r="Y3546" s="12"/>
      <c r="Z3546" s="12"/>
      <c r="AA3546" s="12"/>
    </row>
    <row r="3547" ht="26.25" customHeight="1">
      <c r="A3547" s="28" t="s">
        <v>7104</v>
      </c>
      <c r="B3547" s="29" t="s">
        <v>7105</v>
      </c>
      <c r="C3547" s="30">
        <v>4.0</v>
      </c>
      <c r="D3547" s="31">
        <v>143.0</v>
      </c>
      <c r="E3547" s="31">
        <v>5.0</v>
      </c>
      <c r="F3547" s="32" t="str">
        <f t="array" ref="F3547">"https://www.google.com/maps/search/?api=1&amp;query=" &amp; A3547 &amp; "," &amp; B3547</f>
        <v>https://www.google.com/maps/search/?api=1&amp;query=-30.89350107151560,-55.54802180358000</v>
      </c>
      <c r="G3547" s="33" t="str">
        <f t="array" ref="G3547">"https://earth.google.com/web/search/" &amp; A3547 &amp; "," &amp; B3547</f>
        <v>https://earth.google.com/web/search/-30.89350107151560,-55.54802180358000</v>
      </c>
      <c r="H3547" s="12"/>
      <c r="I3547" s="12"/>
      <c r="J3547" s="12"/>
      <c r="K3547" s="12"/>
      <c r="L3547" s="12"/>
      <c r="M3547" s="12"/>
      <c r="N3547" s="12"/>
      <c r="O3547" s="12"/>
      <c r="P3547" s="12"/>
      <c r="Q3547" s="12"/>
      <c r="R3547" s="12"/>
      <c r="S3547" s="12"/>
      <c r="T3547" s="12"/>
      <c r="U3547" s="12"/>
      <c r="V3547" s="12"/>
      <c r="W3547" s="12"/>
      <c r="X3547" s="12"/>
      <c r="Y3547" s="12"/>
      <c r="Z3547" s="12"/>
      <c r="AA3547" s="12"/>
    </row>
    <row r="3548" ht="26.25" customHeight="1">
      <c r="A3548" s="34" t="s">
        <v>7106</v>
      </c>
      <c r="B3548" s="35" t="s">
        <v>7107</v>
      </c>
      <c r="C3548" s="36">
        <v>4.0</v>
      </c>
      <c r="D3548" s="37">
        <v>144.0</v>
      </c>
      <c r="E3548" s="37">
        <v>1.0</v>
      </c>
      <c r="F3548" s="24" t="str">
        <f t="array" ref="F3548">"https://www.google.com/maps/search/?api=1&amp;query=" &amp; A3548 &amp; "," &amp; B3548</f>
        <v>https://www.google.com/maps/search/?api=1&amp;query=-30.89334846022080,-55.55014226773380</v>
      </c>
      <c r="G3548" s="25" t="str">
        <f t="array" ref="G3548">"https://earth.google.com/web/search/" &amp; A3548 &amp; "," &amp; B3548</f>
        <v>https://earth.google.com/web/search/-30.89334846022080,-55.55014226773380</v>
      </c>
      <c r="H3548" s="12"/>
      <c r="I3548" s="12"/>
      <c r="J3548" s="12"/>
      <c r="K3548" s="12"/>
      <c r="L3548" s="12"/>
      <c r="M3548" s="12"/>
      <c r="N3548" s="12"/>
      <c r="O3548" s="12"/>
      <c r="P3548" s="12"/>
      <c r="Q3548" s="12"/>
      <c r="R3548" s="12"/>
      <c r="S3548" s="12"/>
      <c r="T3548" s="12"/>
      <c r="U3548" s="12"/>
      <c r="V3548" s="12"/>
      <c r="W3548" s="12"/>
      <c r="X3548" s="12"/>
      <c r="Y3548" s="12"/>
      <c r="Z3548" s="12"/>
      <c r="AA3548" s="12"/>
    </row>
    <row r="3549" ht="26.25" customHeight="1">
      <c r="A3549" s="28" t="s">
        <v>7108</v>
      </c>
      <c r="B3549" s="29" t="s">
        <v>7109</v>
      </c>
      <c r="C3549" s="30">
        <v>4.0</v>
      </c>
      <c r="D3549" s="31">
        <v>144.0</v>
      </c>
      <c r="E3549" s="31">
        <v>2.0</v>
      </c>
      <c r="F3549" s="32" t="str">
        <f t="array" ref="F3549">"https://www.google.com/maps/search/?api=1&amp;query=" &amp; A3549 &amp; "," &amp; B3549</f>
        <v>https://www.google.com/maps/search/?api=1&amp;query=-30.89352679185560,-55.54977238580000</v>
      </c>
      <c r="G3549" s="33" t="str">
        <f t="array" ref="G3549">"https://earth.google.com/web/search/" &amp; A3549 &amp; "," &amp; B3549</f>
        <v>https://earth.google.com/web/search/-30.89352679185560,-55.54977238580000</v>
      </c>
      <c r="H3549" s="12"/>
      <c r="I3549" s="12"/>
      <c r="J3549" s="12"/>
      <c r="K3549" s="12"/>
      <c r="L3549" s="12"/>
      <c r="M3549" s="12"/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/>
      <c r="AA3549" s="12"/>
    </row>
    <row r="3550" ht="26.25" customHeight="1">
      <c r="A3550" s="34" t="s">
        <v>7110</v>
      </c>
      <c r="B3550" s="35" t="s">
        <v>7111</v>
      </c>
      <c r="C3550" s="36">
        <v>4.0</v>
      </c>
      <c r="D3550" s="37">
        <v>144.0</v>
      </c>
      <c r="E3550" s="37">
        <v>3.0</v>
      </c>
      <c r="F3550" s="24" t="str">
        <f t="array" ref="F3550">"https://www.google.com/maps/search/?api=1&amp;query=" &amp; A3550 &amp; "," &amp; B3550</f>
        <v>https://www.google.com/maps/search/?api=1&amp;query=-30.89358802401590,-5.55496774943567</v>
      </c>
      <c r="G3550" s="25" t="str">
        <f t="array" ref="G3550">"https://earth.google.com/web/search/" &amp; A3550 &amp; "," &amp; B3550</f>
        <v>https://earth.google.com/web/search/-30.89358802401590,-5.55496774943567</v>
      </c>
      <c r="H3550" s="12"/>
      <c r="I3550" s="12"/>
      <c r="J3550" s="12"/>
      <c r="K3550" s="12"/>
      <c r="L3550" s="12"/>
      <c r="M3550" s="12"/>
      <c r="N3550" s="12"/>
      <c r="O3550" s="12"/>
      <c r="P3550" s="12"/>
      <c r="Q3550" s="12"/>
      <c r="R3550" s="12"/>
      <c r="S3550" s="12"/>
      <c r="T3550" s="12"/>
      <c r="U3550" s="12"/>
      <c r="V3550" s="12"/>
      <c r="W3550" s="12"/>
      <c r="X3550" s="12"/>
      <c r="Y3550" s="12"/>
      <c r="Z3550" s="12"/>
      <c r="AA3550" s="12"/>
    </row>
    <row r="3551" ht="26.25" customHeight="1">
      <c r="A3551" s="28" t="s">
        <v>7112</v>
      </c>
      <c r="B3551" s="29" t="s">
        <v>7113</v>
      </c>
      <c r="C3551" s="30">
        <v>4.0</v>
      </c>
      <c r="D3551" s="31">
        <v>144.0</v>
      </c>
      <c r="E3551" s="31">
        <v>4.0</v>
      </c>
      <c r="F3551" s="32" t="str">
        <f t="array" ref="F3551">"https://www.google.com/maps/search/?api=1&amp;query=" &amp; A3551 &amp; "," &amp; B3551</f>
        <v>https://www.google.com/maps/search/?api=1&amp;query=-3.08937122633578,-55.54942754545250</v>
      </c>
      <c r="G3551" s="33" t="str">
        <f t="array" ref="G3551">"https://earth.google.com/web/search/" &amp; A3551 &amp; "," &amp; B3551</f>
        <v>https://earth.google.com/web/search/-3.08937122633578,-55.54942754545250</v>
      </c>
      <c r="H3551" s="12"/>
      <c r="I3551" s="12"/>
      <c r="J3551" s="12"/>
      <c r="K3551" s="12"/>
      <c r="L3551" s="12"/>
      <c r="M3551" s="12"/>
      <c r="N3551" s="12"/>
      <c r="O3551" s="12"/>
      <c r="P3551" s="12"/>
      <c r="Q3551" s="12"/>
      <c r="R3551" s="12"/>
      <c r="S3551" s="12"/>
      <c r="T3551" s="12"/>
      <c r="U3551" s="12"/>
      <c r="V3551" s="12"/>
      <c r="W3551" s="12"/>
      <c r="X3551" s="12"/>
      <c r="Y3551" s="12"/>
      <c r="Z3551" s="12"/>
      <c r="AA3551" s="12"/>
    </row>
    <row r="3552" ht="26.25" customHeight="1">
      <c r="A3552" s="34" t="s">
        <v>7114</v>
      </c>
      <c r="B3552" s="35" t="s">
        <v>7115</v>
      </c>
      <c r="C3552" s="36">
        <v>4.0</v>
      </c>
      <c r="D3552" s="37">
        <v>144.0</v>
      </c>
      <c r="E3552" s="37">
        <v>5.0</v>
      </c>
      <c r="F3552" s="24" t="str">
        <f t="array" ref="F3552">"https://www.google.com/maps/search/?api=1&amp;query=" &amp; A3552 &amp; "," &amp; B3552</f>
        <v>https://www.google.com/maps/search/?api=1&amp;query=-30.89368709731680,-0.55549300545205</v>
      </c>
      <c r="G3552" s="25" t="str">
        <f t="array" ref="G3552">"https://earth.google.com/web/search/" &amp; A3552 &amp; "," &amp; B3552</f>
        <v>https://earth.google.com/web/search/-30.89368709731680,-0.55549300545205</v>
      </c>
      <c r="H3552" s="12"/>
      <c r="I3552" s="12"/>
      <c r="J3552" s="12"/>
      <c r="K3552" s="12"/>
      <c r="L3552" s="12"/>
      <c r="M3552" s="12"/>
      <c r="N3552" s="12"/>
      <c r="O3552" s="12"/>
      <c r="P3552" s="12"/>
      <c r="Q3552" s="12"/>
      <c r="R3552" s="12"/>
      <c r="S3552" s="12"/>
      <c r="T3552" s="12"/>
      <c r="U3552" s="12"/>
      <c r="V3552" s="12"/>
      <c r="W3552" s="12"/>
      <c r="X3552" s="12"/>
      <c r="Y3552" s="12"/>
      <c r="Z3552" s="12"/>
      <c r="AA3552" s="12"/>
    </row>
    <row r="3553" ht="26.25" customHeight="1">
      <c r="A3553" s="28" t="s">
        <v>7116</v>
      </c>
      <c r="B3553" s="29" t="s">
        <v>7117</v>
      </c>
      <c r="C3553" s="30">
        <v>4.0</v>
      </c>
      <c r="D3553" s="31">
        <v>144.0</v>
      </c>
      <c r="E3553" s="31">
        <v>6.0</v>
      </c>
      <c r="F3553" s="32" t="str">
        <f t="array" ref="F3553">"https://www.google.com/maps/search/?api=1&amp;query=" &amp; A3553 &amp; "," &amp; B3553</f>
        <v>https://www.google.com/maps/search/?api=1&amp;query=-30.89303407891940,-55.54888498974230</v>
      </c>
      <c r="G3553" s="33" t="str">
        <f t="array" ref="G3553">"https://earth.google.com/web/search/" &amp; A3553 &amp; "," &amp; B3553</f>
        <v>https://earth.google.com/web/search/-30.89303407891940,-55.54888498974230</v>
      </c>
      <c r="H3553" s="12"/>
      <c r="I3553" s="12"/>
      <c r="J3553" s="12"/>
      <c r="K3553" s="12"/>
      <c r="L3553" s="12"/>
      <c r="M3553" s="12"/>
      <c r="N3553" s="12"/>
      <c r="O3553" s="12"/>
      <c r="P3553" s="12"/>
      <c r="Q3553" s="12"/>
      <c r="R3553" s="12"/>
      <c r="S3553" s="12"/>
      <c r="T3553" s="12"/>
      <c r="U3553" s="12"/>
      <c r="V3553" s="12"/>
      <c r="W3553" s="12"/>
      <c r="X3553" s="12"/>
      <c r="Y3553" s="12"/>
      <c r="Z3553" s="12"/>
      <c r="AA3553" s="12"/>
    </row>
    <row r="3554" ht="26.25" customHeight="1">
      <c r="A3554" s="34" t="s">
        <v>7118</v>
      </c>
      <c r="B3554" s="35" t="s">
        <v>7119</v>
      </c>
      <c r="C3554" s="36">
        <v>4.0</v>
      </c>
      <c r="D3554" s="37">
        <v>144.0</v>
      </c>
      <c r="E3554" s="37">
        <v>7.0</v>
      </c>
      <c r="F3554" s="24" t="str">
        <f t="array" ref="F3554">"https://www.google.com/maps/search/?api=1&amp;query=" &amp; A3554 &amp; "," &amp; B3554</f>
        <v>https://www.google.com/maps/search/?api=1&amp;query=-30.89282552168400,-5.55492975002249</v>
      </c>
      <c r="G3554" s="25" t="str">
        <f t="array" ref="G3554">"https://earth.google.com/web/search/" &amp; A3554 &amp; "," &amp; B3554</f>
        <v>https://earth.google.com/web/search/-30.89282552168400,-5.55492975002249</v>
      </c>
      <c r="H3554" s="12"/>
      <c r="I3554" s="12"/>
      <c r="J3554" s="12"/>
      <c r="K3554" s="12"/>
      <c r="L3554" s="12"/>
      <c r="M3554" s="12"/>
      <c r="N3554" s="12"/>
      <c r="O3554" s="12"/>
      <c r="P3554" s="12"/>
      <c r="Q3554" s="12"/>
      <c r="R3554" s="12"/>
      <c r="S3554" s="12"/>
      <c r="T3554" s="12"/>
      <c r="U3554" s="12"/>
      <c r="V3554" s="12"/>
      <c r="W3554" s="12"/>
      <c r="X3554" s="12"/>
      <c r="Y3554" s="12"/>
      <c r="Z3554" s="12"/>
      <c r="AA3554" s="12"/>
    </row>
    <row r="3555" ht="26.25" customHeight="1">
      <c r="A3555" s="28" t="s">
        <v>7120</v>
      </c>
      <c r="B3555" s="29" t="s">
        <v>7121</v>
      </c>
      <c r="C3555" s="30">
        <v>4.0</v>
      </c>
      <c r="D3555" s="31">
        <v>144.0</v>
      </c>
      <c r="E3555" s="31">
        <v>8.0</v>
      </c>
      <c r="F3555" s="32" t="str">
        <f t="array" ref="F3555">"https://www.google.com/maps/search/?api=1&amp;query=" &amp; A3555 &amp; "," &amp; B3555</f>
        <v>https://www.google.com/maps/search/?api=1&amp;query=-30.89278135239330,-55.54939823135410</v>
      </c>
      <c r="G3555" s="33" t="str">
        <f t="array" ref="G3555">"https://earth.google.com/web/search/" &amp; A3555 &amp; "," &amp; B3555</f>
        <v>https://earth.google.com/web/search/-30.89278135239330,-55.54939823135410</v>
      </c>
      <c r="H3555" s="12"/>
      <c r="I3555" s="12"/>
      <c r="J3555" s="12"/>
      <c r="K3555" s="12"/>
      <c r="L3555" s="12"/>
      <c r="M3555" s="12"/>
      <c r="N3555" s="12"/>
      <c r="O3555" s="12"/>
      <c r="P3555" s="12"/>
      <c r="Q3555" s="12"/>
      <c r="R3555" s="12"/>
      <c r="S3555" s="12"/>
      <c r="T3555" s="12"/>
      <c r="U3555" s="12"/>
      <c r="V3555" s="12"/>
      <c r="W3555" s="12"/>
      <c r="X3555" s="12"/>
      <c r="Y3555" s="12"/>
      <c r="Z3555" s="12"/>
      <c r="AA3555" s="12"/>
    </row>
    <row r="3556" ht="26.25" customHeight="1">
      <c r="A3556" s="34" t="s">
        <v>7122</v>
      </c>
      <c r="B3556" s="35" t="s">
        <v>7123</v>
      </c>
      <c r="C3556" s="36">
        <v>4.0</v>
      </c>
      <c r="D3556" s="37">
        <v>144.0</v>
      </c>
      <c r="E3556" s="37">
        <v>9.0</v>
      </c>
      <c r="F3556" s="24" t="str">
        <f t="array" ref="F3556">"https://www.google.com/maps/search/?api=1&amp;query=" &amp; A3556 &amp; "," &amp; B3556</f>
        <v>https://www.google.com/maps/search/?api=1&amp;query=-30.89269085927520,-55.54957034083720</v>
      </c>
      <c r="G3556" s="25" t="str">
        <f t="array" ref="G3556">"https://earth.google.com/web/search/" &amp; A3556 &amp; "," &amp; B3556</f>
        <v>https://earth.google.com/web/search/-30.89269085927520,-55.54957034083720</v>
      </c>
      <c r="H3556" s="12"/>
      <c r="I3556" s="12"/>
      <c r="J3556" s="12"/>
      <c r="K3556" s="12"/>
      <c r="L3556" s="12"/>
      <c r="M3556" s="12"/>
      <c r="N3556" s="12"/>
      <c r="O3556" s="12"/>
      <c r="P3556" s="12"/>
      <c r="Q3556" s="12"/>
      <c r="R3556" s="12"/>
      <c r="S3556" s="12"/>
      <c r="T3556" s="12"/>
      <c r="U3556" s="12"/>
      <c r="V3556" s="12"/>
      <c r="W3556" s="12"/>
      <c r="X3556" s="12"/>
      <c r="Y3556" s="12"/>
      <c r="Z3556" s="12"/>
      <c r="AA3556" s="12"/>
    </row>
    <row r="3557" ht="26.25" customHeight="1">
      <c r="A3557" s="28" t="s">
        <v>7124</v>
      </c>
      <c r="B3557" s="29" t="s">
        <v>7125</v>
      </c>
      <c r="C3557" s="30">
        <v>4.0</v>
      </c>
      <c r="D3557" s="31">
        <v>144.0</v>
      </c>
      <c r="E3557" s="31">
        <v>10.0</v>
      </c>
      <c r="F3557" s="32" t="str">
        <f t="array" ref="F3557">"https://www.google.com/maps/search/?api=1&amp;query=" &amp; A3557 &amp; "," &amp; B3557</f>
        <v>https://www.google.com/maps/search/?api=1&amp;query=-30.89271648410260,-55.54970924002680</v>
      </c>
      <c r="G3557" s="33" t="str">
        <f t="array" ref="G3557">"https://earth.google.com/web/search/" &amp; A3557 &amp; "," &amp; B3557</f>
        <v>https://earth.google.com/web/search/-30.89271648410260,-55.54970924002680</v>
      </c>
      <c r="H3557" s="12"/>
      <c r="I3557" s="12"/>
      <c r="J3557" s="12"/>
      <c r="K3557" s="12"/>
      <c r="L3557" s="12"/>
      <c r="M3557" s="12"/>
      <c r="N3557" s="12"/>
      <c r="O3557" s="12"/>
      <c r="P3557" s="12"/>
      <c r="Q3557" s="12"/>
      <c r="R3557" s="12"/>
      <c r="S3557" s="12"/>
      <c r="T3557" s="12"/>
      <c r="U3557" s="12"/>
      <c r="V3557" s="12"/>
      <c r="W3557" s="12"/>
      <c r="X3557" s="12"/>
      <c r="Y3557" s="12"/>
      <c r="Z3557" s="12"/>
      <c r="AA3557" s="12"/>
    </row>
    <row r="3558" ht="26.25" customHeight="1">
      <c r="A3558" s="34" t="s">
        <v>7126</v>
      </c>
      <c r="B3558" s="35" t="s">
        <v>7127</v>
      </c>
      <c r="C3558" s="36">
        <v>4.0</v>
      </c>
      <c r="D3558" s="37">
        <v>144.0</v>
      </c>
      <c r="E3558" s="37">
        <v>11.0</v>
      </c>
      <c r="F3558" s="24" t="str">
        <f t="array" ref="F3558">"https://www.google.com/maps/search/?api=1&amp;query=" &amp; A3558 &amp; "," &amp; B3558</f>
        <v>https://www.google.com/maps/search/?api=1&amp;query=-30.89281844804940,-55.54978346302980</v>
      </c>
      <c r="G3558" s="25" t="str">
        <f t="array" ref="G3558">"https://earth.google.com/web/search/" &amp; A3558 &amp; "," &amp; B3558</f>
        <v>https://earth.google.com/web/search/-30.89281844804940,-55.54978346302980</v>
      </c>
      <c r="H3558" s="12"/>
      <c r="I3558" s="12"/>
      <c r="J3558" s="12"/>
      <c r="K3558" s="12"/>
      <c r="L3558" s="12"/>
      <c r="M3558" s="12"/>
      <c r="N3558" s="12"/>
      <c r="O3558" s="12"/>
      <c r="P3558" s="12"/>
      <c r="Q3558" s="12"/>
      <c r="R3558" s="12"/>
      <c r="S3558" s="12"/>
      <c r="T3558" s="12"/>
      <c r="U3558" s="12"/>
      <c r="V3558" s="12"/>
      <c r="W3558" s="12"/>
      <c r="X3558" s="12"/>
      <c r="Y3558" s="12"/>
      <c r="Z3558" s="12"/>
      <c r="AA3558" s="12"/>
    </row>
    <row r="3559" ht="26.25" customHeight="1">
      <c r="A3559" s="28" t="s">
        <v>7128</v>
      </c>
      <c r="B3559" s="29" t="s">
        <v>7129</v>
      </c>
      <c r="C3559" s="30">
        <v>4.0</v>
      </c>
      <c r="D3559" s="31">
        <v>144.0</v>
      </c>
      <c r="E3559" s="31">
        <v>12.0</v>
      </c>
      <c r="F3559" s="32" t="str">
        <f t="array" ref="F3559">"https://www.google.com/maps/search/?api=1&amp;query=" &amp; A3559 &amp; "," &amp; B3559</f>
        <v>https://www.google.com/maps/search/?api=1&amp;query=-30.89321952985040,-55.55009652158080</v>
      </c>
      <c r="G3559" s="33" t="str">
        <f t="array" ref="G3559">"https://earth.google.com/web/search/" &amp; A3559 &amp; "," &amp; B3559</f>
        <v>https://earth.google.com/web/search/-30.89321952985040,-55.55009652158080</v>
      </c>
      <c r="H3559" s="12"/>
      <c r="I3559" s="12"/>
      <c r="J3559" s="12"/>
      <c r="K3559" s="12"/>
      <c r="L3559" s="12"/>
      <c r="M3559" s="12"/>
      <c r="N3559" s="12"/>
      <c r="O3559" s="12"/>
      <c r="P3559" s="12"/>
      <c r="Q3559" s="12"/>
      <c r="R3559" s="12"/>
      <c r="S3559" s="12"/>
      <c r="T3559" s="12"/>
      <c r="U3559" s="12"/>
      <c r="V3559" s="12"/>
      <c r="W3559" s="12"/>
      <c r="X3559" s="12"/>
      <c r="Y3559" s="12"/>
      <c r="Z3559" s="12"/>
      <c r="AA3559" s="12"/>
    </row>
    <row r="3560" ht="26.25" customHeight="1">
      <c r="A3560" s="34" t="s">
        <v>7130</v>
      </c>
      <c r="B3560" s="35" t="s">
        <v>7131</v>
      </c>
      <c r="C3560" s="36">
        <v>4.0</v>
      </c>
      <c r="D3560" s="37">
        <v>145.0</v>
      </c>
      <c r="E3560" s="37">
        <v>1.0</v>
      </c>
      <c r="F3560" s="24" t="str">
        <f t="array" ref="F3560">"https://www.google.com/maps/search/?api=1&amp;query=" &amp; A3560 &amp; "," &amp; B3560</f>
        <v>https://www.google.com/maps/search/?api=1&amp;query=-30.89290081241960,-5.55509715485402</v>
      </c>
      <c r="G3560" s="25" t="str">
        <f t="array" ref="G3560">"https://earth.google.com/web/search/" &amp; A3560 &amp; "," &amp; B3560</f>
        <v>https://earth.google.com/web/search/-30.89290081241960,-5.55509715485402</v>
      </c>
      <c r="H3560" s="12"/>
      <c r="I3560" s="12"/>
      <c r="J3560" s="12"/>
      <c r="K3560" s="12"/>
      <c r="L3560" s="12"/>
      <c r="M3560" s="12"/>
      <c r="N3560" s="12"/>
      <c r="O3560" s="12"/>
      <c r="P3560" s="12"/>
      <c r="Q3560" s="12"/>
      <c r="R3560" s="12"/>
      <c r="S3560" s="12"/>
      <c r="T3560" s="12"/>
      <c r="U3560" s="12"/>
      <c r="V3560" s="12"/>
      <c r="W3560" s="12"/>
      <c r="X3560" s="12"/>
      <c r="Y3560" s="12"/>
      <c r="Z3560" s="12"/>
      <c r="AA3560" s="12"/>
    </row>
    <row r="3561" ht="26.25" customHeight="1">
      <c r="A3561" s="28" t="s">
        <v>7132</v>
      </c>
      <c r="B3561" s="29" t="s">
        <v>7133</v>
      </c>
      <c r="C3561" s="30">
        <v>4.0</v>
      </c>
      <c r="D3561" s="31">
        <v>145.0</v>
      </c>
      <c r="E3561" s="31">
        <v>2.0</v>
      </c>
      <c r="F3561" s="32" t="str">
        <f t="array" ref="F3561">"https://www.google.com/maps/search/?api=1&amp;query=" &amp; A3561 &amp; "," &amp; B3561</f>
        <v>https://www.google.com/maps/search/?api=1&amp;query=-30.89295241249120,-55.55087684597430</v>
      </c>
      <c r="G3561" s="33" t="str">
        <f t="array" ref="G3561">"https://earth.google.com/web/search/" &amp; A3561 &amp; "," &amp; B3561</f>
        <v>https://earth.google.com/web/search/-30.89295241249120,-55.55087684597430</v>
      </c>
      <c r="H3561" s="12"/>
      <c r="I3561" s="12"/>
      <c r="J3561" s="12"/>
      <c r="K3561" s="12"/>
      <c r="L3561" s="12"/>
      <c r="M3561" s="12"/>
      <c r="N3561" s="12"/>
      <c r="O3561" s="12"/>
      <c r="P3561" s="12"/>
      <c r="Q3561" s="12"/>
      <c r="R3561" s="12"/>
      <c r="S3561" s="12"/>
      <c r="T3561" s="12"/>
      <c r="U3561" s="12"/>
      <c r="V3561" s="12"/>
      <c r="W3561" s="12"/>
      <c r="X3561" s="12"/>
      <c r="Y3561" s="12"/>
      <c r="Z3561" s="12"/>
      <c r="AA3561" s="12"/>
    </row>
    <row r="3562" ht="26.25" customHeight="1">
      <c r="A3562" s="34" t="s">
        <v>7134</v>
      </c>
      <c r="B3562" s="35" t="s">
        <v>7135</v>
      </c>
      <c r="C3562" s="36">
        <v>4.0</v>
      </c>
      <c r="D3562" s="37">
        <v>145.0</v>
      </c>
      <c r="E3562" s="37">
        <v>3.0</v>
      </c>
      <c r="F3562" s="24" t="str">
        <f t="array" ref="F3562">"https://www.google.com/maps/search/?api=1&amp;query=" &amp; A3562 &amp; "," &amp; B3562</f>
        <v>https://www.google.com/maps/search/?api=1&amp;query=-30.89295604395730,-55.55001916108680</v>
      </c>
      <c r="G3562" s="25" t="str">
        <f t="array" ref="G3562">"https://earth.google.com/web/search/" &amp; A3562 &amp; "," &amp; B3562</f>
        <v>https://earth.google.com/web/search/-30.89295604395730,-55.55001916108680</v>
      </c>
      <c r="H3562" s="12"/>
      <c r="I3562" s="12"/>
      <c r="J3562" s="12"/>
      <c r="K3562" s="12"/>
      <c r="L3562" s="12"/>
      <c r="M3562" s="12"/>
      <c r="N3562" s="12"/>
      <c r="O3562" s="12"/>
      <c r="P3562" s="12"/>
      <c r="Q3562" s="12"/>
      <c r="R3562" s="12"/>
      <c r="S3562" s="12"/>
      <c r="T3562" s="12"/>
      <c r="U3562" s="12"/>
      <c r="V3562" s="12"/>
      <c r="W3562" s="12"/>
      <c r="X3562" s="12"/>
      <c r="Y3562" s="12"/>
      <c r="Z3562" s="12"/>
      <c r="AA3562" s="12"/>
    </row>
    <row r="3563" ht="26.25" customHeight="1">
      <c r="A3563" s="28" t="s">
        <v>7136</v>
      </c>
      <c r="B3563" s="29" t="s">
        <v>7137</v>
      </c>
      <c r="C3563" s="30">
        <v>4.0</v>
      </c>
      <c r="D3563" s="31">
        <v>145.0</v>
      </c>
      <c r="E3563" s="31">
        <v>4.0</v>
      </c>
      <c r="F3563" s="32" t="str">
        <f t="array" ref="F3563">"https://www.google.com/maps/search/?api=1&amp;query=" &amp; A3563 &amp; "," &amp; B3563</f>
        <v>https://www.google.com/maps/search/?api=1&amp;query=-30.89275707357510,-5.55499063301218</v>
      </c>
      <c r="G3563" s="33" t="str">
        <f t="array" ref="G3563">"https://earth.google.com/web/search/" &amp; A3563 &amp; "," &amp; B3563</f>
        <v>https://earth.google.com/web/search/-30.89275707357510,-5.55499063301218</v>
      </c>
      <c r="H3563" s="12"/>
      <c r="I3563" s="12"/>
      <c r="J3563" s="12"/>
      <c r="K3563" s="12"/>
      <c r="L3563" s="12"/>
      <c r="M3563" s="12"/>
      <c r="N3563" s="12"/>
      <c r="O3563" s="12"/>
      <c r="P3563" s="12"/>
      <c r="Q3563" s="12"/>
      <c r="R3563" s="12"/>
      <c r="S3563" s="12"/>
      <c r="T3563" s="12"/>
      <c r="U3563" s="12"/>
      <c r="V3563" s="12"/>
      <c r="W3563" s="12"/>
      <c r="X3563" s="12"/>
      <c r="Y3563" s="12"/>
      <c r="Z3563" s="12"/>
      <c r="AA3563" s="12"/>
    </row>
    <row r="3564" ht="26.25" customHeight="1">
      <c r="A3564" s="34" t="s">
        <v>7138</v>
      </c>
      <c r="B3564" s="35" t="s">
        <v>7139</v>
      </c>
      <c r="C3564" s="36">
        <v>4.0</v>
      </c>
      <c r="D3564" s="37">
        <v>145.0</v>
      </c>
      <c r="E3564" s="37">
        <v>5.0</v>
      </c>
      <c r="F3564" s="24" t="str">
        <f t="array" ref="F3564">"https://www.google.com/maps/search/?api=1&amp;query=" &amp; A3564 &amp; "," &amp; B3564</f>
        <v>https://www.google.com/maps/search/?api=1&amp;query=-3.08923175597535,-55.55026285588320</v>
      </c>
      <c r="G3564" s="25" t="str">
        <f t="array" ref="G3564">"https://earth.google.com/web/search/" &amp; A3564 &amp; "," &amp; B3564</f>
        <v>https://earth.google.com/web/search/-3.08923175597535,-55.55026285588320</v>
      </c>
      <c r="H3564" s="12"/>
      <c r="I3564" s="12"/>
      <c r="J3564" s="12"/>
      <c r="K3564" s="12"/>
      <c r="L3564" s="12"/>
      <c r="M3564" s="12"/>
      <c r="N3564" s="12"/>
      <c r="O3564" s="12"/>
      <c r="P3564" s="12"/>
      <c r="Q3564" s="12"/>
      <c r="R3564" s="12"/>
      <c r="S3564" s="12"/>
      <c r="T3564" s="12"/>
      <c r="U3564" s="12"/>
      <c r="V3564" s="12"/>
      <c r="W3564" s="12"/>
      <c r="X3564" s="12"/>
      <c r="Y3564" s="12"/>
      <c r="Z3564" s="12"/>
      <c r="AA3564" s="12"/>
    </row>
    <row r="3565" ht="26.25" customHeight="1">
      <c r="A3565" s="28" t="s">
        <v>7140</v>
      </c>
      <c r="B3565" s="29" t="s">
        <v>7141</v>
      </c>
      <c r="C3565" s="30">
        <v>4.0</v>
      </c>
      <c r="D3565" s="31">
        <v>146.0</v>
      </c>
      <c r="E3565" s="31">
        <v>1.0</v>
      </c>
      <c r="F3565" s="32" t="str">
        <f t="array" ref="F3565">"https://www.google.com/maps/search/?api=1&amp;query=" &amp; A3565 &amp; "," &amp; B3565</f>
        <v>https://www.google.com/maps/search/?api=1&amp;query=-30.89259245129280,-55.55154971504440</v>
      </c>
      <c r="G3565" s="33" t="str">
        <f t="array" ref="G3565">"https://earth.google.com/web/search/" &amp; A3565 &amp; "," &amp; B3565</f>
        <v>https://earth.google.com/web/search/-30.89259245129280,-55.55154971504440</v>
      </c>
      <c r="H3565" s="12"/>
      <c r="I3565" s="12"/>
      <c r="J3565" s="12"/>
      <c r="K3565" s="12"/>
      <c r="L3565" s="12"/>
      <c r="M3565" s="12"/>
      <c r="N3565" s="12"/>
      <c r="O3565" s="12"/>
      <c r="P3565" s="12"/>
      <c r="Q3565" s="12"/>
      <c r="R3565" s="12"/>
      <c r="S3565" s="12"/>
      <c r="T3565" s="12"/>
      <c r="U3565" s="12"/>
      <c r="V3565" s="12"/>
      <c r="W3565" s="12"/>
      <c r="X3565" s="12"/>
      <c r="Y3565" s="12"/>
      <c r="Z3565" s="12"/>
      <c r="AA3565" s="12"/>
    </row>
    <row r="3566" ht="26.25" customHeight="1">
      <c r="A3566" s="34" t="s">
        <v>7142</v>
      </c>
      <c r="B3566" s="35" t="s">
        <v>7143</v>
      </c>
      <c r="C3566" s="36">
        <v>4.0</v>
      </c>
      <c r="D3566" s="37">
        <v>146.0</v>
      </c>
      <c r="E3566" s="37">
        <v>2.0</v>
      </c>
      <c r="F3566" s="24" t="str">
        <f t="array" ref="F3566">"https://www.google.com/maps/search/?api=1&amp;query=" &amp; A3566 &amp; "," &amp; B3566</f>
        <v>https://www.google.com/maps/search/?api=1&amp;query=-30.89263610245840,-55.55148376843830</v>
      </c>
      <c r="G3566" s="25" t="str">
        <f t="array" ref="G3566">"https://earth.google.com/web/search/" &amp; A3566 &amp; "," &amp; B3566</f>
        <v>https://earth.google.com/web/search/-30.89263610245840,-55.55148376843830</v>
      </c>
      <c r="H3566" s="12"/>
      <c r="I3566" s="12"/>
      <c r="J3566" s="12"/>
      <c r="K3566" s="12"/>
      <c r="L3566" s="12"/>
      <c r="M3566" s="12"/>
      <c r="N3566" s="12"/>
      <c r="O3566" s="12"/>
      <c r="P3566" s="12"/>
      <c r="Q3566" s="12"/>
      <c r="R3566" s="12"/>
      <c r="S3566" s="12"/>
      <c r="T3566" s="12"/>
      <c r="U3566" s="12"/>
      <c r="V3566" s="12"/>
      <c r="W3566" s="12"/>
      <c r="X3566" s="12"/>
      <c r="Y3566" s="12"/>
      <c r="Z3566" s="12"/>
      <c r="AA3566" s="12"/>
    </row>
    <row r="3567" ht="26.25" customHeight="1">
      <c r="A3567" s="28" t="s">
        <v>7144</v>
      </c>
      <c r="B3567" s="29" t="s">
        <v>7145</v>
      </c>
      <c r="C3567" s="30">
        <v>4.0</v>
      </c>
      <c r="D3567" s="31">
        <v>146.0</v>
      </c>
      <c r="E3567" s="31">
        <v>3.0</v>
      </c>
      <c r="F3567" s="32" t="str">
        <f t="array" ref="F3567">"https://www.google.com/maps/search/?api=1&amp;query=" &amp; A3567 &amp; "," &amp; B3567</f>
        <v>https://www.google.com/maps/search/?api=1&amp;query=-30.89265534596760,-55.55140389326830</v>
      </c>
      <c r="G3567" s="33" t="str">
        <f t="array" ref="G3567">"https://earth.google.com/web/search/" &amp; A3567 &amp; "," &amp; B3567</f>
        <v>https://earth.google.com/web/search/-30.89265534596760,-55.55140389326830</v>
      </c>
      <c r="H3567" s="12"/>
      <c r="I3567" s="12"/>
      <c r="J3567" s="12"/>
      <c r="K3567" s="12"/>
      <c r="L3567" s="12"/>
      <c r="M3567" s="12"/>
      <c r="N3567" s="12"/>
      <c r="O3567" s="12"/>
      <c r="P3567" s="12"/>
      <c r="Q3567" s="12"/>
      <c r="R3567" s="12"/>
      <c r="S3567" s="12"/>
      <c r="T3567" s="12"/>
      <c r="U3567" s="12"/>
      <c r="V3567" s="12"/>
      <c r="W3567" s="12"/>
      <c r="X3567" s="12"/>
      <c r="Y3567" s="12"/>
      <c r="Z3567" s="12"/>
      <c r="AA3567" s="12"/>
    </row>
    <row r="3568" ht="26.25" customHeight="1">
      <c r="A3568" s="34" t="s">
        <v>7146</v>
      </c>
      <c r="B3568" s="35" t="s">
        <v>7147</v>
      </c>
      <c r="C3568" s="36">
        <v>4.0</v>
      </c>
      <c r="D3568" s="37">
        <v>146.0</v>
      </c>
      <c r="E3568" s="37">
        <v>4.0</v>
      </c>
      <c r="F3568" s="24" t="str">
        <f t="array" ref="F3568">"https://www.google.com/maps/search/?api=1&amp;query=" &amp; A3568 &amp; "," &amp; B3568</f>
        <v>https://www.google.com/maps/search/?api=1&amp;query=-30.89267762715790,-55.55133217565420</v>
      </c>
      <c r="G3568" s="25" t="str">
        <f t="array" ref="G3568">"https://earth.google.com/web/search/" &amp; A3568 &amp; "," &amp; B3568</f>
        <v>https://earth.google.com/web/search/-30.89267762715790,-55.55133217565420</v>
      </c>
      <c r="H3568" s="12"/>
      <c r="I3568" s="12"/>
      <c r="J3568" s="12"/>
      <c r="K3568" s="12"/>
      <c r="L3568" s="12"/>
      <c r="M3568" s="12"/>
      <c r="N3568" s="12"/>
      <c r="O3568" s="12"/>
      <c r="P3568" s="12"/>
      <c r="Q3568" s="12"/>
      <c r="R3568" s="12"/>
      <c r="S3568" s="12"/>
      <c r="T3568" s="12"/>
      <c r="U3568" s="12"/>
      <c r="V3568" s="12"/>
      <c r="W3568" s="12"/>
      <c r="X3568" s="12"/>
      <c r="Y3568" s="12"/>
      <c r="Z3568" s="12"/>
      <c r="AA3568" s="12"/>
    </row>
    <row r="3569" ht="26.25" customHeight="1">
      <c r="A3569" s="28" t="s">
        <v>7148</v>
      </c>
      <c r="B3569" s="29" t="s">
        <v>7149</v>
      </c>
      <c r="C3569" s="30">
        <v>4.0</v>
      </c>
      <c r="D3569" s="31">
        <v>146.0</v>
      </c>
      <c r="E3569" s="31">
        <v>5.0</v>
      </c>
      <c r="F3569" s="32" t="str">
        <f t="array" ref="F3569">"https://www.google.com/maps/search/?api=1&amp;query=" &amp; A3569 &amp; "," &amp; B3569</f>
        <v>https://www.google.com/maps/search/?api=1&amp;query=-30.89273972376790,-55.55134817387600</v>
      </c>
      <c r="G3569" s="33" t="str">
        <f t="array" ref="G3569">"https://earth.google.com/web/search/" &amp; A3569 &amp; "," &amp; B3569</f>
        <v>https://earth.google.com/web/search/-30.89273972376790,-55.55134817387600</v>
      </c>
      <c r="H3569" s="12"/>
      <c r="I3569" s="12"/>
      <c r="J3569" s="12"/>
      <c r="K3569" s="12"/>
      <c r="L3569" s="12"/>
      <c r="M3569" s="12"/>
      <c r="N3569" s="12"/>
      <c r="O3569" s="12"/>
      <c r="P3569" s="12"/>
      <c r="Q3569" s="12"/>
      <c r="R3569" s="12"/>
      <c r="S3569" s="12"/>
      <c r="T3569" s="12"/>
      <c r="U3569" s="12"/>
      <c r="V3569" s="12"/>
      <c r="W3569" s="12"/>
      <c r="X3569" s="12"/>
      <c r="Y3569" s="12"/>
      <c r="Z3569" s="12"/>
      <c r="AA3569" s="12"/>
    </row>
    <row r="3570" ht="26.25" customHeight="1">
      <c r="A3570" s="34" t="s">
        <v>7150</v>
      </c>
      <c r="B3570" s="35" t="s">
        <v>7151</v>
      </c>
      <c r="C3570" s="36">
        <v>4.0</v>
      </c>
      <c r="D3570" s="37">
        <v>146.0</v>
      </c>
      <c r="E3570" s="37">
        <v>6.0</v>
      </c>
      <c r="F3570" s="24" t="str">
        <f t="array" ref="F3570">"https://www.google.com/maps/search/?api=1&amp;query=" &amp; A3570 &amp; "," &amp; B3570</f>
        <v>https://www.google.com/maps/search/?api=1&amp;query=-30.89275061036100,-55.55129421543960</v>
      </c>
      <c r="G3570" s="25" t="str">
        <f t="array" ref="G3570">"https://earth.google.com/web/search/" &amp; A3570 &amp; "," &amp; B3570</f>
        <v>https://earth.google.com/web/search/-30.89275061036100,-55.55129421543960</v>
      </c>
      <c r="H3570" s="12"/>
      <c r="I3570" s="12"/>
      <c r="J3570" s="12"/>
      <c r="K3570" s="12"/>
      <c r="L3570" s="12"/>
      <c r="M3570" s="12"/>
      <c r="N3570" s="12"/>
      <c r="O3570" s="12"/>
      <c r="P3570" s="12"/>
      <c r="Q3570" s="12"/>
      <c r="R3570" s="12"/>
      <c r="S3570" s="12"/>
      <c r="T3570" s="12"/>
      <c r="U3570" s="12"/>
      <c r="V3570" s="12"/>
      <c r="W3570" s="12"/>
      <c r="X3570" s="12"/>
      <c r="Y3570" s="12"/>
      <c r="Z3570" s="12"/>
      <c r="AA3570" s="12"/>
    </row>
    <row r="3571" ht="26.25" customHeight="1">
      <c r="A3571" s="28" t="s">
        <v>7152</v>
      </c>
      <c r="B3571" s="29" t="s">
        <v>7153</v>
      </c>
      <c r="C3571" s="30">
        <v>4.0</v>
      </c>
      <c r="D3571" s="31">
        <v>146.0</v>
      </c>
      <c r="E3571" s="31">
        <v>7.0</v>
      </c>
      <c r="F3571" s="32" t="str">
        <f t="array" ref="F3571">"https://www.google.com/maps/search/?api=1&amp;query=" &amp; A3571 &amp; "," &amp; B3571</f>
        <v>https://www.google.com/maps/search/?api=1&amp;query=-30.89193317562150,-55.55165979257200</v>
      </c>
      <c r="G3571" s="33" t="str">
        <f t="array" ref="G3571">"https://earth.google.com/web/search/" &amp; A3571 &amp; "," &amp; B3571</f>
        <v>https://earth.google.com/web/search/-30.89193317562150,-55.55165979257200</v>
      </c>
      <c r="H3571" s="12"/>
      <c r="I3571" s="12"/>
      <c r="J3571" s="12"/>
      <c r="K3571" s="12"/>
      <c r="L3571" s="12"/>
      <c r="M3571" s="12"/>
      <c r="N3571" s="12"/>
      <c r="O3571" s="12"/>
      <c r="P3571" s="12"/>
      <c r="Q3571" s="12"/>
      <c r="R3571" s="12"/>
      <c r="S3571" s="12"/>
      <c r="T3571" s="12"/>
      <c r="U3571" s="12"/>
      <c r="V3571" s="12"/>
      <c r="W3571" s="12"/>
      <c r="X3571" s="12"/>
      <c r="Y3571" s="12"/>
      <c r="Z3571" s="12"/>
      <c r="AA3571" s="12"/>
    </row>
    <row r="3572" ht="26.25" customHeight="1">
      <c r="A3572" s="34" t="s">
        <v>7154</v>
      </c>
      <c r="B3572" s="35" t="s">
        <v>7155</v>
      </c>
      <c r="C3572" s="36">
        <v>4.0</v>
      </c>
      <c r="D3572" s="37">
        <v>147.0</v>
      </c>
      <c r="E3572" s="37">
        <v>1.0</v>
      </c>
      <c r="F3572" s="24" t="str">
        <f t="array" ref="F3572">"https://www.google.com/maps/search/?api=1&amp;query=" &amp; A3572 &amp; "," &amp; B3572</f>
        <v>https://www.google.com/maps/search/?api=1&amp;query=-30.89219887392910,-55.55227731375580</v>
      </c>
      <c r="G3572" s="25" t="str">
        <f t="array" ref="G3572">"https://earth.google.com/web/search/" &amp; A3572 &amp; "," &amp; B3572</f>
        <v>https://earth.google.com/web/search/-30.89219887392910,-55.55227731375580</v>
      </c>
      <c r="H3572" s="12"/>
      <c r="I3572" s="12"/>
      <c r="J3572" s="12"/>
      <c r="K3572" s="12"/>
      <c r="L3572" s="12"/>
      <c r="M3572" s="12"/>
      <c r="N3572" s="12"/>
      <c r="O3572" s="12"/>
      <c r="P3572" s="12"/>
      <c r="Q3572" s="12"/>
      <c r="R3572" s="12"/>
      <c r="S3572" s="12"/>
      <c r="T3572" s="12"/>
      <c r="U3572" s="12"/>
      <c r="V3572" s="12"/>
      <c r="W3572" s="12"/>
      <c r="X3572" s="12"/>
      <c r="Y3572" s="12"/>
      <c r="Z3572" s="12"/>
      <c r="AA3572" s="12"/>
    </row>
    <row r="3573" ht="26.25" customHeight="1">
      <c r="A3573" s="28" t="s">
        <v>7156</v>
      </c>
      <c r="B3573" s="29" t="s">
        <v>7157</v>
      </c>
      <c r="C3573" s="30">
        <v>4.0</v>
      </c>
      <c r="D3573" s="31">
        <v>147.0</v>
      </c>
      <c r="E3573" s="31">
        <v>2.0</v>
      </c>
      <c r="F3573" s="32" t="str">
        <f t="array" ref="F3573">"https://www.google.com/maps/search/?api=1&amp;query=" &amp; A3573 &amp; "," &amp; B3573</f>
        <v>https://www.google.com/maps/search/?api=1&amp;query=-30.89161077985630,-55.55268088610470</v>
      </c>
      <c r="G3573" s="33" t="str">
        <f t="array" ref="G3573">"https://earth.google.com/web/search/" &amp; A3573 &amp; "," &amp; B3573</f>
        <v>https://earth.google.com/web/search/-30.89161077985630,-55.55268088610470</v>
      </c>
      <c r="H3573" s="12"/>
      <c r="I3573" s="12"/>
      <c r="J3573" s="12"/>
      <c r="K3573" s="12"/>
      <c r="L3573" s="12"/>
      <c r="M3573" s="12"/>
      <c r="N3573" s="12"/>
      <c r="O3573" s="12"/>
      <c r="P3573" s="12"/>
      <c r="Q3573" s="12"/>
      <c r="R3573" s="12"/>
      <c r="S3573" s="12"/>
      <c r="T3573" s="12"/>
      <c r="U3573" s="12"/>
      <c r="V3573" s="12"/>
      <c r="W3573" s="12"/>
      <c r="X3573" s="12"/>
      <c r="Y3573" s="12"/>
      <c r="Z3573" s="12"/>
      <c r="AA3573" s="12"/>
    </row>
    <row r="3574" ht="26.25" customHeight="1">
      <c r="A3574" s="34" t="s">
        <v>7158</v>
      </c>
      <c r="B3574" s="35" t="s">
        <v>7159</v>
      </c>
      <c r="C3574" s="36">
        <v>4.0</v>
      </c>
      <c r="D3574" s="37">
        <v>147.0</v>
      </c>
      <c r="E3574" s="37">
        <v>3.0</v>
      </c>
      <c r="F3574" s="24" t="str">
        <f t="array" ref="F3574">"https://www.google.com/maps/search/?api=1&amp;query=" &amp; A3574 &amp; "," &amp; B3574</f>
        <v>https://www.google.com/maps/search/?api=1&amp;query=-30.89172985862700,-55.55278137051960</v>
      </c>
      <c r="G3574" s="25" t="str">
        <f t="array" ref="G3574">"https://earth.google.com/web/search/" &amp; A3574 &amp; "," &amp; B3574</f>
        <v>https://earth.google.com/web/search/-30.89172985862700,-55.55278137051960</v>
      </c>
      <c r="H3574" s="12"/>
      <c r="I3574" s="12"/>
      <c r="J3574" s="12"/>
      <c r="K3574" s="12"/>
      <c r="L3574" s="12"/>
      <c r="M3574" s="12"/>
      <c r="N3574" s="12"/>
      <c r="O3574" s="12"/>
      <c r="P3574" s="12"/>
      <c r="Q3574" s="12"/>
      <c r="R3574" s="12"/>
      <c r="S3574" s="12"/>
      <c r="T3574" s="12"/>
      <c r="U3574" s="12"/>
      <c r="V3574" s="12"/>
      <c r="W3574" s="12"/>
      <c r="X3574" s="12"/>
      <c r="Y3574" s="12"/>
      <c r="Z3574" s="12"/>
      <c r="AA3574" s="12"/>
    </row>
    <row r="3575" ht="26.25" customHeight="1">
      <c r="A3575" s="28" t="s">
        <v>7160</v>
      </c>
      <c r="B3575" s="29" t="s">
        <v>7161</v>
      </c>
      <c r="C3575" s="30">
        <v>4.0</v>
      </c>
      <c r="D3575" s="31">
        <v>148.0</v>
      </c>
      <c r="E3575" s="31">
        <v>1.0</v>
      </c>
      <c r="F3575" s="32" t="str">
        <f t="array" ref="F3575">"https://www.google.com/maps/search/?api=1&amp;query=" &amp; A3575 &amp; "," &amp; B3575</f>
        <v>https://www.google.com/maps/search/?api=1&amp;query=-30.89152511445130,-55.55354056230950</v>
      </c>
      <c r="G3575" s="33" t="str">
        <f t="array" ref="G3575">"https://earth.google.com/web/search/" &amp; A3575 &amp; "," &amp; B3575</f>
        <v>https://earth.google.com/web/search/-30.89152511445130,-55.55354056230950</v>
      </c>
      <c r="H3575" s="12"/>
      <c r="I3575" s="12"/>
      <c r="J3575" s="12"/>
      <c r="K3575" s="12"/>
      <c r="L3575" s="12"/>
      <c r="M3575" s="12"/>
      <c r="N3575" s="12"/>
      <c r="O3575" s="12"/>
      <c r="P3575" s="12"/>
      <c r="Q3575" s="12"/>
      <c r="R3575" s="12"/>
      <c r="S3575" s="12"/>
      <c r="T3575" s="12"/>
      <c r="U3575" s="12"/>
      <c r="V3575" s="12"/>
      <c r="W3575" s="12"/>
      <c r="X3575" s="12"/>
      <c r="Y3575" s="12"/>
      <c r="Z3575" s="12"/>
      <c r="AA3575" s="12"/>
    </row>
    <row r="3576" ht="26.25" customHeight="1">
      <c r="A3576" s="34" t="s">
        <v>7162</v>
      </c>
      <c r="B3576" s="35" t="s">
        <v>7163</v>
      </c>
      <c r="C3576" s="36">
        <v>4.0</v>
      </c>
      <c r="D3576" s="37">
        <v>148.0</v>
      </c>
      <c r="E3576" s="37">
        <v>2.0</v>
      </c>
      <c r="F3576" s="24" t="str">
        <f t="array" ref="F3576">"https://www.google.com/maps/search/?api=1&amp;query=" &amp; A3576 &amp; "," &amp; B3576</f>
        <v>https://www.google.com/maps/search/?api=1&amp;query=-30.89165435226100,-55.55335818058500</v>
      </c>
      <c r="G3576" s="25" t="str">
        <f t="array" ref="G3576">"https://earth.google.com/web/search/" &amp; A3576 &amp; "," &amp; B3576</f>
        <v>https://earth.google.com/web/search/-30.89165435226100,-55.55335818058500</v>
      </c>
      <c r="H3576" s="12"/>
      <c r="I3576" s="12"/>
      <c r="J3576" s="12"/>
      <c r="K3576" s="12"/>
      <c r="L3576" s="12"/>
      <c r="M3576" s="12"/>
      <c r="N3576" s="12"/>
      <c r="O3576" s="12"/>
      <c r="P3576" s="12"/>
      <c r="Q3576" s="12"/>
      <c r="R3576" s="12"/>
      <c r="S3576" s="12"/>
      <c r="T3576" s="12"/>
      <c r="U3576" s="12"/>
      <c r="V3576" s="12"/>
      <c r="W3576" s="12"/>
      <c r="X3576" s="12"/>
      <c r="Y3576" s="12"/>
      <c r="Z3576" s="12"/>
      <c r="AA3576" s="12"/>
    </row>
    <row r="3577" ht="26.25" customHeight="1">
      <c r="A3577" s="28" t="s">
        <v>7164</v>
      </c>
      <c r="B3577" s="29" t="s">
        <v>7165</v>
      </c>
      <c r="C3577" s="30">
        <v>4.0</v>
      </c>
      <c r="D3577" s="31">
        <v>148.0</v>
      </c>
      <c r="E3577" s="31">
        <v>3.0</v>
      </c>
      <c r="F3577" s="32" t="str">
        <f t="array" ref="F3577">"https://www.google.com/maps/search/?api=1&amp;query=" &amp; A3577 &amp; "," &amp; B3577</f>
        <v>https://www.google.com/maps/search/?api=1&amp;query=-30.89144441400740,-55.55272006645030</v>
      </c>
      <c r="G3577" s="33" t="str">
        <f t="array" ref="G3577">"https://earth.google.com/web/search/" &amp; A3577 &amp; "," &amp; B3577</f>
        <v>https://earth.google.com/web/search/-30.89144441400740,-55.55272006645030</v>
      </c>
      <c r="H3577" s="12"/>
      <c r="I3577" s="12"/>
      <c r="J3577" s="12"/>
      <c r="K3577" s="12"/>
      <c r="L3577" s="12"/>
      <c r="M3577" s="12"/>
      <c r="N3577" s="12"/>
      <c r="O3577" s="12"/>
      <c r="P3577" s="12"/>
      <c r="Q3577" s="12"/>
      <c r="R3577" s="12"/>
      <c r="S3577" s="12"/>
      <c r="T3577" s="12"/>
      <c r="U3577" s="12"/>
      <c r="V3577" s="12"/>
      <c r="W3577" s="12"/>
      <c r="X3577" s="12"/>
      <c r="Y3577" s="12"/>
      <c r="Z3577" s="12"/>
      <c r="AA3577" s="12"/>
    </row>
    <row r="3578" ht="26.25" customHeight="1">
      <c r="A3578" s="34" t="s">
        <v>7166</v>
      </c>
      <c r="B3578" s="35" t="s">
        <v>7167</v>
      </c>
      <c r="C3578" s="36">
        <v>4.0</v>
      </c>
      <c r="D3578" s="37">
        <v>148.0</v>
      </c>
      <c r="E3578" s="37">
        <v>4.0</v>
      </c>
      <c r="F3578" s="24" t="str">
        <f t="array" ref="F3578">"https://www.google.com/maps/search/?api=1&amp;query=" &amp; A3578 &amp; "," &amp; B3578</f>
        <v>https://www.google.com/maps/search/?api=1&amp;query=-30.89135708069090,-55.55264649477300</v>
      </c>
      <c r="G3578" s="25" t="str">
        <f t="array" ref="G3578">"https://earth.google.com/web/search/" &amp; A3578 &amp; "," &amp; B3578</f>
        <v>https://earth.google.com/web/search/-30.89135708069090,-55.55264649477300</v>
      </c>
      <c r="H3578" s="12"/>
      <c r="I3578" s="12"/>
      <c r="J3578" s="12"/>
      <c r="K3578" s="12"/>
      <c r="L3578" s="12"/>
      <c r="M3578" s="12"/>
      <c r="N3578" s="12"/>
      <c r="O3578" s="12"/>
      <c r="P3578" s="12"/>
      <c r="Q3578" s="12"/>
      <c r="R3578" s="12"/>
      <c r="S3578" s="12"/>
      <c r="T3578" s="12"/>
      <c r="U3578" s="12"/>
      <c r="V3578" s="12"/>
      <c r="W3578" s="12"/>
      <c r="X3578" s="12"/>
      <c r="Y3578" s="12"/>
      <c r="Z3578" s="12"/>
      <c r="AA3578" s="12"/>
    </row>
    <row r="3579" ht="26.25" customHeight="1">
      <c r="A3579" s="28" t="s">
        <v>7168</v>
      </c>
      <c r="B3579" s="29" t="s">
        <v>7169</v>
      </c>
      <c r="C3579" s="30">
        <v>4.0</v>
      </c>
      <c r="D3579" s="31">
        <v>149.0</v>
      </c>
      <c r="E3579" s="31">
        <v>1.0</v>
      </c>
      <c r="F3579" s="32" t="str">
        <f t="array" ref="F3579">"https://www.google.com/maps/search/?api=1&amp;query=" &amp; A3579 &amp; "," &amp; B3579</f>
        <v>https://www.google.com/maps/search/?api=1&amp;query=-30.89106003384200,-55.55445436382990</v>
      </c>
      <c r="G3579" s="33" t="str">
        <f t="array" ref="G3579">"https://earth.google.com/web/search/" &amp; A3579 &amp; "," &amp; B3579</f>
        <v>https://earth.google.com/web/search/-30.89106003384200,-55.55445436382990</v>
      </c>
      <c r="H3579" s="12"/>
      <c r="I3579" s="12"/>
      <c r="J3579" s="12"/>
      <c r="K3579" s="12"/>
      <c r="L3579" s="12"/>
      <c r="M3579" s="12"/>
      <c r="N3579" s="12"/>
      <c r="O3579" s="12"/>
      <c r="P3579" s="12"/>
      <c r="Q3579" s="12"/>
      <c r="R3579" s="12"/>
      <c r="S3579" s="12"/>
      <c r="T3579" s="12"/>
      <c r="U3579" s="12"/>
      <c r="V3579" s="12"/>
      <c r="W3579" s="12"/>
      <c r="X3579" s="12"/>
      <c r="Y3579" s="12"/>
      <c r="Z3579" s="12"/>
      <c r="AA3579" s="12"/>
    </row>
    <row r="3580" ht="26.25" customHeight="1">
      <c r="A3580" s="34" t="s">
        <v>7170</v>
      </c>
      <c r="B3580" s="35" t="s">
        <v>7171</v>
      </c>
      <c r="C3580" s="36">
        <v>4.0</v>
      </c>
      <c r="D3580" s="37">
        <v>149.0</v>
      </c>
      <c r="E3580" s="37">
        <v>2.0</v>
      </c>
      <c r="F3580" s="24" t="str">
        <f t="array" ref="F3580">"https://www.google.com/maps/search/?api=1&amp;query=" &amp; A3580 &amp; "," &amp; B3580</f>
        <v>https://www.google.com/maps/search/?api=1&amp;query=-30.89131796889780,-5.55538654687556</v>
      </c>
      <c r="G3580" s="25" t="str">
        <f t="array" ref="G3580">"https://earth.google.com/web/search/" &amp; A3580 &amp; "," &amp; B3580</f>
        <v>https://earth.google.com/web/search/-30.89131796889780,-5.55538654687556</v>
      </c>
      <c r="H3580" s="12"/>
      <c r="I3580" s="12"/>
      <c r="J3580" s="12"/>
      <c r="K3580" s="12"/>
      <c r="L3580" s="12"/>
      <c r="M3580" s="12"/>
      <c r="N3580" s="12"/>
      <c r="O3580" s="12"/>
      <c r="P3580" s="12"/>
      <c r="Q3580" s="12"/>
      <c r="R3580" s="12"/>
      <c r="S3580" s="12"/>
      <c r="T3580" s="12"/>
      <c r="U3580" s="12"/>
      <c r="V3580" s="12"/>
      <c r="W3580" s="12"/>
      <c r="X3580" s="12"/>
      <c r="Y3580" s="12"/>
      <c r="Z3580" s="12"/>
      <c r="AA3580" s="12"/>
    </row>
    <row r="3581" ht="26.25" customHeight="1">
      <c r="A3581" s="28" t="s">
        <v>7172</v>
      </c>
      <c r="B3581" s="29" t="s">
        <v>7173</v>
      </c>
      <c r="C3581" s="30">
        <v>4.0</v>
      </c>
      <c r="D3581" s="31">
        <v>149.0</v>
      </c>
      <c r="E3581" s="31">
        <v>3.0</v>
      </c>
      <c r="F3581" s="32" t="str">
        <f t="array" ref="F3581">"https://www.google.com/maps/search/?api=1&amp;query=" &amp; A3581 &amp; "," &amp; B3581</f>
        <v>https://www.google.com/maps/search/?api=1&amp;query=-30.89054011435150,-55.55368753566830</v>
      </c>
      <c r="G3581" s="33" t="str">
        <f t="array" ref="G3581">"https://earth.google.com/web/search/" &amp; A3581 &amp; "," &amp; B3581</f>
        <v>https://earth.google.com/web/search/-30.89054011435150,-55.55368753566830</v>
      </c>
      <c r="H3581" s="12"/>
      <c r="I3581" s="12"/>
      <c r="J3581" s="12"/>
      <c r="K3581" s="12"/>
      <c r="L3581" s="12"/>
      <c r="M3581" s="12"/>
      <c r="N3581" s="12"/>
      <c r="O3581" s="12"/>
      <c r="P3581" s="12"/>
      <c r="Q3581" s="12"/>
      <c r="R3581" s="12"/>
      <c r="S3581" s="12"/>
      <c r="T3581" s="12"/>
      <c r="U3581" s="12"/>
      <c r="V3581" s="12"/>
      <c r="W3581" s="12"/>
      <c r="X3581" s="12"/>
      <c r="Y3581" s="12"/>
      <c r="Z3581" s="12"/>
      <c r="AA3581" s="12"/>
    </row>
    <row r="3582" ht="26.25" customHeight="1">
      <c r="A3582" s="34" t="s">
        <v>7174</v>
      </c>
      <c r="B3582" s="35" t="s">
        <v>7175</v>
      </c>
      <c r="C3582" s="36">
        <v>4.0</v>
      </c>
      <c r="D3582" s="37">
        <v>149.0</v>
      </c>
      <c r="E3582" s="37">
        <v>4.0</v>
      </c>
      <c r="F3582" s="24" t="str">
        <f t="array" ref="F3582">"https://www.google.com/maps/search/?api=1&amp;query=" &amp; A3582 &amp; "," &amp; B3582</f>
        <v>https://www.google.com/maps/search/?api=1&amp;query=-30.89042643854900,-55.55387771926210</v>
      </c>
      <c r="G3582" s="25" t="str">
        <f t="array" ref="G3582">"https://earth.google.com/web/search/" &amp; A3582 &amp; "," &amp; B3582</f>
        <v>https://earth.google.com/web/search/-30.89042643854900,-55.55387771926210</v>
      </c>
      <c r="H3582" s="12"/>
      <c r="I3582" s="12"/>
      <c r="J3582" s="12"/>
      <c r="K3582" s="12"/>
      <c r="L3582" s="12"/>
      <c r="M3582" s="12"/>
      <c r="N3582" s="12"/>
      <c r="O3582" s="12"/>
      <c r="P3582" s="12"/>
      <c r="Q3582" s="12"/>
      <c r="R3582" s="12"/>
      <c r="S3582" s="12"/>
      <c r="T3582" s="12"/>
      <c r="U3582" s="12"/>
      <c r="V3582" s="12"/>
      <c r="W3582" s="12"/>
      <c r="X3582" s="12"/>
      <c r="Y3582" s="12"/>
      <c r="Z3582" s="12"/>
      <c r="AA3582" s="12"/>
    </row>
    <row r="3583" ht="26.25" customHeight="1">
      <c r="A3583" s="28" t="s">
        <v>7176</v>
      </c>
      <c r="B3583" s="29" t="s">
        <v>7177</v>
      </c>
      <c r="C3583" s="30">
        <v>4.0</v>
      </c>
      <c r="D3583" s="31">
        <v>149.0</v>
      </c>
      <c r="E3583" s="31">
        <v>5.0</v>
      </c>
      <c r="F3583" s="32" t="str">
        <f t="array" ref="F3583">"https://www.google.com/maps/search/?api=1&amp;query=" &amp; A3583 &amp; "," &amp; B3583</f>
        <v>https://www.google.com/maps/search/?api=1&amp;query=-30.89046779957690,-55.55440402609220</v>
      </c>
      <c r="G3583" s="33" t="str">
        <f t="array" ref="G3583">"https://earth.google.com/web/search/" &amp; A3583 &amp; "," &amp; B3583</f>
        <v>https://earth.google.com/web/search/-30.89046779957690,-55.55440402609220</v>
      </c>
      <c r="H3583" s="12"/>
      <c r="I3583" s="12"/>
      <c r="J3583" s="12"/>
      <c r="K3583" s="12"/>
      <c r="L3583" s="12"/>
      <c r="M3583" s="12"/>
      <c r="N3583" s="12"/>
      <c r="O3583" s="12"/>
      <c r="P3583" s="12"/>
      <c r="Q3583" s="12"/>
      <c r="R3583" s="12"/>
      <c r="S3583" s="12"/>
      <c r="T3583" s="12"/>
      <c r="U3583" s="12"/>
      <c r="V3583" s="12"/>
      <c r="W3583" s="12"/>
      <c r="X3583" s="12"/>
      <c r="Y3583" s="12"/>
      <c r="Z3583" s="12"/>
      <c r="AA3583" s="12"/>
    </row>
    <row r="3584" ht="26.25" customHeight="1">
      <c r="A3584" s="34" t="s">
        <v>7178</v>
      </c>
      <c r="B3584" s="35" t="s">
        <v>7179</v>
      </c>
      <c r="C3584" s="36">
        <v>4.0</v>
      </c>
      <c r="D3584" s="37">
        <v>149.0</v>
      </c>
      <c r="E3584" s="37">
        <v>6.0</v>
      </c>
      <c r="F3584" s="24" t="str">
        <f t="array" ref="F3584">"https://www.google.com/maps/search/?api=1&amp;query=" &amp; A3584 &amp; "," &amp; B3584</f>
        <v>https://www.google.com/maps/search/?api=1&amp;query=-30.89065205018700,-55.55450559922230</v>
      </c>
      <c r="G3584" s="25" t="str">
        <f t="array" ref="G3584">"https://earth.google.com/web/search/" &amp; A3584 &amp; "," &amp; B3584</f>
        <v>https://earth.google.com/web/search/-30.89065205018700,-55.55450559922230</v>
      </c>
      <c r="H3584" s="12"/>
      <c r="I3584" s="12"/>
      <c r="J3584" s="12"/>
      <c r="K3584" s="12"/>
      <c r="L3584" s="12"/>
      <c r="M3584" s="12"/>
      <c r="N3584" s="12"/>
      <c r="O3584" s="12"/>
      <c r="P3584" s="12"/>
      <c r="Q3584" s="12"/>
      <c r="R3584" s="12"/>
      <c r="S3584" s="12"/>
      <c r="T3584" s="12"/>
      <c r="U3584" s="12"/>
      <c r="V3584" s="12"/>
      <c r="W3584" s="12"/>
      <c r="X3584" s="12"/>
      <c r="Y3584" s="12"/>
      <c r="Z3584" s="12"/>
      <c r="AA3584" s="12"/>
    </row>
    <row r="3585" ht="26.25" customHeight="1">
      <c r="A3585" s="28" t="s">
        <v>7180</v>
      </c>
      <c r="B3585" s="29" t="s">
        <v>7181</v>
      </c>
      <c r="C3585" s="30">
        <v>4.0</v>
      </c>
      <c r="D3585" s="31">
        <v>149.0</v>
      </c>
      <c r="E3585" s="31">
        <v>7.0</v>
      </c>
      <c r="F3585" s="32" t="str">
        <f t="array" ref="F3585">"https://www.google.com/maps/search/?api=1&amp;query=" &amp; A3585 &amp; "," &amp; B3585</f>
        <v>https://www.google.com/maps/search/?api=1&amp;query=-30.89089621857850,-55.55468007240540</v>
      </c>
      <c r="G3585" s="33" t="str">
        <f t="array" ref="G3585">"https://earth.google.com/web/search/" &amp; A3585 &amp; "," &amp; B3585</f>
        <v>https://earth.google.com/web/search/-30.89089621857850,-55.55468007240540</v>
      </c>
      <c r="H3585" s="12"/>
      <c r="I3585" s="12"/>
      <c r="J3585" s="12"/>
      <c r="K3585" s="12"/>
      <c r="L3585" s="12"/>
      <c r="M3585" s="12"/>
      <c r="N3585" s="12"/>
      <c r="O3585" s="12"/>
      <c r="P3585" s="12"/>
      <c r="Q3585" s="12"/>
      <c r="R3585" s="12"/>
      <c r="S3585" s="12"/>
      <c r="T3585" s="12"/>
      <c r="U3585" s="12"/>
      <c r="V3585" s="12"/>
      <c r="W3585" s="12"/>
      <c r="X3585" s="12"/>
      <c r="Y3585" s="12"/>
      <c r="Z3585" s="12"/>
      <c r="AA3585" s="12"/>
    </row>
    <row r="3586" ht="26.25" customHeight="1">
      <c r="A3586" s="34" t="s">
        <v>7182</v>
      </c>
      <c r="B3586" s="35" t="s">
        <v>7183</v>
      </c>
      <c r="C3586" s="36">
        <v>4.0</v>
      </c>
      <c r="D3586" s="37">
        <v>160.0</v>
      </c>
      <c r="E3586" s="37">
        <v>1.0</v>
      </c>
      <c r="F3586" s="24" t="str">
        <f t="array" ref="F3586">"https://www.google.com/maps/search/?api=1&amp;query=" &amp; A3586 &amp; "," &amp; B3586</f>
        <v>https://www.google.com/maps/search/?api=1&amp;query=-30.89177024834330,-55.55515740775540</v>
      </c>
      <c r="G3586" s="25" t="str">
        <f t="array" ref="G3586">"https://earth.google.com/web/search/" &amp; A3586 &amp; "," &amp; B3586</f>
        <v>https://earth.google.com/web/search/-30.89177024834330,-55.55515740775540</v>
      </c>
      <c r="H3586" s="12"/>
      <c r="I3586" s="12"/>
      <c r="J3586" s="12"/>
      <c r="K3586" s="12"/>
      <c r="L3586" s="12"/>
      <c r="M3586" s="12"/>
      <c r="N3586" s="12"/>
      <c r="O3586" s="12"/>
      <c r="P3586" s="12"/>
      <c r="Q3586" s="12"/>
      <c r="R3586" s="12"/>
      <c r="S3586" s="12"/>
      <c r="T3586" s="12"/>
      <c r="U3586" s="12"/>
      <c r="V3586" s="12"/>
      <c r="W3586" s="12"/>
      <c r="X3586" s="12"/>
      <c r="Y3586" s="12"/>
      <c r="Z3586" s="12"/>
      <c r="AA3586" s="12"/>
    </row>
    <row r="3587" ht="26.25" customHeight="1">
      <c r="A3587" s="28" t="s">
        <v>7184</v>
      </c>
      <c r="B3587" s="29" t="s">
        <v>7185</v>
      </c>
      <c r="C3587" s="30">
        <v>4.0</v>
      </c>
      <c r="D3587" s="31">
        <v>160.0</v>
      </c>
      <c r="E3587" s="31">
        <v>2.0</v>
      </c>
      <c r="F3587" s="32" t="str">
        <f t="array" ref="F3587">"https://www.google.com/maps/search/?api=1&amp;query=" &amp; A3587 &amp; "," &amp; B3587</f>
        <v>https://www.google.com/maps/search/?api=1&amp;query=-30.89184623606270,-55.55500450885810</v>
      </c>
      <c r="G3587" s="33" t="str">
        <f t="array" ref="G3587">"https://earth.google.com/web/search/" &amp; A3587 &amp; "," &amp; B3587</f>
        <v>https://earth.google.com/web/search/-30.89184623606270,-55.55500450885810</v>
      </c>
      <c r="H3587" s="12"/>
      <c r="I3587" s="12"/>
      <c r="J3587" s="12"/>
      <c r="K3587" s="12"/>
      <c r="L3587" s="12"/>
      <c r="M3587" s="12"/>
      <c r="N3587" s="12"/>
      <c r="O3587" s="12"/>
      <c r="P3587" s="12"/>
      <c r="Q3587" s="12"/>
      <c r="R3587" s="12"/>
      <c r="S3587" s="12"/>
      <c r="T3587" s="12"/>
      <c r="U3587" s="12"/>
      <c r="V3587" s="12"/>
      <c r="W3587" s="12"/>
      <c r="X3587" s="12"/>
      <c r="Y3587" s="12"/>
      <c r="Z3587" s="12"/>
      <c r="AA3587" s="12"/>
    </row>
    <row r="3588" ht="26.25" customHeight="1">
      <c r="A3588" s="34" t="s">
        <v>7186</v>
      </c>
      <c r="B3588" s="35" t="s">
        <v>7187</v>
      </c>
      <c r="C3588" s="36">
        <v>4.0</v>
      </c>
      <c r="D3588" s="37">
        <v>160.0</v>
      </c>
      <c r="E3588" s="37">
        <v>3.0</v>
      </c>
      <c r="F3588" s="24" t="str">
        <f t="array" ref="F3588">"https://www.google.com/maps/search/?api=1&amp;query=" &amp; A3588 &amp; "," &amp; B3588</f>
        <v>https://www.google.com/maps/search/?api=1&amp;query=-30.89205561828040,-5.55545697266635</v>
      </c>
      <c r="G3588" s="25" t="str">
        <f t="array" ref="G3588">"https://earth.google.com/web/search/" &amp; A3588 &amp; "," &amp; B3588</f>
        <v>https://earth.google.com/web/search/-30.89205561828040,-5.55545697266635</v>
      </c>
      <c r="H3588" s="12"/>
      <c r="I3588" s="12"/>
      <c r="J3588" s="12"/>
      <c r="K3588" s="12"/>
      <c r="L3588" s="12"/>
      <c r="M3588" s="12"/>
      <c r="N3588" s="12"/>
      <c r="O3588" s="12"/>
      <c r="P3588" s="12"/>
      <c r="Q3588" s="12"/>
      <c r="R3588" s="12"/>
      <c r="S3588" s="12"/>
      <c r="T3588" s="12"/>
      <c r="U3588" s="12"/>
      <c r="V3588" s="12"/>
      <c r="W3588" s="12"/>
      <c r="X3588" s="12"/>
      <c r="Y3588" s="12"/>
      <c r="Z3588" s="12"/>
      <c r="AA3588" s="12"/>
    </row>
    <row r="3589" ht="26.25" customHeight="1">
      <c r="A3589" s="28" t="s">
        <v>7188</v>
      </c>
      <c r="B3589" s="29" t="s">
        <v>7189</v>
      </c>
      <c r="C3589" s="30">
        <v>4.0</v>
      </c>
      <c r="D3589" s="31">
        <v>160.0</v>
      </c>
      <c r="E3589" s="31">
        <v>4.0</v>
      </c>
      <c r="F3589" s="32" t="str">
        <f t="array" ref="F3589">"https://www.google.com/maps/search/?api=1&amp;query=" &amp; A3589 &amp; "," &amp; B3589</f>
        <v>https://www.google.com/maps/search/?api=1&amp;query=-30.89202837249740,-55.55437381782710</v>
      </c>
      <c r="G3589" s="33" t="str">
        <f t="array" ref="G3589">"https://earth.google.com/web/search/" &amp; A3589 &amp; "," &amp; B3589</f>
        <v>https://earth.google.com/web/search/-30.89202837249740,-55.55437381782710</v>
      </c>
      <c r="H3589" s="12"/>
      <c r="I3589" s="12"/>
      <c r="J3589" s="12"/>
      <c r="K3589" s="12"/>
      <c r="L3589" s="12"/>
      <c r="M3589" s="12"/>
      <c r="N3589" s="12"/>
      <c r="O3589" s="12"/>
      <c r="P3589" s="12"/>
      <c r="Q3589" s="12"/>
      <c r="R3589" s="12"/>
      <c r="S3589" s="12"/>
      <c r="T3589" s="12"/>
      <c r="U3589" s="12"/>
      <c r="V3589" s="12"/>
      <c r="W3589" s="12"/>
      <c r="X3589" s="12"/>
      <c r="Y3589" s="12"/>
      <c r="Z3589" s="12"/>
      <c r="AA3589" s="12"/>
    </row>
    <row r="3590" ht="26.25" customHeight="1">
      <c r="A3590" s="34" t="s">
        <v>7190</v>
      </c>
      <c r="B3590" s="35" t="s">
        <v>7191</v>
      </c>
      <c r="C3590" s="36">
        <v>4.0</v>
      </c>
      <c r="D3590" s="37">
        <v>160.0</v>
      </c>
      <c r="E3590" s="37">
        <v>5.0</v>
      </c>
      <c r="F3590" s="24" t="str">
        <f t="array" ref="F3590">"https://www.google.com/maps/search/?api=1&amp;query=" &amp; A3590 &amp; "," &amp; B3590</f>
        <v>https://www.google.com/maps/search/?api=1&amp;query=-30.89192275571790,-55.55431129396620</v>
      </c>
      <c r="G3590" s="25" t="str">
        <f t="array" ref="G3590">"https://earth.google.com/web/search/" &amp; A3590 &amp; "," &amp; B3590</f>
        <v>https://earth.google.com/web/search/-30.89192275571790,-55.55431129396620</v>
      </c>
      <c r="H3590" s="12"/>
      <c r="I3590" s="12"/>
      <c r="J3590" s="12"/>
      <c r="K3590" s="12"/>
      <c r="L3590" s="12"/>
      <c r="M3590" s="12"/>
      <c r="N3590" s="12"/>
      <c r="O3590" s="12"/>
      <c r="P3590" s="12"/>
      <c r="Q3590" s="12"/>
      <c r="R3590" s="12"/>
      <c r="S3590" s="12"/>
      <c r="T3590" s="12"/>
      <c r="U3590" s="12"/>
      <c r="V3590" s="12"/>
      <c r="W3590" s="12"/>
      <c r="X3590" s="12"/>
      <c r="Y3590" s="12"/>
      <c r="Z3590" s="12"/>
      <c r="AA3590" s="12"/>
    </row>
    <row r="3591" ht="26.25" customHeight="1">
      <c r="A3591" s="28" t="s">
        <v>7192</v>
      </c>
      <c r="B3591" s="29" t="s">
        <v>7193</v>
      </c>
      <c r="C3591" s="30">
        <v>4.0</v>
      </c>
      <c r="D3591" s="31">
        <v>160.0</v>
      </c>
      <c r="E3591" s="31">
        <v>6.0</v>
      </c>
      <c r="F3591" s="32" t="str">
        <f t="array" ref="F3591">"https://www.google.com/maps/search/?api=1&amp;query=" &amp; A3591 &amp; "," &amp; B3591</f>
        <v>https://www.google.com/maps/search/?api=1&amp;query=-30.89126344037880,-55.55432976936540</v>
      </c>
      <c r="G3591" s="33" t="str">
        <f t="array" ref="G3591">"https://earth.google.com/web/search/" &amp; A3591 &amp; "," &amp; B3591</f>
        <v>https://earth.google.com/web/search/-30.89126344037880,-55.55432976936540</v>
      </c>
      <c r="H3591" s="12"/>
      <c r="I3591" s="12"/>
      <c r="J3591" s="12"/>
      <c r="K3591" s="12"/>
      <c r="L3591" s="12"/>
      <c r="M3591" s="12"/>
      <c r="N3591" s="12"/>
      <c r="O3591" s="12"/>
      <c r="P3591" s="12"/>
      <c r="Q3591" s="12"/>
      <c r="R3591" s="12"/>
      <c r="S3591" s="12"/>
      <c r="T3591" s="12"/>
      <c r="U3591" s="12"/>
      <c r="V3591" s="12"/>
      <c r="W3591" s="12"/>
      <c r="X3591" s="12"/>
      <c r="Y3591" s="12"/>
      <c r="Z3591" s="12"/>
      <c r="AA3591" s="12"/>
    </row>
    <row r="3592" ht="26.25" customHeight="1">
      <c r="A3592" s="34" t="s">
        <v>7194</v>
      </c>
      <c r="B3592" s="35" t="s">
        <v>7195</v>
      </c>
      <c r="C3592" s="36">
        <v>4.0</v>
      </c>
      <c r="D3592" s="37">
        <v>160.0</v>
      </c>
      <c r="E3592" s="37">
        <v>7.0</v>
      </c>
      <c r="F3592" s="24" t="str">
        <f t="array" ref="F3592">"https://www.google.com/maps/search/?api=1&amp;query=" &amp; A3592 &amp; "," &amp; B3592</f>
        <v>https://www.google.com/maps/search/?api=1&amp;query=-30.89109808560740,-55.55485567237770</v>
      </c>
      <c r="G3592" s="25" t="str">
        <f t="array" ref="G3592">"https://earth.google.com/web/search/" &amp; A3592 &amp; "," &amp; B3592</f>
        <v>https://earth.google.com/web/search/-30.89109808560740,-55.55485567237770</v>
      </c>
      <c r="H3592" s="12"/>
      <c r="I3592" s="12"/>
      <c r="J3592" s="12"/>
      <c r="K3592" s="12"/>
      <c r="L3592" s="12"/>
      <c r="M3592" s="12"/>
      <c r="N3592" s="12"/>
      <c r="O3592" s="12"/>
      <c r="P3592" s="12"/>
      <c r="Q3592" s="12"/>
      <c r="R3592" s="12"/>
      <c r="S3592" s="12"/>
      <c r="T3592" s="12"/>
      <c r="U3592" s="12"/>
      <c r="V3592" s="12"/>
      <c r="W3592" s="12"/>
      <c r="X3592" s="12"/>
      <c r="Y3592" s="12"/>
      <c r="Z3592" s="12"/>
      <c r="AA3592" s="12"/>
    </row>
    <row r="3593" ht="26.25" customHeight="1">
      <c r="A3593" s="28" t="s">
        <v>7196</v>
      </c>
      <c r="B3593" s="29" t="s">
        <v>7197</v>
      </c>
      <c r="C3593" s="30">
        <v>4.0</v>
      </c>
      <c r="D3593" s="31">
        <v>160.0</v>
      </c>
      <c r="E3593" s="31">
        <v>8.0</v>
      </c>
      <c r="F3593" s="32" t="str">
        <f t="array" ref="F3593">"https://www.google.com/maps/search/?api=1&amp;query=" &amp; A3593 &amp; "," &amp; B3593</f>
        <v>https://www.google.com/maps/search/?api=1&amp;query=-3.08912411774842,-55.55494376101400</v>
      </c>
      <c r="G3593" s="33" t="str">
        <f t="array" ref="G3593">"https://earth.google.com/web/search/" &amp; A3593 &amp; "," &amp; B3593</f>
        <v>https://earth.google.com/web/search/-3.08912411774842,-55.55494376101400</v>
      </c>
      <c r="H3593" s="12"/>
      <c r="I3593" s="12"/>
      <c r="J3593" s="12"/>
      <c r="K3593" s="12"/>
      <c r="L3593" s="12"/>
      <c r="M3593" s="12"/>
      <c r="N3593" s="12"/>
      <c r="O3593" s="12"/>
      <c r="P3593" s="12"/>
      <c r="Q3593" s="12"/>
      <c r="R3593" s="12"/>
      <c r="S3593" s="12"/>
      <c r="T3593" s="12"/>
      <c r="U3593" s="12"/>
      <c r="V3593" s="12"/>
      <c r="W3593" s="12"/>
      <c r="X3593" s="12"/>
      <c r="Y3593" s="12"/>
      <c r="Z3593" s="12"/>
      <c r="AA3593" s="12"/>
    </row>
    <row r="3594" ht="26.25" customHeight="1">
      <c r="A3594" s="34" t="s">
        <v>7198</v>
      </c>
      <c r="B3594" s="35" t="s">
        <v>7199</v>
      </c>
      <c r="C3594" s="36">
        <v>4.0</v>
      </c>
      <c r="D3594" s="37">
        <v>160.0</v>
      </c>
      <c r="E3594" s="37">
        <v>9.0</v>
      </c>
      <c r="F3594" s="24" t="str">
        <f t="array" ref="F3594">"https://www.google.com/maps/search/?api=1&amp;query=" &amp; A3594 &amp; "," &amp; B3594</f>
        <v>https://www.google.com/maps/search/?api=1&amp;query=-30.89145849184750,-55.55511255247310</v>
      </c>
      <c r="G3594" s="25" t="str">
        <f t="array" ref="G3594">"https://earth.google.com/web/search/" &amp; A3594 &amp; "," &amp; B3594</f>
        <v>https://earth.google.com/web/search/-30.89145849184750,-55.55511255247310</v>
      </c>
      <c r="H3594" s="12"/>
      <c r="I3594" s="12"/>
      <c r="J3594" s="12"/>
      <c r="K3594" s="12"/>
      <c r="L3594" s="12"/>
      <c r="M3594" s="12"/>
      <c r="N3594" s="12"/>
      <c r="O3594" s="12"/>
      <c r="P3594" s="12"/>
      <c r="Q3594" s="12"/>
      <c r="R3594" s="12"/>
      <c r="S3594" s="12"/>
      <c r="T3594" s="12"/>
      <c r="U3594" s="12"/>
      <c r="V3594" s="12"/>
      <c r="W3594" s="12"/>
      <c r="X3594" s="12"/>
      <c r="Y3594" s="12"/>
      <c r="Z3594" s="12"/>
      <c r="AA3594" s="12"/>
    </row>
    <row r="3595" ht="26.25" customHeight="1">
      <c r="A3595" s="28" t="s">
        <v>7200</v>
      </c>
      <c r="B3595" s="29" t="s">
        <v>7201</v>
      </c>
      <c r="C3595" s="30">
        <v>4.0</v>
      </c>
      <c r="D3595" s="31">
        <v>160.0</v>
      </c>
      <c r="E3595" s="31">
        <v>10.0</v>
      </c>
      <c r="F3595" s="32" t="str">
        <f t="array" ref="F3595">"https://www.google.com/maps/search/?api=1&amp;query=" &amp; A3595 &amp; "," &amp; B3595</f>
        <v>https://www.google.com/maps/search/?api=1&amp;query=-3.08915772004075,-55.55518822555250</v>
      </c>
      <c r="G3595" s="33" t="str">
        <f t="array" ref="G3595">"https://earth.google.com/web/search/" &amp; A3595 &amp; "," &amp; B3595</f>
        <v>https://earth.google.com/web/search/-3.08915772004075,-55.55518822555250</v>
      </c>
      <c r="H3595" s="12"/>
      <c r="I3595" s="12"/>
      <c r="J3595" s="12"/>
      <c r="K3595" s="12"/>
      <c r="L3595" s="12"/>
      <c r="M3595" s="12"/>
      <c r="N3595" s="12"/>
      <c r="O3595" s="12"/>
      <c r="P3595" s="12"/>
      <c r="Q3595" s="12"/>
      <c r="R3595" s="12"/>
      <c r="S3595" s="12"/>
      <c r="T3595" s="12"/>
      <c r="U3595" s="12"/>
      <c r="V3595" s="12"/>
      <c r="W3595" s="12"/>
      <c r="X3595" s="12"/>
      <c r="Y3595" s="12"/>
      <c r="Z3595" s="12"/>
      <c r="AA3595" s="12"/>
    </row>
    <row r="3596" ht="26.25" customHeight="1">
      <c r="A3596" s="34" t="s">
        <v>7202</v>
      </c>
      <c r="B3596" s="35" t="s">
        <v>7203</v>
      </c>
      <c r="C3596" s="36">
        <v>4.0</v>
      </c>
      <c r="D3596" s="37">
        <v>161.0</v>
      </c>
      <c r="E3596" s="37">
        <v>1.0</v>
      </c>
      <c r="F3596" s="24" t="str">
        <f t="array" ref="F3596">"https://www.google.com/maps/search/?api=1&amp;query=" &amp; A3596 &amp; "," &amp; B3596</f>
        <v>https://www.google.com/maps/search/?api=1&amp;query=-3.08922675737228,-55.55422627903770</v>
      </c>
      <c r="G3596" s="25" t="str">
        <f t="array" ref="G3596">"https://earth.google.com/web/search/" &amp; A3596 &amp; "," &amp; B3596</f>
        <v>https://earth.google.com/web/search/-3.08922675737228,-55.55422627903770</v>
      </c>
      <c r="H3596" s="12"/>
      <c r="I3596" s="12"/>
      <c r="J3596" s="12"/>
      <c r="K3596" s="12"/>
      <c r="L3596" s="12"/>
      <c r="M3596" s="12"/>
      <c r="N3596" s="12"/>
      <c r="O3596" s="12"/>
      <c r="P3596" s="12"/>
      <c r="Q3596" s="12"/>
      <c r="R3596" s="12"/>
      <c r="S3596" s="12"/>
      <c r="T3596" s="12"/>
      <c r="U3596" s="12"/>
      <c r="V3596" s="12"/>
      <c r="W3596" s="12"/>
      <c r="X3596" s="12"/>
      <c r="Y3596" s="12"/>
      <c r="Z3596" s="12"/>
      <c r="AA3596" s="12"/>
    </row>
    <row r="3597" ht="26.25" customHeight="1">
      <c r="A3597" s="28" t="s">
        <v>7204</v>
      </c>
      <c r="B3597" s="29" t="s">
        <v>7205</v>
      </c>
      <c r="C3597" s="30">
        <v>4.0</v>
      </c>
      <c r="D3597" s="31">
        <v>161.0</v>
      </c>
      <c r="E3597" s="31">
        <v>2.0</v>
      </c>
      <c r="F3597" s="32" t="str">
        <f t="array" ref="F3597">"https://www.google.com/maps/search/?api=1&amp;query=" &amp; A3597 &amp; "," &amp; B3597</f>
        <v>https://www.google.com/maps/search/?api=1&amp;query=-30.89238837003480,-55.55398170190400</v>
      </c>
      <c r="G3597" s="33" t="str">
        <f t="array" ref="G3597">"https://earth.google.com/web/search/" &amp; A3597 &amp; "," &amp; B3597</f>
        <v>https://earth.google.com/web/search/-30.89238837003480,-55.55398170190400</v>
      </c>
      <c r="H3597" s="12"/>
      <c r="I3597" s="12"/>
      <c r="J3597" s="12"/>
      <c r="K3597" s="12"/>
      <c r="L3597" s="12"/>
      <c r="M3597" s="12"/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/>
      <c r="AA3597" s="12"/>
    </row>
    <row r="3598" ht="26.25" customHeight="1">
      <c r="A3598" s="34" t="s">
        <v>7206</v>
      </c>
      <c r="B3598" s="35" t="s">
        <v>7207</v>
      </c>
      <c r="C3598" s="36">
        <v>4.0</v>
      </c>
      <c r="D3598" s="37">
        <v>161.0</v>
      </c>
      <c r="E3598" s="37">
        <v>3.0</v>
      </c>
      <c r="F3598" s="24" t="str">
        <f t="array" ref="F3598">"https://www.google.com/maps/search/?api=1&amp;query=" &amp; A3598 &amp; "," &amp; B3598</f>
        <v>https://www.google.com/maps/search/?api=1&amp;query=-30.89247603542750,-55.55382898032880</v>
      </c>
      <c r="G3598" s="25" t="str">
        <f t="array" ref="G3598">"https://earth.google.com/web/search/" &amp; A3598 &amp; "," &amp; B3598</f>
        <v>https://earth.google.com/web/search/-30.89247603542750,-55.55382898032880</v>
      </c>
      <c r="H3598" s="12"/>
      <c r="I3598" s="12"/>
      <c r="J3598" s="12"/>
      <c r="K3598" s="12"/>
      <c r="L3598" s="12"/>
      <c r="M3598" s="12"/>
      <c r="N3598" s="12"/>
      <c r="O3598" s="12"/>
      <c r="P3598" s="12"/>
      <c r="Q3598" s="12"/>
      <c r="R3598" s="12"/>
      <c r="S3598" s="12"/>
      <c r="T3598" s="12"/>
      <c r="U3598" s="12"/>
      <c r="V3598" s="12"/>
      <c r="W3598" s="12"/>
      <c r="X3598" s="12"/>
      <c r="Y3598" s="12"/>
      <c r="Z3598" s="12"/>
      <c r="AA3598" s="12"/>
    </row>
    <row r="3599" ht="26.25" customHeight="1">
      <c r="A3599" s="28" t="s">
        <v>7208</v>
      </c>
      <c r="B3599" s="29" t="s">
        <v>7209</v>
      </c>
      <c r="C3599" s="30">
        <v>4.0</v>
      </c>
      <c r="D3599" s="31">
        <v>161.0</v>
      </c>
      <c r="E3599" s="31">
        <v>4.0</v>
      </c>
      <c r="F3599" s="32" t="str">
        <f t="array" ref="F3599">"https://www.google.com/maps/search/?api=1&amp;query=" &amp; A3599 &amp; "," &amp; B3599</f>
        <v>https://www.google.com/maps/search/?api=1&amp;query=-30.89241145149630,-55.55338164031470</v>
      </c>
      <c r="G3599" s="33" t="str">
        <f t="array" ref="G3599">"https://earth.google.com/web/search/" &amp; A3599 &amp; "," &amp; B3599</f>
        <v>https://earth.google.com/web/search/-30.89241145149630,-55.55338164031470</v>
      </c>
      <c r="H3599" s="12"/>
      <c r="I3599" s="12"/>
      <c r="J3599" s="12"/>
      <c r="K3599" s="12"/>
      <c r="L3599" s="12"/>
      <c r="M3599" s="12"/>
      <c r="N3599" s="12"/>
      <c r="O3599" s="12"/>
      <c r="P3599" s="12"/>
      <c r="Q3599" s="12"/>
      <c r="R3599" s="12"/>
      <c r="S3599" s="12"/>
      <c r="T3599" s="12"/>
      <c r="U3599" s="12"/>
      <c r="V3599" s="12"/>
      <c r="W3599" s="12"/>
      <c r="X3599" s="12"/>
      <c r="Y3599" s="12"/>
      <c r="Z3599" s="12"/>
      <c r="AA3599" s="12"/>
    </row>
    <row r="3600" ht="26.25" customHeight="1">
      <c r="A3600" s="34" t="s">
        <v>7210</v>
      </c>
      <c r="B3600" s="35" t="s">
        <v>7211</v>
      </c>
      <c r="C3600" s="36">
        <v>4.0</v>
      </c>
      <c r="D3600" s="37">
        <v>161.0</v>
      </c>
      <c r="E3600" s="37">
        <v>5.0</v>
      </c>
      <c r="F3600" s="24" t="str">
        <f t="array" ref="F3600">"https://www.google.com/maps/search/?api=1&amp;query=" &amp; A3600 &amp; "," &amp; B3600</f>
        <v>https://www.google.com/maps/search/?api=1&amp;query=-30.89233592154510,-55.55334048983580</v>
      </c>
      <c r="G3600" s="25" t="str">
        <f t="array" ref="G3600">"https://earth.google.com/web/search/" &amp; A3600 &amp; "," &amp; B3600</f>
        <v>https://earth.google.com/web/search/-30.89233592154510,-55.55334048983580</v>
      </c>
      <c r="H3600" s="12"/>
      <c r="I3600" s="12"/>
      <c r="J3600" s="12"/>
      <c r="K3600" s="12"/>
      <c r="L3600" s="12"/>
      <c r="M3600" s="12"/>
      <c r="N3600" s="12"/>
      <c r="O3600" s="12"/>
      <c r="P3600" s="12"/>
      <c r="Q3600" s="12"/>
      <c r="R3600" s="12"/>
      <c r="S3600" s="12"/>
      <c r="T3600" s="12"/>
      <c r="U3600" s="12"/>
      <c r="V3600" s="12"/>
      <c r="W3600" s="12"/>
      <c r="X3600" s="12"/>
      <c r="Y3600" s="12"/>
      <c r="Z3600" s="12"/>
      <c r="AA3600" s="12"/>
    </row>
    <row r="3601" ht="26.25" customHeight="1">
      <c r="A3601" s="28" t="s">
        <v>7212</v>
      </c>
      <c r="B3601" s="29" t="s">
        <v>7213</v>
      </c>
      <c r="C3601" s="30">
        <v>4.0</v>
      </c>
      <c r="D3601" s="31">
        <v>161.0</v>
      </c>
      <c r="E3601" s="31">
        <v>6.0</v>
      </c>
      <c r="F3601" s="32" t="str">
        <f t="array" ref="F3601">"https://www.google.com/maps/search/?api=1&amp;query=" &amp; A3601 &amp; "," &amp; B3601</f>
        <v>https://www.google.com/maps/search/?api=1&amp;query=-30.89179800952640,-55.55329818404770</v>
      </c>
      <c r="G3601" s="33" t="str">
        <f t="array" ref="G3601">"https://earth.google.com/web/search/" &amp; A3601 &amp; "," &amp; B3601</f>
        <v>https://earth.google.com/web/search/-30.89179800952640,-55.55329818404770</v>
      </c>
      <c r="H3601" s="12"/>
      <c r="I3601" s="12"/>
      <c r="J3601" s="12"/>
      <c r="K3601" s="12"/>
      <c r="L3601" s="12"/>
      <c r="M3601" s="12"/>
      <c r="N3601" s="12"/>
      <c r="O3601" s="12"/>
      <c r="P3601" s="12"/>
      <c r="Q3601" s="12"/>
      <c r="R3601" s="12"/>
      <c r="S3601" s="12"/>
      <c r="T3601" s="12"/>
      <c r="U3601" s="12"/>
      <c r="V3601" s="12"/>
      <c r="W3601" s="12"/>
      <c r="X3601" s="12"/>
      <c r="Y3601" s="12"/>
      <c r="Z3601" s="12"/>
      <c r="AA3601" s="12"/>
    </row>
    <row r="3602" ht="26.25" customHeight="1">
      <c r="A3602" s="34" t="s">
        <v>7214</v>
      </c>
      <c r="B3602" s="35" t="s">
        <v>7215</v>
      </c>
      <c r="C3602" s="36">
        <v>4.0</v>
      </c>
      <c r="D3602" s="37">
        <v>161.0</v>
      </c>
      <c r="E3602" s="37">
        <v>7.0</v>
      </c>
      <c r="F3602" s="24" t="str">
        <f t="array" ref="F3602">"https://www.google.com/maps/search/?api=1&amp;query=" &amp; A3602 &amp; "," &amp; B3602</f>
        <v>https://www.google.com/maps/search/?api=1&amp;query=-30.89174598845150,-55.55340351326030</v>
      </c>
      <c r="G3602" s="25" t="str">
        <f t="array" ref="G3602">"https://earth.google.com/web/search/" &amp; A3602 &amp; "," &amp; B3602</f>
        <v>https://earth.google.com/web/search/-30.89174598845150,-55.55340351326030</v>
      </c>
      <c r="H3602" s="12"/>
      <c r="I3602" s="12"/>
      <c r="J3602" s="12"/>
      <c r="K3602" s="12"/>
      <c r="L3602" s="12"/>
      <c r="M3602" s="12"/>
      <c r="N3602" s="12"/>
      <c r="O3602" s="12"/>
      <c r="P3602" s="12"/>
      <c r="Q3602" s="12"/>
      <c r="R3602" s="12"/>
      <c r="S3602" s="12"/>
      <c r="T3602" s="12"/>
      <c r="U3602" s="12"/>
      <c r="V3602" s="12"/>
      <c r="W3602" s="12"/>
      <c r="X3602" s="12"/>
      <c r="Y3602" s="12"/>
      <c r="Z3602" s="12"/>
      <c r="AA3602" s="12"/>
    </row>
    <row r="3603" ht="26.25" customHeight="1">
      <c r="A3603" s="28" t="s">
        <v>7216</v>
      </c>
      <c r="B3603" s="29" t="s">
        <v>7217</v>
      </c>
      <c r="C3603" s="30">
        <v>4.0</v>
      </c>
      <c r="D3603" s="31">
        <v>161.0</v>
      </c>
      <c r="E3603" s="31">
        <v>8.0</v>
      </c>
      <c r="F3603" s="32" t="str">
        <f t="array" ref="F3603">"https://www.google.com/maps/search/?api=1&amp;query=" &amp; A3603 &amp; "," &amp; B3603</f>
        <v>https://www.google.com/maps/search/?api=1&amp;query=-30.89161892238960,-55.55361536510000</v>
      </c>
      <c r="G3603" s="33" t="str">
        <f t="array" ref="G3603">"https://earth.google.com/web/search/" &amp; A3603 &amp; "," &amp; B3603</f>
        <v>https://earth.google.com/web/search/-30.89161892238960,-55.55361536510000</v>
      </c>
      <c r="H3603" s="12"/>
      <c r="I3603" s="12"/>
      <c r="J3603" s="12"/>
      <c r="K3603" s="12"/>
      <c r="L3603" s="12"/>
      <c r="M3603" s="12"/>
      <c r="N3603" s="12"/>
      <c r="O3603" s="12"/>
      <c r="P3603" s="12"/>
      <c r="Q3603" s="12"/>
      <c r="R3603" s="12"/>
      <c r="S3603" s="12"/>
      <c r="T3603" s="12"/>
      <c r="U3603" s="12"/>
      <c r="V3603" s="12"/>
      <c r="W3603" s="12"/>
      <c r="X3603" s="12"/>
      <c r="Y3603" s="12"/>
      <c r="Z3603" s="12"/>
      <c r="AA3603" s="12"/>
    </row>
    <row r="3604" ht="26.25" customHeight="1">
      <c r="A3604" s="34" t="s">
        <v>7218</v>
      </c>
      <c r="B3604" s="35" t="s">
        <v>7219</v>
      </c>
      <c r="C3604" s="36">
        <v>4.0</v>
      </c>
      <c r="D3604" s="37">
        <v>161.0</v>
      </c>
      <c r="E3604" s="37">
        <v>9.0</v>
      </c>
      <c r="F3604" s="24" t="str">
        <f t="array" ref="F3604">"https://www.google.com/maps/search/?api=1&amp;query=" &amp; A3604 &amp; "," &amp; B3604</f>
        <v>https://www.google.com/maps/search/?api=1&amp;query=-30.89157836343380,-55.55369748555630</v>
      </c>
      <c r="G3604" s="25" t="str">
        <f t="array" ref="G3604">"https://earth.google.com/web/search/" &amp; A3604 &amp; "," &amp; B3604</f>
        <v>https://earth.google.com/web/search/-30.89157836343380,-55.55369748555630</v>
      </c>
      <c r="H3604" s="12"/>
      <c r="I3604" s="12"/>
      <c r="J3604" s="12"/>
      <c r="K3604" s="12"/>
      <c r="L3604" s="12"/>
      <c r="M3604" s="12"/>
      <c r="N3604" s="12"/>
      <c r="O3604" s="12"/>
      <c r="P3604" s="12"/>
      <c r="Q3604" s="12"/>
      <c r="R3604" s="12"/>
      <c r="S3604" s="12"/>
      <c r="T3604" s="12"/>
      <c r="U3604" s="12"/>
      <c r="V3604" s="12"/>
      <c r="W3604" s="12"/>
      <c r="X3604" s="12"/>
      <c r="Y3604" s="12"/>
      <c r="Z3604" s="12"/>
      <c r="AA3604" s="12"/>
    </row>
    <row r="3605" ht="26.25" customHeight="1">
      <c r="A3605" s="28" t="s">
        <v>7220</v>
      </c>
      <c r="B3605" s="29" t="s">
        <v>7221</v>
      </c>
      <c r="C3605" s="30">
        <v>4.0</v>
      </c>
      <c r="D3605" s="31">
        <v>161.0</v>
      </c>
      <c r="E3605" s="31">
        <v>10.0</v>
      </c>
      <c r="F3605" s="32" t="str">
        <f t="array" ref="F3605">"https://www.google.com/maps/search/?api=1&amp;query=" &amp; A3605 &amp; "," &amp; B3605</f>
        <v>https://www.google.com/maps/search/?api=1&amp;query=-30.89153971107700,-55.55380465048970</v>
      </c>
      <c r="G3605" s="33" t="str">
        <f t="array" ref="G3605">"https://earth.google.com/web/search/" &amp; A3605 &amp; "," &amp; B3605</f>
        <v>https://earth.google.com/web/search/-30.89153971107700,-55.55380465048970</v>
      </c>
      <c r="H3605" s="12"/>
      <c r="I3605" s="12"/>
      <c r="J3605" s="12"/>
      <c r="K3605" s="12"/>
      <c r="L3605" s="12"/>
      <c r="M3605" s="12"/>
      <c r="N3605" s="12"/>
      <c r="O3605" s="12"/>
      <c r="P3605" s="12"/>
      <c r="Q3605" s="12"/>
      <c r="R3605" s="12"/>
      <c r="S3605" s="12"/>
      <c r="T3605" s="12"/>
      <c r="U3605" s="12"/>
      <c r="V3605" s="12"/>
      <c r="W3605" s="12"/>
      <c r="X3605" s="12"/>
      <c r="Y3605" s="12"/>
      <c r="Z3605" s="12"/>
      <c r="AA3605" s="12"/>
    </row>
    <row r="3606" ht="26.25" customHeight="1">
      <c r="A3606" s="34" t="s">
        <v>7222</v>
      </c>
      <c r="B3606" s="35" t="s">
        <v>7223</v>
      </c>
      <c r="C3606" s="36">
        <v>4.0</v>
      </c>
      <c r="D3606" s="37">
        <v>161.0</v>
      </c>
      <c r="E3606" s="37">
        <v>11.0</v>
      </c>
      <c r="F3606" s="24" t="str">
        <f t="array" ref="F3606">"https://www.google.com/maps/search/?api=1&amp;query=" &amp; A3606 &amp; "," &amp; B3606</f>
        <v>https://www.google.com/maps/search/?api=1&amp;query=-30.89154005233050,-55.55392370847740</v>
      </c>
      <c r="G3606" s="25" t="str">
        <f t="array" ref="G3606">"https://earth.google.com/web/search/" &amp; A3606 &amp; "," &amp; B3606</f>
        <v>https://earth.google.com/web/search/-30.89154005233050,-55.55392370847740</v>
      </c>
      <c r="H3606" s="12"/>
      <c r="I3606" s="12"/>
      <c r="J3606" s="12"/>
      <c r="K3606" s="12"/>
      <c r="L3606" s="12"/>
      <c r="M3606" s="12"/>
      <c r="N3606" s="12"/>
      <c r="O3606" s="12"/>
      <c r="P3606" s="12"/>
      <c r="Q3606" s="12"/>
      <c r="R3606" s="12"/>
      <c r="S3606" s="12"/>
      <c r="T3606" s="12"/>
      <c r="U3606" s="12"/>
      <c r="V3606" s="12"/>
      <c r="W3606" s="12"/>
      <c r="X3606" s="12"/>
      <c r="Y3606" s="12"/>
      <c r="Z3606" s="12"/>
      <c r="AA3606" s="12"/>
    </row>
    <row r="3607" ht="26.25" customHeight="1">
      <c r="A3607" s="28" t="s">
        <v>7224</v>
      </c>
      <c r="B3607" s="29" t="s">
        <v>7225</v>
      </c>
      <c r="C3607" s="30">
        <v>4.0</v>
      </c>
      <c r="D3607" s="31">
        <v>161.0</v>
      </c>
      <c r="E3607" s="31">
        <v>12.0</v>
      </c>
      <c r="F3607" s="32" t="str">
        <f t="array" ref="F3607">"https://www.google.com/maps/search/?api=1&amp;query=" &amp; A3607 &amp; "," &amp; B3607</f>
        <v>https://www.google.com/maps/search/?api=1&amp;query=-30.89195962477780,-55.55419323002570</v>
      </c>
      <c r="G3607" s="33" t="str">
        <f t="array" ref="G3607">"https://earth.google.com/web/search/" &amp; A3607 &amp; "," &amp; B3607</f>
        <v>https://earth.google.com/web/search/-30.89195962477780,-55.55419323002570</v>
      </c>
      <c r="H3607" s="12"/>
      <c r="I3607" s="12"/>
      <c r="J3607" s="12"/>
      <c r="K3607" s="12"/>
      <c r="L3607" s="12"/>
      <c r="M3607" s="12"/>
      <c r="N3607" s="12"/>
      <c r="O3607" s="12"/>
      <c r="P3607" s="12"/>
      <c r="Q3607" s="12"/>
      <c r="R3607" s="12"/>
      <c r="S3607" s="12"/>
      <c r="T3607" s="12"/>
      <c r="U3607" s="12"/>
      <c r="V3607" s="12"/>
      <c r="W3607" s="12"/>
      <c r="X3607" s="12"/>
      <c r="Y3607" s="12"/>
      <c r="Z3607" s="12"/>
      <c r="AA3607" s="12"/>
    </row>
    <row r="3608" ht="26.25" customHeight="1">
      <c r="A3608" s="34" t="s">
        <v>7226</v>
      </c>
      <c r="B3608" s="35" t="s">
        <v>7227</v>
      </c>
      <c r="C3608" s="36">
        <v>4.0</v>
      </c>
      <c r="D3608" s="37">
        <v>161.0</v>
      </c>
      <c r="E3608" s="37">
        <v>13.0</v>
      </c>
      <c r="F3608" s="24" t="str">
        <f t="array" ref="F3608">"https://www.google.com/maps/search/?api=1&amp;query=" &amp; A3608 &amp; "," &amp; B3608</f>
        <v>https://www.google.com/maps/search/?api=1&amp;query=-0.30892083526903,-55.55426444793200</v>
      </c>
      <c r="G3608" s="25" t="str">
        <f t="array" ref="G3608">"https://earth.google.com/web/search/" &amp; A3608 &amp; "," &amp; B3608</f>
        <v>https://earth.google.com/web/search/-0.30892083526903,-55.55426444793200</v>
      </c>
      <c r="H3608" s="12"/>
      <c r="I3608" s="12"/>
      <c r="J3608" s="12"/>
      <c r="K3608" s="12"/>
      <c r="L3608" s="12"/>
      <c r="M3608" s="12"/>
      <c r="N3608" s="12"/>
      <c r="O3608" s="12"/>
      <c r="P3608" s="12"/>
      <c r="Q3608" s="12"/>
      <c r="R3608" s="12"/>
      <c r="S3608" s="12"/>
      <c r="T3608" s="12"/>
      <c r="U3608" s="12"/>
      <c r="V3608" s="12"/>
      <c r="W3608" s="12"/>
      <c r="X3608" s="12"/>
      <c r="Y3608" s="12"/>
      <c r="Z3608" s="12"/>
      <c r="AA3608" s="12"/>
    </row>
    <row r="3609" ht="26.25" customHeight="1">
      <c r="A3609" s="28" t="s">
        <v>7228</v>
      </c>
      <c r="B3609" s="29" t="s">
        <v>7229</v>
      </c>
      <c r="C3609" s="30">
        <v>4.0</v>
      </c>
      <c r="D3609" s="31">
        <v>161.0</v>
      </c>
      <c r="E3609" s="31">
        <v>14.0</v>
      </c>
      <c r="F3609" s="32" t="str">
        <f t="array" ref="F3609">"https://www.google.com/maps/search/?api=1&amp;query=" &amp; A3609 &amp; "," &amp; B3609</f>
        <v>https://www.google.com/maps/search/?api=1&amp;query=-30.89215840607140,-5.55543027863378</v>
      </c>
      <c r="G3609" s="33" t="str">
        <f t="array" ref="G3609">"https://earth.google.com/web/search/" &amp; A3609 &amp; "," &amp; B3609</f>
        <v>https://earth.google.com/web/search/-30.89215840607140,-5.55543027863378</v>
      </c>
      <c r="H3609" s="12"/>
      <c r="I3609" s="12"/>
      <c r="J3609" s="12"/>
      <c r="K3609" s="12"/>
      <c r="L3609" s="12"/>
      <c r="M3609" s="12"/>
      <c r="N3609" s="12"/>
      <c r="O3609" s="12"/>
      <c r="P3609" s="12"/>
      <c r="Q3609" s="12"/>
      <c r="R3609" s="12"/>
      <c r="S3609" s="12"/>
      <c r="T3609" s="12"/>
      <c r="U3609" s="12"/>
      <c r="V3609" s="12"/>
      <c r="W3609" s="12"/>
      <c r="X3609" s="12"/>
      <c r="Y3609" s="12"/>
      <c r="Z3609" s="12"/>
      <c r="AA3609" s="12"/>
    </row>
    <row r="3610" ht="26.25" customHeight="1">
      <c r="A3610" s="34" t="s">
        <v>7230</v>
      </c>
      <c r="B3610" s="35" t="s">
        <v>7231</v>
      </c>
      <c r="C3610" s="36">
        <v>4.0</v>
      </c>
      <c r="D3610" s="37">
        <v>161.0</v>
      </c>
      <c r="E3610" s="37">
        <v>15.0</v>
      </c>
      <c r="F3610" s="24" t="str">
        <f t="array" ref="F3610">"https://www.google.com/maps/search/?api=1&amp;query=" &amp; A3610 &amp; "," &amp; B3610</f>
        <v>https://www.google.com/maps/search/?api=1&amp;query=-30.89221458175460,-55.55436660603610</v>
      </c>
      <c r="G3610" s="25" t="str">
        <f t="array" ref="G3610">"https://earth.google.com/web/search/" &amp; A3610 &amp; "," &amp; B3610</f>
        <v>https://earth.google.com/web/search/-30.89221458175460,-55.55436660603610</v>
      </c>
      <c r="H3610" s="12"/>
      <c r="I3610" s="12"/>
      <c r="J3610" s="12"/>
      <c r="K3610" s="12"/>
      <c r="L3610" s="12"/>
      <c r="M3610" s="12"/>
      <c r="N3610" s="12"/>
      <c r="O3610" s="12"/>
      <c r="P3610" s="12"/>
      <c r="Q3610" s="12"/>
      <c r="R3610" s="12"/>
      <c r="S3610" s="12"/>
      <c r="T3610" s="12"/>
      <c r="U3610" s="12"/>
      <c r="V3610" s="12"/>
      <c r="W3610" s="12"/>
      <c r="X3610" s="12"/>
      <c r="Y3610" s="12"/>
      <c r="Z3610" s="12"/>
      <c r="AA3610" s="12"/>
    </row>
    <row r="3611" ht="26.25" customHeight="1">
      <c r="A3611" s="28" t="s">
        <v>7232</v>
      </c>
      <c r="B3611" s="29" t="s">
        <v>7233</v>
      </c>
      <c r="C3611" s="30">
        <v>4.0</v>
      </c>
      <c r="D3611" s="31">
        <v>162.0</v>
      </c>
      <c r="E3611" s="31">
        <v>1.0</v>
      </c>
      <c r="F3611" s="32" t="str">
        <f t="array" ref="F3611">"https://www.google.com/maps/search/?api=1&amp;query=" &amp; A3611 &amp; "," &amp; B3611</f>
        <v>https://www.google.com/maps/search/?api=1&amp;query=-30.89289269873760,-5.55530421242467</v>
      </c>
      <c r="G3611" s="33" t="str">
        <f t="array" ref="G3611">"https://earth.google.com/web/search/" &amp; A3611 &amp; "," &amp; B3611</f>
        <v>https://earth.google.com/web/search/-30.89289269873760,-5.55530421242467</v>
      </c>
      <c r="H3611" s="12"/>
      <c r="I3611" s="12"/>
      <c r="J3611" s="12"/>
      <c r="K3611" s="12"/>
      <c r="L3611" s="12"/>
      <c r="M3611" s="12"/>
      <c r="N3611" s="12"/>
      <c r="O3611" s="12"/>
      <c r="P3611" s="12"/>
      <c r="Q3611" s="12"/>
      <c r="R3611" s="12"/>
      <c r="S3611" s="12"/>
      <c r="T3611" s="12"/>
      <c r="U3611" s="12"/>
      <c r="V3611" s="12"/>
      <c r="W3611" s="12"/>
      <c r="X3611" s="12"/>
      <c r="Y3611" s="12"/>
      <c r="Z3611" s="12"/>
      <c r="AA3611" s="12"/>
    </row>
    <row r="3612" ht="26.25" customHeight="1">
      <c r="A3612" s="34" t="s">
        <v>7234</v>
      </c>
      <c r="B3612" s="35" t="s">
        <v>7235</v>
      </c>
      <c r="C3612" s="36">
        <v>4.0</v>
      </c>
      <c r="D3612" s="37">
        <v>162.0</v>
      </c>
      <c r="E3612" s="37">
        <v>2.0</v>
      </c>
      <c r="F3612" s="24" t="str">
        <f t="array" ref="F3612">"https://www.google.com/maps/search/?api=1&amp;query=" &amp; A3612 &amp; "," &amp; B3612</f>
        <v>https://www.google.com/maps/search/?api=1&amp;query=-30.89297098300800,-55.55289995876820</v>
      </c>
      <c r="G3612" s="25" t="str">
        <f t="array" ref="G3612">"https://earth.google.com/web/search/" &amp; A3612 &amp; "," &amp; B3612</f>
        <v>https://earth.google.com/web/search/-30.89297098300800,-55.55289995876820</v>
      </c>
      <c r="H3612" s="12"/>
      <c r="I3612" s="12"/>
      <c r="J3612" s="12"/>
      <c r="K3612" s="12"/>
      <c r="L3612" s="12"/>
      <c r="M3612" s="12"/>
      <c r="N3612" s="12"/>
      <c r="O3612" s="12"/>
      <c r="P3612" s="12"/>
      <c r="Q3612" s="12"/>
      <c r="R3612" s="12"/>
      <c r="S3612" s="12"/>
      <c r="T3612" s="12"/>
      <c r="U3612" s="12"/>
      <c r="V3612" s="12"/>
      <c r="W3612" s="12"/>
      <c r="X3612" s="12"/>
      <c r="Y3612" s="12"/>
      <c r="Z3612" s="12"/>
      <c r="AA3612" s="12"/>
    </row>
    <row r="3613" ht="26.25" customHeight="1">
      <c r="A3613" s="28" t="s">
        <v>7236</v>
      </c>
      <c r="B3613" s="29" t="s">
        <v>7237</v>
      </c>
      <c r="C3613" s="30">
        <v>4.0</v>
      </c>
      <c r="D3613" s="31">
        <v>162.0</v>
      </c>
      <c r="E3613" s="31">
        <v>3.0</v>
      </c>
      <c r="F3613" s="32" t="str">
        <f t="array" ref="F3613">"https://www.google.com/maps/search/?api=1&amp;query=" &amp; A3613 &amp; "," &amp; B3613</f>
        <v>https://www.google.com/maps/search/?api=1&amp;query=-30.89305201670200,-55.55271549943050</v>
      </c>
      <c r="G3613" s="33" t="str">
        <f t="array" ref="G3613">"https://earth.google.com/web/search/" &amp; A3613 &amp; "," &amp; B3613</f>
        <v>https://earth.google.com/web/search/-30.89305201670200,-55.55271549943050</v>
      </c>
      <c r="H3613" s="12"/>
      <c r="I3613" s="12"/>
      <c r="J3613" s="12"/>
      <c r="K3613" s="12"/>
      <c r="L3613" s="12"/>
      <c r="M3613" s="12"/>
      <c r="N3613" s="12"/>
      <c r="O3613" s="12"/>
      <c r="P3613" s="12"/>
      <c r="Q3613" s="12"/>
      <c r="R3613" s="12"/>
      <c r="S3613" s="12"/>
      <c r="T3613" s="12"/>
      <c r="U3613" s="12"/>
      <c r="V3613" s="12"/>
      <c r="W3613" s="12"/>
      <c r="X3613" s="12"/>
      <c r="Y3613" s="12"/>
      <c r="Z3613" s="12"/>
      <c r="AA3613" s="12"/>
    </row>
    <row r="3614" ht="26.25" customHeight="1">
      <c r="A3614" s="34" t="s">
        <v>7238</v>
      </c>
      <c r="B3614" s="35" t="s">
        <v>7239</v>
      </c>
      <c r="C3614" s="36">
        <v>4.0</v>
      </c>
      <c r="D3614" s="37">
        <v>162.0</v>
      </c>
      <c r="E3614" s="37">
        <v>4.0</v>
      </c>
      <c r="F3614" s="24" t="str">
        <f t="array" ref="F3614">"https://www.google.com/maps/search/?api=1&amp;query=" &amp; A3614 &amp; "," &amp; B3614</f>
        <v>https://www.google.com/maps/search/?api=1&amp;query=-30.89303034465280,-55.55258537639080</v>
      </c>
      <c r="G3614" s="25" t="str">
        <f t="array" ref="G3614">"https://earth.google.com/web/search/" &amp; A3614 &amp; "," &amp; B3614</f>
        <v>https://earth.google.com/web/search/-30.89303034465280,-55.55258537639080</v>
      </c>
      <c r="H3614" s="12"/>
      <c r="I3614" s="12"/>
      <c r="J3614" s="12"/>
      <c r="K3614" s="12"/>
      <c r="L3614" s="12"/>
      <c r="M3614" s="12"/>
      <c r="N3614" s="12"/>
      <c r="O3614" s="12"/>
      <c r="P3614" s="12"/>
      <c r="Q3614" s="12"/>
      <c r="R3614" s="12"/>
      <c r="S3614" s="12"/>
      <c r="T3614" s="12"/>
      <c r="U3614" s="12"/>
      <c r="V3614" s="12"/>
      <c r="W3614" s="12"/>
      <c r="X3614" s="12"/>
      <c r="Y3614" s="12"/>
      <c r="Z3614" s="12"/>
      <c r="AA3614" s="12"/>
    </row>
    <row r="3615" ht="26.25" customHeight="1">
      <c r="A3615" s="28" t="s">
        <v>7240</v>
      </c>
      <c r="B3615" s="29" t="s">
        <v>7241</v>
      </c>
      <c r="C3615" s="30">
        <v>4.0</v>
      </c>
      <c r="D3615" s="31">
        <v>162.0</v>
      </c>
      <c r="E3615" s="31">
        <v>5.0</v>
      </c>
      <c r="F3615" s="32" t="str">
        <f t="array" ref="F3615">"https://www.google.com/maps/search/?api=1&amp;query=" &amp; A3615 &amp; "," &amp; B3615</f>
        <v>https://www.google.com/maps/search/?api=1&amp;query=-30.89287889736570,-55.55248633437270</v>
      </c>
      <c r="G3615" s="33" t="str">
        <f t="array" ref="G3615">"https://earth.google.com/web/search/" &amp; A3615 &amp; "," &amp; B3615</f>
        <v>https://earth.google.com/web/search/-30.89287889736570,-55.55248633437270</v>
      </c>
      <c r="H3615" s="12"/>
      <c r="I3615" s="12"/>
      <c r="J3615" s="12"/>
      <c r="K3615" s="12"/>
      <c r="L3615" s="12"/>
      <c r="M3615" s="12"/>
      <c r="N3615" s="12"/>
      <c r="O3615" s="12"/>
      <c r="P3615" s="12"/>
      <c r="Q3615" s="12"/>
      <c r="R3615" s="12"/>
      <c r="S3615" s="12"/>
      <c r="T3615" s="12"/>
      <c r="U3615" s="12"/>
      <c r="V3615" s="12"/>
      <c r="W3615" s="12"/>
      <c r="X3615" s="12"/>
      <c r="Y3615" s="12"/>
      <c r="Z3615" s="12"/>
      <c r="AA3615" s="12"/>
    </row>
    <row r="3616" ht="26.25" customHeight="1">
      <c r="A3616" s="34" t="s">
        <v>7242</v>
      </c>
      <c r="B3616" s="35" t="s">
        <v>7243</v>
      </c>
      <c r="C3616" s="36">
        <v>4.0</v>
      </c>
      <c r="D3616" s="37">
        <v>162.0</v>
      </c>
      <c r="E3616" s="37">
        <v>6.0</v>
      </c>
      <c r="F3616" s="24" t="str">
        <f t="array" ref="F3616">"https://www.google.com/maps/search/?api=1&amp;query=" &amp; A3616 &amp; "," &amp; B3616</f>
        <v>https://www.google.com/maps/search/?api=1&amp;query=-30.89267233864520,-55.55234250026960</v>
      </c>
      <c r="G3616" s="25" t="str">
        <f t="array" ref="G3616">"https://earth.google.com/web/search/" &amp; A3616 &amp; "," &amp; B3616</f>
        <v>https://earth.google.com/web/search/-30.89267233864520,-55.55234250026960</v>
      </c>
      <c r="H3616" s="12"/>
      <c r="I3616" s="12"/>
      <c r="J3616" s="12"/>
      <c r="K3616" s="12"/>
      <c r="L3616" s="12"/>
      <c r="M3616" s="12"/>
      <c r="N3616" s="12"/>
      <c r="O3616" s="12"/>
      <c r="P3616" s="12"/>
      <c r="Q3616" s="12"/>
      <c r="R3616" s="12"/>
      <c r="S3616" s="12"/>
      <c r="T3616" s="12"/>
      <c r="U3616" s="12"/>
      <c r="V3616" s="12"/>
      <c r="W3616" s="12"/>
      <c r="X3616" s="12"/>
      <c r="Y3616" s="12"/>
      <c r="Z3616" s="12"/>
      <c r="AA3616" s="12"/>
    </row>
    <row r="3617" ht="26.25" customHeight="1">
      <c r="A3617" s="28" t="s">
        <v>7244</v>
      </c>
      <c r="B3617" s="29" t="s">
        <v>7245</v>
      </c>
      <c r="C3617" s="30">
        <v>4.0</v>
      </c>
      <c r="D3617" s="31">
        <v>162.0</v>
      </c>
      <c r="E3617" s="31">
        <v>7.0</v>
      </c>
      <c r="F3617" s="32" t="str">
        <f t="array" ref="F3617">"https://www.google.com/maps/search/?api=1&amp;query=" &amp; A3617 &amp; "," &amp; B3617</f>
        <v>https://www.google.com/maps/search/?api=1&amp;query=-30.89260085699490,-5.55522555328523</v>
      </c>
      <c r="G3617" s="33" t="str">
        <f t="array" ref="G3617">"https://earth.google.com/web/search/" &amp; A3617 &amp; "," &amp; B3617</f>
        <v>https://earth.google.com/web/search/-30.89260085699490,-5.55522555328523</v>
      </c>
      <c r="H3617" s="12"/>
      <c r="I3617" s="12"/>
      <c r="J3617" s="12"/>
      <c r="K3617" s="12"/>
      <c r="L3617" s="12"/>
      <c r="M3617" s="12"/>
      <c r="N3617" s="12"/>
      <c r="O3617" s="12"/>
      <c r="P3617" s="12"/>
      <c r="Q3617" s="12"/>
      <c r="R3617" s="12"/>
      <c r="S3617" s="12"/>
      <c r="T3617" s="12"/>
      <c r="U3617" s="12"/>
      <c r="V3617" s="12"/>
      <c r="W3617" s="12"/>
      <c r="X3617" s="12"/>
      <c r="Y3617" s="12"/>
      <c r="Z3617" s="12"/>
      <c r="AA3617" s="12"/>
    </row>
    <row r="3618" ht="26.25" customHeight="1">
      <c r="A3618" s="34" t="s">
        <v>7246</v>
      </c>
      <c r="B3618" s="35" t="s">
        <v>7247</v>
      </c>
      <c r="C3618" s="36">
        <v>4.0</v>
      </c>
      <c r="D3618" s="37">
        <v>162.0</v>
      </c>
      <c r="E3618" s="37">
        <v>8.0</v>
      </c>
      <c r="F3618" s="24" t="str">
        <f t="array" ref="F3618">"https://www.google.com/maps/search/?api=1&amp;query=" &amp; A3618 &amp; "," &amp; B3618</f>
        <v>https://www.google.com/maps/search/?api=1&amp;query=-30.89225306139450,-55.55242507261990</v>
      </c>
      <c r="G3618" s="25" t="str">
        <f t="array" ref="G3618">"https://earth.google.com/web/search/" &amp; A3618 &amp; "," &amp; B3618</f>
        <v>https://earth.google.com/web/search/-30.89225306139450,-55.55242507261990</v>
      </c>
      <c r="H3618" s="12"/>
      <c r="I3618" s="12"/>
      <c r="J3618" s="12"/>
      <c r="K3618" s="12"/>
      <c r="L3618" s="12"/>
      <c r="M3618" s="12"/>
      <c r="N3618" s="12"/>
      <c r="O3618" s="12"/>
      <c r="P3618" s="12"/>
      <c r="Q3618" s="12"/>
      <c r="R3618" s="12"/>
      <c r="S3618" s="12"/>
      <c r="T3618" s="12"/>
      <c r="U3618" s="12"/>
      <c r="V3618" s="12"/>
      <c r="W3618" s="12"/>
      <c r="X3618" s="12"/>
      <c r="Y3618" s="12"/>
      <c r="Z3618" s="12"/>
      <c r="AA3618" s="12"/>
    </row>
    <row r="3619" ht="26.25" customHeight="1">
      <c r="A3619" s="28" t="s">
        <v>7248</v>
      </c>
      <c r="B3619" s="29" t="s">
        <v>7249</v>
      </c>
      <c r="C3619" s="30">
        <v>4.0</v>
      </c>
      <c r="D3619" s="31">
        <v>162.0</v>
      </c>
      <c r="E3619" s="31">
        <v>9.0</v>
      </c>
      <c r="F3619" s="32" t="str">
        <f t="array" ref="F3619">"https://www.google.com/maps/search/?api=1&amp;query=" &amp; A3619 &amp; "," &amp; B3619</f>
        <v>https://www.google.com/maps/search/?api=1&amp;query=-30.89221043268990,-5.55525378814758</v>
      </c>
      <c r="G3619" s="33" t="str">
        <f t="array" ref="G3619">"https://earth.google.com/web/search/" &amp; A3619 &amp; "," &amp; B3619</f>
        <v>https://earth.google.com/web/search/-30.89221043268990,-5.55525378814758</v>
      </c>
      <c r="H3619" s="12"/>
      <c r="I3619" s="12"/>
      <c r="J3619" s="12"/>
      <c r="K3619" s="12"/>
      <c r="L3619" s="12"/>
      <c r="M3619" s="12"/>
      <c r="N3619" s="12"/>
      <c r="O3619" s="12"/>
      <c r="P3619" s="12"/>
      <c r="Q3619" s="12"/>
      <c r="R3619" s="12"/>
      <c r="S3619" s="12"/>
      <c r="T3619" s="12"/>
      <c r="U3619" s="12"/>
      <c r="V3619" s="12"/>
      <c r="W3619" s="12"/>
      <c r="X3619" s="12"/>
      <c r="Y3619" s="12"/>
      <c r="Z3619" s="12"/>
      <c r="AA3619" s="12"/>
    </row>
    <row r="3620" ht="26.25" customHeight="1">
      <c r="A3620" s="34" t="s">
        <v>7250</v>
      </c>
      <c r="B3620" s="35" t="s">
        <v>7251</v>
      </c>
      <c r="C3620" s="36">
        <v>4.0</v>
      </c>
      <c r="D3620" s="37">
        <v>162.0</v>
      </c>
      <c r="E3620" s="37">
        <v>10.0</v>
      </c>
      <c r="F3620" s="24" t="str">
        <f t="array" ref="F3620">"https://www.google.com/maps/search/?api=1&amp;query=" &amp; A3620 &amp; "," &amp; B3620</f>
        <v>https://www.google.com/maps/search/?api=1&amp;query=-30.89200040229820,-55.55292423079060</v>
      </c>
      <c r="G3620" s="25" t="str">
        <f t="array" ref="G3620">"https://earth.google.com/web/search/" &amp; A3620 &amp; "," &amp; B3620</f>
        <v>https://earth.google.com/web/search/-30.89200040229820,-55.55292423079060</v>
      </c>
      <c r="H3620" s="12"/>
      <c r="I3620" s="12"/>
      <c r="J3620" s="12"/>
      <c r="K3620" s="12"/>
      <c r="L3620" s="12"/>
      <c r="M3620" s="12"/>
      <c r="N3620" s="12"/>
      <c r="O3620" s="12"/>
      <c r="P3620" s="12"/>
      <c r="Q3620" s="12"/>
      <c r="R3620" s="12"/>
      <c r="S3620" s="12"/>
      <c r="T3620" s="12"/>
      <c r="U3620" s="12"/>
      <c r="V3620" s="12"/>
      <c r="W3620" s="12"/>
      <c r="X3620" s="12"/>
      <c r="Y3620" s="12"/>
      <c r="Z3620" s="12"/>
      <c r="AA3620" s="12"/>
    </row>
    <row r="3621" ht="26.25" customHeight="1">
      <c r="A3621" s="28" t="s">
        <v>7252</v>
      </c>
      <c r="B3621" s="29" t="s">
        <v>7253</v>
      </c>
      <c r="C3621" s="30">
        <v>4.0</v>
      </c>
      <c r="D3621" s="31">
        <v>162.0</v>
      </c>
      <c r="E3621" s="31">
        <v>11.0</v>
      </c>
      <c r="F3621" s="32" t="str">
        <f t="array" ref="F3621">"https://www.google.com/maps/search/?api=1&amp;query=" &amp; A3621 &amp; "," &amp; B3621</f>
        <v>https://www.google.com/maps/search/?api=1&amp;query=-30.89209402194860,-5.55530281998591</v>
      </c>
      <c r="G3621" s="33" t="str">
        <f t="array" ref="G3621">"https://earth.google.com/web/search/" &amp; A3621 &amp; "," &amp; B3621</f>
        <v>https://earth.google.com/web/search/-30.89209402194860,-5.55530281998591</v>
      </c>
      <c r="H3621" s="12"/>
      <c r="I3621" s="12"/>
      <c r="J3621" s="12"/>
      <c r="K3621" s="12"/>
      <c r="L3621" s="12"/>
      <c r="M3621" s="12"/>
      <c r="N3621" s="12"/>
      <c r="O3621" s="12"/>
      <c r="P3621" s="12"/>
      <c r="Q3621" s="12"/>
      <c r="R3621" s="12"/>
      <c r="S3621" s="12"/>
      <c r="T3621" s="12"/>
      <c r="U3621" s="12"/>
      <c r="V3621" s="12"/>
      <c r="W3621" s="12"/>
      <c r="X3621" s="12"/>
      <c r="Y3621" s="12"/>
      <c r="Z3621" s="12"/>
      <c r="AA3621" s="12"/>
    </row>
    <row r="3622" ht="26.25" customHeight="1">
      <c r="A3622" s="34" t="s">
        <v>7254</v>
      </c>
      <c r="B3622" s="35" t="s">
        <v>7255</v>
      </c>
      <c r="C3622" s="36">
        <v>4.0</v>
      </c>
      <c r="D3622" s="37">
        <v>162.0</v>
      </c>
      <c r="E3622" s="37">
        <v>12.0</v>
      </c>
      <c r="F3622" s="24" t="str">
        <f t="array" ref="F3622">"https://www.google.com/maps/search/?api=1&amp;query=" &amp; A3622 &amp; "," &amp; B3622</f>
        <v>https://www.google.com/maps/search/?api=1&amp;query=-30.89215500305510,-55.55307009935460</v>
      </c>
      <c r="G3622" s="25" t="str">
        <f t="array" ref="G3622">"https://earth.google.com/web/search/" &amp; A3622 &amp; "," &amp; B3622</f>
        <v>https://earth.google.com/web/search/-30.89215500305510,-55.55307009935460</v>
      </c>
      <c r="H3622" s="12"/>
      <c r="I3622" s="12"/>
      <c r="J3622" s="12"/>
      <c r="K3622" s="12"/>
      <c r="L3622" s="12"/>
      <c r="M3622" s="12"/>
      <c r="N3622" s="12"/>
      <c r="O3622" s="12"/>
      <c r="P3622" s="12"/>
      <c r="Q3622" s="12"/>
      <c r="R3622" s="12"/>
      <c r="S3622" s="12"/>
      <c r="T3622" s="12"/>
      <c r="U3622" s="12"/>
      <c r="V3622" s="12"/>
      <c r="W3622" s="12"/>
      <c r="X3622" s="12"/>
      <c r="Y3622" s="12"/>
      <c r="Z3622" s="12"/>
      <c r="AA3622" s="12"/>
    </row>
    <row r="3623" ht="26.25" customHeight="1">
      <c r="A3623" s="28" t="s">
        <v>7256</v>
      </c>
      <c r="B3623" s="29" t="s">
        <v>7257</v>
      </c>
      <c r="C3623" s="30">
        <v>4.0</v>
      </c>
      <c r="D3623" s="31">
        <v>162.0</v>
      </c>
      <c r="E3623" s="31">
        <v>13.0</v>
      </c>
      <c r="F3623" s="32" t="str">
        <f t="array" ref="F3623">"https://www.google.com/maps/search/?api=1&amp;query=" &amp; A3623 &amp; "," &amp; B3623</f>
        <v>https://www.google.com/maps/search/?api=1&amp;query=-30.89226804230980,-55.55313224430340</v>
      </c>
      <c r="G3623" s="33" t="str">
        <f t="array" ref="G3623">"https://earth.google.com/web/search/" &amp; A3623 &amp; "," &amp; B3623</f>
        <v>https://earth.google.com/web/search/-30.89226804230980,-55.55313224430340</v>
      </c>
      <c r="H3623" s="12"/>
      <c r="I3623" s="12"/>
      <c r="J3623" s="12"/>
      <c r="K3623" s="12"/>
      <c r="L3623" s="12"/>
      <c r="M3623" s="12"/>
      <c r="N3623" s="12"/>
      <c r="O3623" s="12"/>
      <c r="P3623" s="12"/>
      <c r="Q3623" s="12"/>
      <c r="R3623" s="12"/>
      <c r="S3623" s="12"/>
      <c r="T3623" s="12"/>
      <c r="U3623" s="12"/>
      <c r="V3623" s="12"/>
      <c r="W3623" s="12"/>
      <c r="X3623" s="12"/>
      <c r="Y3623" s="12"/>
      <c r="Z3623" s="12"/>
      <c r="AA3623" s="12"/>
    </row>
    <row r="3624" ht="26.25" customHeight="1">
      <c r="A3624" s="34" t="s">
        <v>7258</v>
      </c>
      <c r="B3624" s="35" t="s">
        <v>7259</v>
      </c>
      <c r="C3624" s="36">
        <v>4.0</v>
      </c>
      <c r="D3624" s="37">
        <v>162.0</v>
      </c>
      <c r="E3624" s="37">
        <v>14.0</v>
      </c>
      <c r="F3624" s="24" t="str">
        <f t="array" ref="F3624">"https://www.google.com/maps/search/?api=1&amp;query=" &amp; A3624 &amp; "," &amp; B3624</f>
        <v>https://www.google.com/maps/search/?api=1&amp;query=-30.89248553513070,-55.55330914671520</v>
      </c>
      <c r="G3624" s="25" t="str">
        <f t="array" ref="G3624">"https://earth.google.com/web/search/" &amp; A3624 &amp; "," &amp; B3624</f>
        <v>https://earth.google.com/web/search/-30.89248553513070,-55.55330914671520</v>
      </c>
      <c r="H3624" s="12"/>
      <c r="I3624" s="12"/>
      <c r="J3624" s="12"/>
      <c r="K3624" s="12"/>
      <c r="L3624" s="12"/>
      <c r="M3624" s="12"/>
      <c r="N3624" s="12"/>
      <c r="O3624" s="12"/>
      <c r="P3624" s="12"/>
      <c r="Q3624" s="12"/>
      <c r="R3624" s="12"/>
      <c r="S3624" s="12"/>
      <c r="T3624" s="12"/>
      <c r="U3624" s="12"/>
      <c r="V3624" s="12"/>
      <c r="W3624" s="12"/>
      <c r="X3624" s="12"/>
      <c r="Y3624" s="12"/>
      <c r="Z3624" s="12"/>
      <c r="AA3624" s="12"/>
    </row>
    <row r="3625" ht="26.25" customHeight="1">
      <c r="A3625" s="28" t="s">
        <v>7260</v>
      </c>
      <c r="B3625" s="29" t="s">
        <v>7261</v>
      </c>
      <c r="C3625" s="30">
        <v>4.0</v>
      </c>
      <c r="D3625" s="31">
        <v>162.0</v>
      </c>
      <c r="E3625" s="31">
        <v>15.0</v>
      </c>
      <c r="F3625" s="32" t="str">
        <f t="array" ref="F3625">"https://www.google.com/maps/search/?api=1&amp;query=" &amp; A3625 &amp; "," &amp; B3625</f>
        <v>https://www.google.com/maps/search/?api=1&amp;query=-30.89268065350580,-55.55341706109250</v>
      </c>
      <c r="G3625" s="33" t="str">
        <f t="array" ref="G3625">"https://earth.google.com/web/search/" &amp; A3625 &amp; "," &amp; B3625</f>
        <v>https://earth.google.com/web/search/-30.89268065350580,-55.55341706109250</v>
      </c>
      <c r="H3625" s="12"/>
      <c r="I3625" s="12"/>
      <c r="J3625" s="12"/>
      <c r="K3625" s="12"/>
      <c r="L3625" s="12"/>
      <c r="M3625" s="12"/>
      <c r="N3625" s="12"/>
      <c r="O3625" s="12"/>
      <c r="P3625" s="12"/>
      <c r="Q3625" s="12"/>
      <c r="R3625" s="12"/>
      <c r="S3625" s="12"/>
      <c r="T3625" s="12"/>
      <c r="U3625" s="12"/>
      <c r="V3625" s="12"/>
      <c r="W3625" s="12"/>
      <c r="X3625" s="12"/>
      <c r="Y3625" s="12"/>
      <c r="Z3625" s="12"/>
      <c r="AA3625" s="12"/>
    </row>
    <row r="3626" ht="26.25" customHeight="1">
      <c r="A3626" s="34" t="s">
        <v>7262</v>
      </c>
      <c r="B3626" s="35" t="s">
        <v>7263</v>
      </c>
      <c r="C3626" s="36">
        <v>4.0</v>
      </c>
      <c r="D3626" s="37">
        <v>163.0</v>
      </c>
      <c r="E3626" s="37">
        <v>1.0</v>
      </c>
      <c r="F3626" s="24" t="str">
        <f t="array" ref="F3626">"https://www.google.com/maps/search/?api=1&amp;query=" &amp; A3626 &amp; "," &amp; B3626</f>
        <v>https://www.google.com/maps/search/?api=1&amp;query=-30.89326065798640,-55.55226883290060</v>
      </c>
      <c r="G3626" s="25" t="str">
        <f t="array" ref="G3626">"https://earth.google.com/web/search/" &amp; A3626 &amp; "," &amp; B3626</f>
        <v>https://earth.google.com/web/search/-30.89326065798640,-55.55226883290060</v>
      </c>
      <c r="H3626" s="12"/>
      <c r="I3626" s="12"/>
      <c r="J3626" s="12"/>
      <c r="K3626" s="12"/>
      <c r="L3626" s="12"/>
      <c r="M3626" s="12"/>
      <c r="N3626" s="12"/>
      <c r="O3626" s="12"/>
      <c r="P3626" s="12"/>
      <c r="Q3626" s="12"/>
      <c r="R3626" s="12"/>
      <c r="S3626" s="12"/>
      <c r="T3626" s="12"/>
      <c r="U3626" s="12"/>
      <c r="V3626" s="12"/>
      <c r="W3626" s="12"/>
      <c r="X3626" s="12"/>
      <c r="Y3626" s="12"/>
      <c r="Z3626" s="12"/>
      <c r="AA3626" s="12"/>
    </row>
    <row r="3627" ht="26.25" customHeight="1">
      <c r="A3627" s="28" t="s">
        <v>7264</v>
      </c>
      <c r="B3627" s="29" t="s">
        <v>7265</v>
      </c>
      <c r="C3627" s="30">
        <v>4.0</v>
      </c>
      <c r="D3627" s="31">
        <v>163.0</v>
      </c>
      <c r="E3627" s="31">
        <v>2.0</v>
      </c>
      <c r="F3627" s="32" t="str">
        <f t="array" ref="F3627">"https://www.google.com/maps/search/?api=1&amp;query=" &amp; A3627 &amp; "," &amp; B3627</f>
        <v>https://www.google.com/maps/search/?api=1&amp;query=-30.89339410555870,-55.55206493400030</v>
      </c>
      <c r="G3627" s="33" t="str">
        <f t="array" ref="G3627">"https://earth.google.com/web/search/" &amp; A3627 &amp; "," &amp; B3627</f>
        <v>https://earth.google.com/web/search/-30.89339410555870,-55.55206493400030</v>
      </c>
      <c r="H3627" s="12"/>
      <c r="I3627" s="12"/>
      <c r="J3627" s="12"/>
      <c r="K3627" s="12"/>
      <c r="L3627" s="12"/>
      <c r="M3627" s="12"/>
      <c r="N3627" s="12"/>
      <c r="O3627" s="12"/>
      <c r="P3627" s="12"/>
      <c r="Q3627" s="12"/>
      <c r="R3627" s="12"/>
      <c r="S3627" s="12"/>
      <c r="T3627" s="12"/>
      <c r="U3627" s="12"/>
      <c r="V3627" s="12"/>
      <c r="W3627" s="12"/>
      <c r="X3627" s="12"/>
      <c r="Y3627" s="12"/>
      <c r="Z3627" s="12"/>
      <c r="AA3627" s="12"/>
    </row>
    <row r="3628" ht="26.25" customHeight="1">
      <c r="A3628" s="34" t="s">
        <v>7266</v>
      </c>
      <c r="B3628" s="35" t="s">
        <v>7267</v>
      </c>
      <c r="C3628" s="36">
        <v>4.0</v>
      </c>
      <c r="D3628" s="37">
        <v>163.0</v>
      </c>
      <c r="E3628" s="37">
        <v>3.0</v>
      </c>
      <c r="F3628" s="24" t="str">
        <f t="array" ref="F3628">"https://www.google.com/maps/search/?api=1&amp;query=" &amp; A3628 &amp; "," &amp; B3628</f>
        <v>https://www.google.com/maps/search/?api=1&amp;query=-30.89305819927730,-55.55136275987110</v>
      </c>
      <c r="G3628" s="25" t="str">
        <f t="array" ref="G3628">"https://earth.google.com/web/search/" &amp; A3628 &amp; "," &amp; B3628</f>
        <v>https://earth.google.com/web/search/-30.89305819927730,-55.55136275987110</v>
      </c>
      <c r="H3628" s="12"/>
      <c r="I3628" s="12"/>
      <c r="J3628" s="12"/>
      <c r="K3628" s="12"/>
      <c r="L3628" s="12"/>
      <c r="M3628" s="12"/>
      <c r="N3628" s="12"/>
      <c r="O3628" s="12"/>
      <c r="P3628" s="12"/>
      <c r="Q3628" s="12"/>
      <c r="R3628" s="12"/>
      <c r="S3628" s="12"/>
      <c r="T3628" s="12"/>
      <c r="U3628" s="12"/>
      <c r="V3628" s="12"/>
      <c r="W3628" s="12"/>
      <c r="X3628" s="12"/>
      <c r="Y3628" s="12"/>
      <c r="Z3628" s="12"/>
      <c r="AA3628" s="12"/>
    </row>
    <row r="3629" ht="26.25" customHeight="1">
      <c r="A3629" s="28" t="s">
        <v>7268</v>
      </c>
      <c r="B3629" s="29" t="s">
        <v>7269</v>
      </c>
      <c r="C3629" s="30">
        <v>4.0</v>
      </c>
      <c r="D3629" s="31">
        <v>163.0</v>
      </c>
      <c r="E3629" s="31">
        <v>4.0</v>
      </c>
      <c r="F3629" s="32" t="str">
        <f t="array" ref="F3629">"https://www.google.com/maps/search/?api=1&amp;query=" &amp; A3629 &amp; "," &amp; B3629</f>
        <v>https://www.google.com/maps/search/?api=1&amp;query=-30.89258702493560,-5.55518687853747</v>
      </c>
      <c r="G3629" s="33" t="str">
        <f t="array" ref="G3629">"https://earth.google.com/web/search/" &amp; A3629 &amp; "," &amp; B3629</f>
        <v>https://earth.google.com/web/search/-30.89258702493560,-5.55518687853747</v>
      </c>
      <c r="H3629" s="12"/>
      <c r="I3629" s="12"/>
      <c r="J3629" s="12"/>
      <c r="K3629" s="12"/>
      <c r="L3629" s="12"/>
      <c r="M3629" s="12"/>
      <c r="N3629" s="12"/>
      <c r="O3629" s="12"/>
      <c r="P3629" s="12"/>
      <c r="Q3629" s="12"/>
      <c r="R3629" s="12"/>
      <c r="S3629" s="12"/>
      <c r="T3629" s="12"/>
      <c r="U3629" s="12"/>
      <c r="V3629" s="12"/>
      <c r="W3629" s="12"/>
      <c r="X3629" s="12"/>
      <c r="Y3629" s="12"/>
      <c r="Z3629" s="12"/>
      <c r="AA3629" s="12"/>
    </row>
    <row r="3630" ht="26.25" customHeight="1">
      <c r="A3630" s="34" t="s">
        <v>7270</v>
      </c>
      <c r="B3630" s="35" t="s">
        <v>7271</v>
      </c>
      <c r="C3630" s="36">
        <v>4.0</v>
      </c>
      <c r="D3630" s="37">
        <v>164.0</v>
      </c>
      <c r="E3630" s="37">
        <v>1.0</v>
      </c>
      <c r="F3630" s="24" t="str">
        <f t="array" ref="F3630">"https://www.google.com/maps/search/?api=1&amp;query=" &amp; A3630 &amp; "," &amp; B3630</f>
        <v>https://www.google.com/maps/search/?api=1&amp;query=-30.89361606519320,-55.55158329882250</v>
      </c>
      <c r="G3630" s="25" t="str">
        <f t="array" ref="G3630">"https://earth.google.com/web/search/" &amp; A3630 &amp; "," &amp; B3630</f>
        <v>https://earth.google.com/web/search/-30.89361606519320,-55.55158329882250</v>
      </c>
      <c r="H3630" s="12"/>
      <c r="I3630" s="12"/>
      <c r="J3630" s="12"/>
      <c r="K3630" s="12"/>
      <c r="L3630" s="12"/>
      <c r="M3630" s="12"/>
      <c r="N3630" s="12"/>
      <c r="O3630" s="12"/>
      <c r="P3630" s="12"/>
      <c r="Q3630" s="12"/>
      <c r="R3630" s="12"/>
      <c r="S3630" s="12"/>
      <c r="T3630" s="12"/>
      <c r="U3630" s="12"/>
      <c r="V3630" s="12"/>
      <c r="W3630" s="12"/>
      <c r="X3630" s="12"/>
      <c r="Y3630" s="12"/>
      <c r="Z3630" s="12"/>
      <c r="AA3630" s="12"/>
    </row>
    <row r="3631" ht="26.25" customHeight="1">
      <c r="A3631" s="28" t="s">
        <v>7272</v>
      </c>
      <c r="B3631" s="29" t="s">
        <v>7273</v>
      </c>
      <c r="C3631" s="30">
        <v>4.0</v>
      </c>
      <c r="D3631" s="31">
        <v>164.0</v>
      </c>
      <c r="E3631" s="31">
        <v>2.0</v>
      </c>
      <c r="F3631" s="32" t="str">
        <f t="array" ref="F3631">"https://www.google.com/maps/search/?api=1&amp;query=" &amp; A3631 &amp; "," &amp; B3631</f>
        <v>https://www.google.com/maps/search/?api=1&amp;query=-30.89374120833300,-55.55142236379800</v>
      </c>
      <c r="G3631" s="33" t="str">
        <f t="array" ref="G3631">"https://earth.google.com/web/search/" &amp; A3631 &amp; "," &amp; B3631</f>
        <v>https://earth.google.com/web/search/-30.89374120833300,-55.55142236379800</v>
      </c>
      <c r="H3631" s="12"/>
      <c r="I3631" s="12"/>
      <c r="J3631" s="12"/>
      <c r="K3631" s="12"/>
      <c r="L3631" s="12"/>
      <c r="M3631" s="12"/>
      <c r="N3631" s="12"/>
      <c r="O3631" s="12"/>
      <c r="P3631" s="12"/>
      <c r="Q3631" s="12"/>
      <c r="R3631" s="12"/>
      <c r="S3631" s="12"/>
      <c r="T3631" s="12"/>
      <c r="U3631" s="12"/>
      <c r="V3631" s="12"/>
      <c r="W3631" s="12"/>
      <c r="X3631" s="12"/>
      <c r="Y3631" s="12"/>
      <c r="Z3631" s="12"/>
      <c r="AA3631" s="12"/>
    </row>
    <row r="3632" ht="26.25" customHeight="1">
      <c r="A3632" s="34" t="s">
        <v>7274</v>
      </c>
      <c r="B3632" s="35" t="s">
        <v>7275</v>
      </c>
      <c r="C3632" s="36">
        <v>4.0</v>
      </c>
      <c r="D3632" s="37">
        <v>164.0</v>
      </c>
      <c r="E3632" s="37">
        <v>3.0</v>
      </c>
      <c r="F3632" s="24" t="str">
        <f t="array" ref="F3632">"https://www.google.com/maps/search/?api=1&amp;query=" &amp; A3632 &amp; "," &amp; B3632</f>
        <v>https://www.google.com/maps/search/?api=1&amp;query=-30.89349123907550,-55.55043212940500</v>
      </c>
      <c r="G3632" s="25" t="str">
        <f t="array" ref="G3632">"https://earth.google.com/web/search/" &amp; A3632 &amp; "," &amp; B3632</f>
        <v>https://earth.google.com/web/search/-30.89349123907550,-55.55043212940500</v>
      </c>
      <c r="H3632" s="12"/>
      <c r="I3632" s="12"/>
      <c r="J3632" s="12"/>
      <c r="K3632" s="12"/>
      <c r="L3632" s="12"/>
      <c r="M3632" s="12"/>
      <c r="N3632" s="12"/>
      <c r="O3632" s="12"/>
      <c r="P3632" s="12"/>
      <c r="Q3632" s="12"/>
      <c r="R3632" s="12"/>
      <c r="S3632" s="12"/>
      <c r="T3632" s="12"/>
      <c r="U3632" s="12"/>
      <c r="V3632" s="12"/>
      <c r="W3632" s="12"/>
      <c r="X3632" s="12"/>
      <c r="Y3632" s="12"/>
      <c r="Z3632" s="12"/>
      <c r="AA3632" s="12"/>
    </row>
    <row r="3633" ht="26.25" customHeight="1">
      <c r="A3633" s="28" t="s">
        <v>7276</v>
      </c>
      <c r="B3633" s="29" t="s">
        <v>7277</v>
      </c>
      <c r="C3633" s="30">
        <v>4.0</v>
      </c>
      <c r="D3633" s="31">
        <v>164.0</v>
      </c>
      <c r="E3633" s="31">
        <v>4.0</v>
      </c>
      <c r="F3633" s="32" t="str">
        <f t="array" ref="F3633">"https://www.google.com/maps/search/?api=1&amp;query=" &amp; A3633 &amp; "," &amp; B3633</f>
        <v>https://www.google.com/maps/search/?api=1&amp;query=-30.89341723900790,-5.55503564073429</v>
      </c>
      <c r="G3633" s="33" t="str">
        <f t="array" ref="G3633">"https://earth.google.com/web/search/" &amp; A3633 &amp; "," &amp; B3633</f>
        <v>https://earth.google.com/web/search/-30.89341723900790,-5.55503564073429</v>
      </c>
      <c r="H3633" s="12"/>
      <c r="I3633" s="12"/>
      <c r="J3633" s="12"/>
      <c r="K3633" s="12"/>
      <c r="L3633" s="12"/>
      <c r="M3633" s="12"/>
      <c r="N3633" s="12"/>
      <c r="O3633" s="12"/>
      <c r="P3633" s="12"/>
      <c r="Q3633" s="12"/>
      <c r="R3633" s="12"/>
      <c r="S3633" s="12"/>
      <c r="T3633" s="12"/>
      <c r="U3633" s="12"/>
      <c r="V3633" s="12"/>
      <c r="W3633" s="12"/>
      <c r="X3633" s="12"/>
      <c r="Y3633" s="12"/>
      <c r="Z3633" s="12"/>
      <c r="AA3633" s="12"/>
    </row>
    <row r="3634" ht="26.25" customHeight="1">
      <c r="A3634" s="34" t="s">
        <v>7278</v>
      </c>
      <c r="B3634" s="35" t="s">
        <v>7279</v>
      </c>
      <c r="C3634" s="36">
        <v>4.0</v>
      </c>
      <c r="D3634" s="37">
        <v>164.0</v>
      </c>
      <c r="E3634" s="37">
        <v>5.0</v>
      </c>
      <c r="F3634" s="24" t="str">
        <f t="array" ref="F3634">"https://www.google.com/maps/search/?api=1&amp;query=" &amp; A3634 &amp; "," &amp; B3634</f>
        <v>https://www.google.com/maps/search/?api=1&amp;query=-30.89333099226870,-55.55036594844810</v>
      </c>
      <c r="G3634" s="25" t="str">
        <f t="array" ref="G3634">"https://earth.google.com/web/search/" &amp; A3634 &amp; "," &amp; B3634</f>
        <v>https://earth.google.com/web/search/-30.89333099226870,-55.55036594844810</v>
      </c>
      <c r="H3634" s="12"/>
      <c r="I3634" s="12"/>
      <c r="J3634" s="12"/>
      <c r="K3634" s="12"/>
      <c r="L3634" s="12"/>
      <c r="M3634" s="12"/>
      <c r="N3634" s="12"/>
      <c r="O3634" s="12"/>
      <c r="P3634" s="12"/>
      <c r="Q3634" s="12"/>
      <c r="R3634" s="12"/>
      <c r="S3634" s="12"/>
      <c r="T3634" s="12"/>
      <c r="U3634" s="12"/>
      <c r="V3634" s="12"/>
      <c r="W3634" s="12"/>
      <c r="X3634" s="12"/>
      <c r="Y3634" s="12"/>
      <c r="Z3634" s="12"/>
      <c r="AA3634" s="12"/>
    </row>
    <row r="3635" ht="26.25" customHeight="1">
      <c r="A3635" s="28" t="s">
        <v>7280</v>
      </c>
      <c r="B3635" s="29" t="s">
        <v>7281</v>
      </c>
      <c r="C3635" s="30">
        <v>4.0</v>
      </c>
      <c r="D3635" s="31">
        <v>164.0</v>
      </c>
      <c r="E3635" s="31">
        <v>6.0</v>
      </c>
      <c r="F3635" s="32" t="str">
        <f t="array" ref="F3635">"https://www.google.com/maps/search/?api=1&amp;query=" &amp; A3635 &amp; "," &amp; B3635</f>
        <v>https://www.google.com/maps/search/?api=1&amp;query=-30.89329227806460,-55.55043482373280</v>
      </c>
      <c r="G3635" s="33" t="str">
        <f t="array" ref="G3635">"https://earth.google.com/web/search/" &amp; A3635 &amp; "," &amp; B3635</f>
        <v>https://earth.google.com/web/search/-30.89329227806460,-55.55043482373280</v>
      </c>
      <c r="H3635" s="12"/>
      <c r="I3635" s="12"/>
      <c r="J3635" s="12"/>
      <c r="K3635" s="12"/>
      <c r="L3635" s="12"/>
      <c r="M3635" s="12"/>
      <c r="N3635" s="12"/>
      <c r="O3635" s="12"/>
      <c r="P3635" s="12"/>
      <c r="Q3635" s="12"/>
      <c r="R3635" s="12"/>
      <c r="S3635" s="12"/>
      <c r="T3635" s="12"/>
      <c r="U3635" s="12"/>
      <c r="V3635" s="12"/>
      <c r="W3635" s="12"/>
      <c r="X3635" s="12"/>
      <c r="Y3635" s="12"/>
      <c r="Z3635" s="12"/>
      <c r="AA3635" s="12"/>
    </row>
    <row r="3636" ht="26.25" customHeight="1">
      <c r="A3636" s="34" t="s">
        <v>7282</v>
      </c>
      <c r="B3636" s="35" t="s">
        <v>7283</v>
      </c>
      <c r="C3636" s="36">
        <v>4.0</v>
      </c>
      <c r="D3636" s="37">
        <v>164.0</v>
      </c>
      <c r="E3636" s="37">
        <v>7.0</v>
      </c>
      <c r="F3636" s="24" t="str">
        <f t="array" ref="F3636">"https://www.google.com/maps/search/?api=1&amp;query=" &amp; A3636 &amp; "," &amp; B3636</f>
        <v>https://www.google.com/maps/search/?api=1&amp;query=-30.89317943612420,-5.55513110165788</v>
      </c>
      <c r="G3636" s="25" t="str">
        <f t="array" ref="G3636">"https://earth.google.com/web/search/" &amp; A3636 &amp; "," &amp; B3636</f>
        <v>https://earth.google.com/web/search/-30.89317943612420,-5.55513110165788</v>
      </c>
      <c r="H3636" s="12"/>
      <c r="I3636" s="12"/>
      <c r="J3636" s="12"/>
      <c r="K3636" s="12"/>
      <c r="L3636" s="12"/>
      <c r="M3636" s="12"/>
      <c r="N3636" s="12"/>
      <c r="O3636" s="12"/>
      <c r="P3636" s="12"/>
      <c r="Q3636" s="12"/>
      <c r="R3636" s="12"/>
      <c r="S3636" s="12"/>
      <c r="T3636" s="12"/>
      <c r="U3636" s="12"/>
      <c r="V3636" s="12"/>
      <c r="W3636" s="12"/>
      <c r="X3636" s="12"/>
      <c r="Y3636" s="12"/>
      <c r="Z3636" s="12"/>
      <c r="AA3636" s="12"/>
    </row>
    <row r="3637" ht="26.25" customHeight="1">
      <c r="A3637" s="28" t="s">
        <v>7284</v>
      </c>
      <c r="B3637" s="29" t="s">
        <v>7285</v>
      </c>
      <c r="C3637" s="30">
        <v>4.0</v>
      </c>
      <c r="D3637" s="31">
        <v>165.0</v>
      </c>
      <c r="E3637" s="31">
        <v>1.0</v>
      </c>
      <c r="F3637" s="32" t="str">
        <f t="array" ref="F3637">"https://www.google.com/maps/search/?api=1&amp;query=" &amp; A3637 &amp; "," &amp; B3637</f>
        <v>https://www.google.com/maps/search/?api=1&amp;query=-30.89412112296950,-55.55071531174510</v>
      </c>
      <c r="G3637" s="33" t="str">
        <f t="array" ref="G3637">"https://earth.google.com/web/search/" &amp; A3637 &amp; "," &amp; B3637</f>
        <v>https://earth.google.com/web/search/-30.89412112296950,-55.55071531174510</v>
      </c>
      <c r="H3637" s="12"/>
      <c r="I3637" s="12"/>
      <c r="J3637" s="12"/>
      <c r="K3637" s="12"/>
      <c r="L3637" s="12"/>
      <c r="M3637" s="12"/>
      <c r="N3637" s="12"/>
      <c r="O3637" s="12"/>
      <c r="P3637" s="12"/>
      <c r="Q3637" s="12"/>
      <c r="R3637" s="12"/>
      <c r="S3637" s="12"/>
      <c r="T3637" s="12"/>
      <c r="U3637" s="12"/>
      <c r="V3637" s="12"/>
      <c r="W3637" s="12"/>
      <c r="X3637" s="12"/>
      <c r="Y3637" s="12"/>
      <c r="Z3637" s="12"/>
      <c r="AA3637" s="12"/>
    </row>
    <row r="3638" ht="26.25" customHeight="1">
      <c r="A3638" s="34" t="s">
        <v>7286</v>
      </c>
      <c r="B3638" s="35" t="s">
        <v>7287</v>
      </c>
      <c r="C3638" s="36">
        <v>4.0</v>
      </c>
      <c r="D3638" s="37">
        <v>165.0</v>
      </c>
      <c r="E3638" s="37">
        <v>2.0</v>
      </c>
      <c r="F3638" s="24" t="str">
        <f t="array" ref="F3638">"https://www.google.com/maps/search/?api=1&amp;query=" &amp; A3638 &amp; "," &amp; B3638</f>
        <v>https://www.google.com/maps/search/?api=1&amp;query=-3.08944830335707,-55.55004581394820</v>
      </c>
      <c r="G3638" s="25" t="str">
        <f t="array" ref="G3638">"https://earth.google.com/web/search/" &amp; A3638 &amp; "," &amp; B3638</f>
        <v>https://earth.google.com/web/search/-3.08944830335707,-55.55004581394820</v>
      </c>
      <c r="H3638" s="12"/>
      <c r="I3638" s="12"/>
      <c r="J3638" s="12"/>
      <c r="K3638" s="12"/>
      <c r="L3638" s="12"/>
      <c r="M3638" s="12"/>
      <c r="N3638" s="12"/>
      <c r="O3638" s="12"/>
      <c r="P3638" s="12"/>
      <c r="Q3638" s="12"/>
      <c r="R3638" s="12"/>
      <c r="S3638" s="12"/>
      <c r="T3638" s="12"/>
      <c r="U3638" s="12"/>
      <c r="V3638" s="12"/>
      <c r="W3638" s="12"/>
      <c r="X3638" s="12"/>
      <c r="Y3638" s="12"/>
      <c r="Z3638" s="12"/>
      <c r="AA3638" s="12"/>
    </row>
    <row r="3639" ht="26.25" customHeight="1">
      <c r="A3639" s="28" t="s">
        <v>7288</v>
      </c>
      <c r="B3639" s="29" t="s">
        <v>7289</v>
      </c>
      <c r="C3639" s="30">
        <v>4.0</v>
      </c>
      <c r="D3639" s="31">
        <v>165.0</v>
      </c>
      <c r="E3639" s="31">
        <v>3.0</v>
      </c>
      <c r="F3639" s="32" t="str">
        <f t="array" ref="F3639">"https://www.google.com/maps/search/?api=1&amp;query=" &amp; A3639 &amp; "," &amp; B3639</f>
        <v>https://www.google.com/maps/search/?api=1&amp;query=-30.89451499035530,-55.54996611002020</v>
      </c>
      <c r="G3639" s="33" t="str">
        <f t="array" ref="G3639">"https://earth.google.com/web/search/" &amp; A3639 &amp; "," &amp; B3639</f>
        <v>https://earth.google.com/web/search/-30.89451499035530,-55.54996611002020</v>
      </c>
      <c r="H3639" s="12"/>
      <c r="I3639" s="12"/>
      <c r="J3639" s="12"/>
      <c r="K3639" s="12"/>
      <c r="L3639" s="12"/>
      <c r="M3639" s="12"/>
      <c r="N3639" s="12"/>
      <c r="O3639" s="12"/>
      <c r="P3639" s="12"/>
      <c r="Q3639" s="12"/>
      <c r="R3639" s="12"/>
      <c r="S3639" s="12"/>
      <c r="T3639" s="12"/>
      <c r="U3639" s="12"/>
      <c r="V3639" s="12"/>
      <c r="W3639" s="12"/>
      <c r="X3639" s="12"/>
      <c r="Y3639" s="12"/>
      <c r="Z3639" s="12"/>
      <c r="AA3639" s="12"/>
    </row>
    <row r="3640" ht="26.25" customHeight="1">
      <c r="A3640" s="34" t="s">
        <v>7290</v>
      </c>
      <c r="B3640" s="35" t="s">
        <v>7291</v>
      </c>
      <c r="C3640" s="36">
        <v>4.0</v>
      </c>
      <c r="D3640" s="37">
        <v>165.0</v>
      </c>
      <c r="E3640" s="37">
        <v>4.0</v>
      </c>
      <c r="F3640" s="24" t="str">
        <f t="array" ref="F3640">"https://www.google.com/maps/search/?api=1&amp;query=" &amp; A3640 &amp; "," &amp; B3640</f>
        <v>https://www.google.com/maps/search/?api=1&amp;query=-30.89446804337150,-55.54986118480400</v>
      </c>
      <c r="G3640" s="25" t="str">
        <f t="array" ref="G3640">"https://earth.google.com/web/search/" &amp; A3640 &amp; "," &amp; B3640</f>
        <v>https://earth.google.com/web/search/-30.89446804337150,-55.54986118480400</v>
      </c>
      <c r="H3640" s="12"/>
      <c r="I3640" s="12"/>
      <c r="J3640" s="12"/>
      <c r="K3640" s="12"/>
      <c r="L3640" s="12"/>
      <c r="M3640" s="12"/>
      <c r="N3640" s="12"/>
      <c r="O3640" s="12"/>
      <c r="P3640" s="12"/>
      <c r="Q3640" s="12"/>
      <c r="R3640" s="12"/>
      <c r="S3640" s="12"/>
      <c r="T3640" s="12"/>
      <c r="U3640" s="12"/>
      <c r="V3640" s="12"/>
      <c r="W3640" s="12"/>
      <c r="X3640" s="12"/>
      <c r="Y3640" s="12"/>
      <c r="Z3640" s="12"/>
      <c r="AA3640" s="12"/>
    </row>
    <row r="3641" ht="26.25" customHeight="1">
      <c r="A3641" s="28" t="s">
        <v>7292</v>
      </c>
      <c r="B3641" s="29" t="s">
        <v>7293</v>
      </c>
      <c r="C3641" s="30">
        <v>4.0</v>
      </c>
      <c r="D3641" s="31">
        <v>165.0</v>
      </c>
      <c r="E3641" s="31">
        <v>5.0</v>
      </c>
      <c r="F3641" s="32" t="str">
        <f t="array" ref="F3641">"https://www.google.com/maps/search/?api=1&amp;query=" &amp; A3641 &amp; "," &amp; B3641</f>
        <v>https://www.google.com/maps/search/?api=1&amp;query=-30.89416641713070,-55.54964728779530</v>
      </c>
      <c r="G3641" s="33" t="str">
        <f t="array" ref="G3641">"https://earth.google.com/web/search/" &amp; A3641 &amp; "," &amp; B3641</f>
        <v>https://earth.google.com/web/search/-30.89416641713070,-55.54964728779530</v>
      </c>
      <c r="H3641" s="12"/>
      <c r="I3641" s="12"/>
      <c r="J3641" s="12"/>
      <c r="K3641" s="12"/>
      <c r="L3641" s="12"/>
      <c r="M3641" s="12"/>
      <c r="N3641" s="12"/>
      <c r="O3641" s="12"/>
      <c r="P3641" s="12"/>
      <c r="Q3641" s="12"/>
      <c r="R3641" s="12"/>
      <c r="S3641" s="12"/>
      <c r="T3641" s="12"/>
      <c r="U3641" s="12"/>
      <c r="V3641" s="12"/>
      <c r="W3641" s="12"/>
      <c r="X3641" s="12"/>
      <c r="Y3641" s="12"/>
      <c r="Z3641" s="12"/>
      <c r="AA3641" s="12"/>
    </row>
    <row r="3642" ht="26.25" customHeight="1">
      <c r="A3642" s="34" t="s">
        <v>7294</v>
      </c>
      <c r="B3642" s="35" t="s">
        <v>7295</v>
      </c>
      <c r="C3642" s="36">
        <v>4.0</v>
      </c>
      <c r="D3642" s="37">
        <v>165.0</v>
      </c>
      <c r="E3642" s="37">
        <v>6.0</v>
      </c>
      <c r="F3642" s="24" t="str">
        <f t="array" ref="F3642">"https://www.google.com/maps/search/?api=1&amp;query=" &amp; A3642 &amp; "," &amp; B3642</f>
        <v>https://www.google.com/maps/search/?api=1&amp;query=-30.89406251653420,-55.54957819714870</v>
      </c>
      <c r="G3642" s="25" t="str">
        <f t="array" ref="G3642">"https://earth.google.com/web/search/" &amp; A3642 &amp; "," &amp; B3642</f>
        <v>https://earth.google.com/web/search/-30.89406251653420,-55.54957819714870</v>
      </c>
      <c r="H3642" s="12"/>
      <c r="I3642" s="12"/>
      <c r="J3642" s="12"/>
      <c r="K3642" s="12"/>
      <c r="L3642" s="12"/>
      <c r="M3642" s="12"/>
      <c r="N3642" s="12"/>
      <c r="O3642" s="12"/>
      <c r="P3642" s="12"/>
      <c r="Q3642" s="12"/>
      <c r="R3642" s="12"/>
      <c r="S3642" s="12"/>
      <c r="T3642" s="12"/>
      <c r="U3642" s="12"/>
      <c r="V3642" s="12"/>
      <c r="W3642" s="12"/>
      <c r="X3642" s="12"/>
      <c r="Y3642" s="12"/>
      <c r="Z3642" s="12"/>
      <c r="AA3642" s="12"/>
    </row>
    <row r="3643" ht="26.25" customHeight="1">
      <c r="A3643" s="28" t="s">
        <v>7296</v>
      </c>
      <c r="B3643" s="29" t="s">
        <v>7297</v>
      </c>
      <c r="C3643" s="30">
        <v>4.0</v>
      </c>
      <c r="D3643" s="31">
        <v>165.0</v>
      </c>
      <c r="E3643" s="31">
        <v>7.0</v>
      </c>
      <c r="F3643" s="32" t="str">
        <f t="array" ref="F3643">"https://www.google.com/maps/search/?api=1&amp;query=" &amp; A3643 &amp; "," &amp; B3643</f>
        <v>https://www.google.com/maps/search/?api=1&amp;query=-30.89382401656230,-55.54949461943690</v>
      </c>
      <c r="G3643" s="33" t="str">
        <f t="array" ref="G3643">"https://earth.google.com/web/search/" &amp; A3643 &amp; "," &amp; B3643</f>
        <v>https://earth.google.com/web/search/-30.89382401656230,-55.54949461943690</v>
      </c>
      <c r="H3643" s="12"/>
      <c r="I3643" s="12"/>
      <c r="J3643" s="12"/>
      <c r="K3643" s="12"/>
      <c r="L3643" s="12"/>
      <c r="M3643" s="12"/>
      <c r="N3643" s="12"/>
      <c r="O3643" s="12"/>
      <c r="P3643" s="12"/>
      <c r="Q3643" s="12"/>
      <c r="R3643" s="12"/>
      <c r="S3643" s="12"/>
      <c r="T3643" s="12"/>
      <c r="U3643" s="12"/>
      <c r="V3643" s="12"/>
      <c r="W3643" s="12"/>
      <c r="X3643" s="12"/>
      <c r="Y3643" s="12"/>
      <c r="Z3643" s="12"/>
      <c r="AA3643" s="12"/>
    </row>
    <row r="3644" ht="26.25" customHeight="1">
      <c r="A3644" s="34" t="s">
        <v>7298</v>
      </c>
      <c r="B3644" s="35" t="s">
        <v>7299</v>
      </c>
      <c r="C3644" s="36">
        <v>4.0</v>
      </c>
      <c r="D3644" s="37">
        <v>165.0</v>
      </c>
      <c r="E3644" s="37">
        <v>8.0</v>
      </c>
      <c r="F3644" s="24" t="str">
        <f t="array" ref="F3644">"https://www.google.com/maps/search/?api=1&amp;query=" &amp; A3644 &amp; "," &amp; B3644</f>
        <v>https://www.google.com/maps/search/?api=1&amp;query=-30.89368404222930,-55.54973550155710</v>
      </c>
      <c r="G3644" s="25" t="str">
        <f t="array" ref="G3644">"https://earth.google.com/web/search/" &amp; A3644 &amp; "," &amp; B3644</f>
        <v>https://earth.google.com/web/search/-30.89368404222930,-55.54973550155710</v>
      </c>
      <c r="H3644" s="12"/>
      <c r="I3644" s="12"/>
      <c r="J3644" s="12"/>
      <c r="K3644" s="12"/>
      <c r="L3644" s="12"/>
      <c r="M3644" s="12"/>
      <c r="N3644" s="12"/>
      <c r="O3644" s="12"/>
      <c r="P3644" s="12"/>
      <c r="Q3644" s="12"/>
      <c r="R3644" s="12"/>
      <c r="S3644" s="12"/>
      <c r="T3644" s="12"/>
      <c r="U3644" s="12"/>
      <c r="V3644" s="12"/>
      <c r="W3644" s="12"/>
      <c r="X3644" s="12"/>
      <c r="Y3644" s="12"/>
      <c r="Z3644" s="12"/>
      <c r="AA3644" s="12"/>
    </row>
    <row r="3645" ht="26.25" customHeight="1">
      <c r="A3645" s="28" t="s">
        <v>7300</v>
      </c>
      <c r="B3645" s="29" t="s">
        <v>7301</v>
      </c>
      <c r="C3645" s="30">
        <v>4.0</v>
      </c>
      <c r="D3645" s="31">
        <v>165.0</v>
      </c>
      <c r="E3645" s="31">
        <v>9.0</v>
      </c>
      <c r="F3645" s="32" t="str">
        <f t="array" ref="F3645">"https://www.google.com/maps/search/?api=1&amp;query=" &amp; A3645 &amp; "," &amp; B3645</f>
        <v>https://www.google.com/maps/search/?api=1&amp;query=-30.89348331333330,-55.55014663467670</v>
      </c>
      <c r="G3645" s="33" t="str">
        <f t="array" ref="G3645">"https://earth.google.com/web/search/" &amp; A3645 &amp; "," &amp; B3645</f>
        <v>https://earth.google.com/web/search/-30.89348331333330,-55.55014663467670</v>
      </c>
      <c r="H3645" s="12"/>
      <c r="I3645" s="12"/>
      <c r="J3645" s="12"/>
      <c r="K3645" s="12"/>
      <c r="L3645" s="12"/>
      <c r="M3645" s="12"/>
      <c r="N3645" s="12"/>
      <c r="O3645" s="12"/>
      <c r="P3645" s="12"/>
      <c r="Q3645" s="12"/>
      <c r="R3645" s="12"/>
      <c r="S3645" s="12"/>
      <c r="T3645" s="12"/>
      <c r="U3645" s="12"/>
      <c r="V3645" s="12"/>
      <c r="W3645" s="12"/>
      <c r="X3645" s="12"/>
      <c r="Y3645" s="12"/>
      <c r="Z3645" s="12"/>
      <c r="AA3645" s="12"/>
    </row>
    <row r="3646" ht="26.25" customHeight="1">
      <c r="A3646" s="34" t="s">
        <v>7302</v>
      </c>
      <c r="B3646" s="35" t="s">
        <v>7303</v>
      </c>
      <c r="C3646" s="36">
        <v>4.0</v>
      </c>
      <c r="D3646" s="37">
        <v>165.0</v>
      </c>
      <c r="E3646" s="37">
        <v>10.0</v>
      </c>
      <c r="F3646" s="24" t="str">
        <f t="array" ref="F3646">"https://www.google.com/maps/search/?api=1&amp;query=" &amp; A3646 &amp; "," &amp; B3646</f>
        <v>https://www.google.com/maps/search/?api=1&amp;query=-30.89357703627640,-55.55034039535740</v>
      </c>
      <c r="G3646" s="25" t="str">
        <f t="array" ref="G3646">"https://earth.google.com/web/search/" &amp; A3646 &amp; "," &amp; B3646</f>
        <v>https://earth.google.com/web/search/-30.89357703627640,-55.55034039535740</v>
      </c>
      <c r="H3646" s="12"/>
      <c r="I3646" s="12"/>
      <c r="J3646" s="12"/>
      <c r="K3646" s="12"/>
      <c r="L3646" s="12"/>
      <c r="M3646" s="12"/>
      <c r="N3646" s="12"/>
      <c r="O3646" s="12"/>
      <c r="P3646" s="12"/>
      <c r="Q3646" s="12"/>
      <c r="R3646" s="12"/>
      <c r="S3646" s="12"/>
      <c r="T3646" s="12"/>
      <c r="U3646" s="12"/>
      <c r="V3646" s="12"/>
      <c r="W3646" s="12"/>
      <c r="X3646" s="12"/>
      <c r="Y3646" s="12"/>
      <c r="Z3646" s="12"/>
      <c r="AA3646" s="12"/>
    </row>
    <row r="3647" ht="26.25" customHeight="1">
      <c r="A3647" s="28" t="s">
        <v>7304</v>
      </c>
      <c r="B3647" s="29" t="s">
        <v>7305</v>
      </c>
      <c r="C3647" s="30">
        <v>4.0</v>
      </c>
      <c r="D3647" s="31">
        <v>166.0</v>
      </c>
      <c r="E3647" s="31">
        <v>1.0</v>
      </c>
      <c r="F3647" s="32" t="str">
        <f t="array" ref="F3647">"https://www.google.com/maps/search/?api=1&amp;query=" &amp; A3647 &amp; "," &amp; B3647</f>
        <v>https://www.google.com/maps/search/?api=1&amp;query=-30.89497339627550,-55.54909498164760</v>
      </c>
      <c r="G3647" s="33" t="str">
        <f t="array" ref="G3647">"https://earth.google.com/web/search/" &amp; A3647 &amp; "," &amp; B3647</f>
        <v>https://earth.google.com/web/search/-30.89497339627550,-55.54909498164760</v>
      </c>
      <c r="H3647" s="12"/>
      <c r="I3647" s="12"/>
      <c r="J3647" s="12"/>
      <c r="K3647" s="12"/>
      <c r="L3647" s="12"/>
      <c r="M3647" s="12"/>
      <c r="N3647" s="12"/>
      <c r="O3647" s="12"/>
      <c r="P3647" s="12"/>
      <c r="Q3647" s="12"/>
      <c r="R3647" s="12"/>
      <c r="S3647" s="12"/>
      <c r="T3647" s="12"/>
      <c r="U3647" s="12"/>
      <c r="V3647" s="12"/>
      <c r="W3647" s="12"/>
      <c r="X3647" s="12"/>
      <c r="Y3647" s="12"/>
      <c r="Z3647" s="12"/>
      <c r="AA3647" s="12"/>
    </row>
    <row r="3648" ht="26.25" customHeight="1">
      <c r="A3648" s="34" t="s">
        <v>7306</v>
      </c>
      <c r="B3648" s="35" t="s">
        <v>7307</v>
      </c>
      <c r="C3648" s="36">
        <v>4.0</v>
      </c>
      <c r="D3648" s="37">
        <v>166.0</v>
      </c>
      <c r="E3648" s="37">
        <v>2.0</v>
      </c>
      <c r="F3648" s="24" t="str">
        <f t="array" ref="F3648">"https://www.google.com/maps/search/?api=1&amp;query=" &amp; A3648 &amp; "," &amp; B3648</f>
        <v>https://www.google.com/maps/search/?api=1&amp;query=-30.89481117295060,-55.54884255141270</v>
      </c>
      <c r="G3648" s="25" t="str">
        <f t="array" ref="G3648">"https://earth.google.com/web/search/" &amp; A3648 &amp; "," &amp; B3648</f>
        <v>https://earth.google.com/web/search/-30.89481117295060,-55.54884255141270</v>
      </c>
      <c r="H3648" s="12"/>
      <c r="I3648" s="12"/>
      <c r="J3648" s="12"/>
      <c r="K3648" s="12"/>
      <c r="L3648" s="12"/>
      <c r="M3648" s="12"/>
      <c r="N3648" s="12"/>
      <c r="O3648" s="12"/>
      <c r="P3648" s="12"/>
      <c r="Q3648" s="12"/>
      <c r="R3648" s="12"/>
      <c r="S3648" s="12"/>
      <c r="T3648" s="12"/>
      <c r="U3648" s="12"/>
      <c r="V3648" s="12"/>
      <c r="W3648" s="12"/>
      <c r="X3648" s="12"/>
      <c r="Y3648" s="12"/>
      <c r="Z3648" s="12"/>
      <c r="AA3648" s="12"/>
    </row>
    <row r="3649" ht="26.25" customHeight="1">
      <c r="A3649" s="28" t="s">
        <v>7308</v>
      </c>
      <c r="B3649" s="29" t="s">
        <v>7309</v>
      </c>
      <c r="C3649" s="30">
        <v>4.0</v>
      </c>
      <c r="D3649" s="31">
        <v>166.0</v>
      </c>
      <c r="E3649" s="31">
        <v>3.0</v>
      </c>
      <c r="F3649" s="32" t="str">
        <f t="array" ref="F3649">"https://www.google.com/maps/search/?api=1&amp;query=" &amp; A3649 &amp; "," &amp; B3649</f>
        <v>https://www.google.com/maps/search/?api=1&amp;query=-30.89461358095480,-55.54870941842760</v>
      </c>
      <c r="G3649" s="33" t="str">
        <f t="array" ref="G3649">"https://earth.google.com/web/search/" &amp; A3649 &amp; "," &amp; B3649</f>
        <v>https://earth.google.com/web/search/-30.89461358095480,-55.54870941842760</v>
      </c>
      <c r="H3649" s="12"/>
      <c r="I3649" s="12"/>
      <c r="J3649" s="12"/>
      <c r="K3649" s="12"/>
      <c r="L3649" s="12"/>
      <c r="M3649" s="12"/>
      <c r="N3649" s="12"/>
      <c r="O3649" s="12"/>
      <c r="P3649" s="12"/>
      <c r="Q3649" s="12"/>
      <c r="R3649" s="12"/>
      <c r="S3649" s="12"/>
      <c r="T3649" s="12"/>
      <c r="U3649" s="12"/>
      <c r="V3649" s="12"/>
      <c r="W3649" s="12"/>
      <c r="X3649" s="12"/>
      <c r="Y3649" s="12"/>
      <c r="Z3649" s="12"/>
      <c r="AA3649" s="12"/>
    </row>
    <row r="3650" ht="26.25" customHeight="1">
      <c r="A3650" s="34" t="s">
        <v>7310</v>
      </c>
      <c r="B3650" s="35" t="s">
        <v>7311</v>
      </c>
      <c r="C3650" s="36">
        <v>4.0</v>
      </c>
      <c r="D3650" s="37">
        <v>166.0</v>
      </c>
      <c r="E3650" s="37">
        <v>4.0</v>
      </c>
      <c r="F3650" s="24" t="str">
        <f t="array" ref="F3650">"https://www.google.com/maps/search/?api=1&amp;query=" &amp; A3650 &amp; "," &amp; B3650</f>
        <v>https://www.google.com/maps/search/?api=1&amp;query=-30.89443137114050,-55.54857845887170</v>
      </c>
      <c r="G3650" s="25" t="str">
        <f t="array" ref="G3650">"https://earth.google.com/web/search/" &amp; A3650 &amp; "," &amp; B3650</f>
        <v>https://earth.google.com/web/search/-30.89443137114050,-55.54857845887170</v>
      </c>
      <c r="H3650" s="12"/>
      <c r="I3650" s="12"/>
      <c r="J3650" s="12"/>
      <c r="K3650" s="12"/>
      <c r="L3650" s="12"/>
      <c r="M3650" s="12"/>
      <c r="N3650" s="12"/>
      <c r="O3650" s="12"/>
      <c r="P3650" s="12"/>
      <c r="Q3650" s="12"/>
      <c r="R3650" s="12"/>
      <c r="S3650" s="12"/>
      <c r="T3650" s="12"/>
      <c r="U3650" s="12"/>
      <c r="V3650" s="12"/>
      <c r="W3650" s="12"/>
      <c r="X3650" s="12"/>
      <c r="Y3650" s="12"/>
      <c r="Z3650" s="12"/>
      <c r="AA3650" s="12"/>
    </row>
    <row r="3651" ht="26.25" customHeight="1">
      <c r="A3651" s="28" t="s">
        <v>7312</v>
      </c>
      <c r="B3651" s="29" t="s">
        <v>7313</v>
      </c>
      <c r="C3651" s="30">
        <v>4.0</v>
      </c>
      <c r="D3651" s="31">
        <v>166.0</v>
      </c>
      <c r="E3651" s="31">
        <v>5.0</v>
      </c>
      <c r="F3651" s="32" t="str">
        <f t="array" ref="F3651">"https://www.google.com/maps/search/?api=1&amp;query=" &amp; A3651 &amp; "," &amp; B3651</f>
        <v>https://www.google.com/maps/search/?api=1&amp;query=-30.89399726601670,-5.55491142993062</v>
      </c>
      <c r="G3651" s="33" t="str">
        <f t="array" ref="G3651">"https://earth.google.com/web/search/" &amp; A3651 &amp; "," &amp; B3651</f>
        <v>https://earth.google.com/web/search/-30.89399726601670,-5.55491142993062</v>
      </c>
      <c r="H3651" s="12"/>
      <c r="I3651" s="12"/>
      <c r="J3651" s="12"/>
      <c r="K3651" s="12"/>
      <c r="L3651" s="12"/>
      <c r="M3651" s="12"/>
      <c r="N3651" s="12"/>
      <c r="O3651" s="12"/>
      <c r="P3651" s="12"/>
      <c r="Q3651" s="12"/>
      <c r="R3651" s="12"/>
      <c r="S3651" s="12"/>
      <c r="T3651" s="12"/>
      <c r="U3651" s="12"/>
      <c r="V3651" s="12"/>
      <c r="W3651" s="12"/>
      <c r="X3651" s="12"/>
      <c r="Y3651" s="12"/>
      <c r="Z3651" s="12"/>
      <c r="AA3651" s="12"/>
    </row>
    <row r="3652" ht="26.25" customHeight="1">
      <c r="A3652" s="34" t="s">
        <v>7314</v>
      </c>
      <c r="B3652" s="35" t="s">
        <v>7315</v>
      </c>
      <c r="C3652" s="36">
        <v>4.0</v>
      </c>
      <c r="D3652" s="37">
        <v>166.0</v>
      </c>
      <c r="E3652" s="37">
        <v>6.0</v>
      </c>
      <c r="F3652" s="24" t="str">
        <f t="array" ref="F3652">"https://www.google.com/maps/search/?api=1&amp;query=" &amp; A3652 &amp; "," &amp; B3652</f>
        <v>https://www.google.com/maps/search/?api=1&amp;query=-30.89419735179530,-55.54952245282520</v>
      </c>
      <c r="G3652" s="25" t="str">
        <f t="array" ref="G3652">"https://earth.google.com/web/search/" &amp; A3652 &amp; "," &amp; B3652</f>
        <v>https://earth.google.com/web/search/-30.89419735179530,-55.54952245282520</v>
      </c>
      <c r="H3652" s="12"/>
      <c r="I3652" s="12"/>
      <c r="J3652" s="12"/>
      <c r="K3652" s="12"/>
      <c r="L3652" s="12"/>
      <c r="M3652" s="12"/>
      <c r="N3652" s="12"/>
      <c r="O3652" s="12"/>
      <c r="P3652" s="12"/>
      <c r="Q3652" s="12"/>
      <c r="R3652" s="12"/>
      <c r="S3652" s="12"/>
      <c r="T3652" s="12"/>
      <c r="U3652" s="12"/>
      <c r="V3652" s="12"/>
      <c r="W3652" s="12"/>
      <c r="X3652" s="12"/>
      <c r="Y3652" s="12"/>
      <c r="Z3652" s="12"/>
      <c r="AA3652" s="12"/>
    </row>
    <row r="3653" ht="26.25" customHeight="1">
      <c r="A3653" s="28" t="s">
        <v>7316</v>
      </c>
      <c r="B3653" s="29" t="s">
        <v>7317</v>
      </c>
      <c r="C3653" s="30">
        <v>4.0</v>
      </c>
      <c r="D3653" s="31">
        <v>166.0</v>
      </c>
      <c r="E3653" s="31">
        <v>7.0</v>
      </c>
      <c r="F3653" s="32" t="str">
        <f t="array" ref="F3653">"https://www.google.com/maps/search/?api=1&amp;query=" &amp; A3653 &amp; "," &amp; B3653</f>
        <v>https://www.google.com/maps/search/?api=1&amp;query=-30.89453944416720,-55.54977516076010</v>
      </c>
      <c r="G3653" s="33" t="str">
        <f t="array" ref="G3653">"https://earth.google.com/web/search/" &amp; A3653 &amp; "," &amp; B3653</f>
        <v>https://earth.google.com/web/search/-30.89453944416720,-55.54977516076010</v>
      </c>
      <c r="H3653" s="12"/>
      <c r="I3653" s="12"/>
      <c r="J3653" s="12"/>
      <c r="K3653" s="12"/>
      <c r="L3653" s="12"/>
      <c r="M3653" s="12"/>
      <c r="N3653" s="12"/>
      <c r="O3653" s="12"/>
      <c r="P3653" s="12"/>
      <c r="Q3653" s="12"/>
      <c r="R3653" s="12"/>
      <c r="S3653" s="12"/>
      <c r="T3653" s="12"/>
      <c r="U3653" s="12"/>
      <c r="V3653" s="12"/>
      <c r="W3653" s="12"/>
      <c r="X3653" s="12"/>
      <c r="Y3653" s="12"/>
      <c r="Z3653" s="12"/>
      <c r="AA3653" s="12"/>
    </row>
    <row r="3654" ht="26.25" customHeight="1">
      <c r="A3654" s="34" t="s">
        <v>7318</v>
      </c>
      <c r="B3654" s="35" t="s">
        <v>7319</v>
      </c>
      <c r="C3654" s="36">
        <v>4.0</v>
      </c>
      <c r="D3654" s="37">
        <v>166.0</v>
      </c>
      <c r="E3654" s="37">
        <v>8.0</v>
      </c>
      <c r="F3654" s="24" t="str">
        <f t="array" ref="F3654">"https://www.google.com/maps/search/?api=1&amp;query=" &amp; A3654 &amp; "," &amp; B3654</f>
        <v>https://www.google.com/maps/search/?api=1&amp;query=-30.89473000334120,-55.54957533524440</v>
      </c>
      <c r="G3654" s="25" t="str">
        <f t="array" ref="G3654">"https://earth.google.com/web/search/" &amp; A3654 &amp; "," &amp; B3654</f>
        <v>https://earth.google.com/web/search/-30.89473000334120,-55.54957533524440</v>
      </c>
      <c r="H3654" s="12"/>
      <c r="I3654" s="12"/>
      <c r="J3654" s="12"/>
      <c r="K3654" s="12"/>
      <c r="L3654" s="12"/>
      <c r="M3654" s="12"/>
      <c r="N3654" s="12"/>
      <c r="O3654" s="12"/>
      <c r="P3654" s="12"/>
      <c r="Q3654" s="12"/>
      <c r="R3654" s="12"/>
      <c r="S3654" s="12"/>
      <c r="T3654" s="12"/>
      <c r="U3654" s="12"/>
      <c r="V3654" s="12"/>
      <c r="W3654" s="12"/>
      <c r="X3654" s="12"/>
      <c r="Y3654" s="12"/>
      <c r="Z3654" s="12"/>
      <c r="AA3654" s="12"/>
    </row>
    <row r="3655" ht="26.25" customHeight="1">
      <c r="A3655" s="28" t="s">
        <v>7320</v>
      </c>
      <c r="B3655" s="29" t="s">
        <v>7321</v>
      </c>
      <c r="C3655" s="30">
        <v>4.0</v>
      </c>
      <c r="D3655" s="31">
        <v>198.0</v>
      </c>
      <c r="E3655" s="31">
        <v>3.0</v>
      </c>
      <c r="F3655" s="32" t="str">
        <f t="array" ref="F3655">"https://www.google.com/maps/search/?api=1&amp;query=" &amp; A3655 &amp; "," &amp; B3655</f>
        <v>https://www.google.com/maps/search/?api=1&amp;query=-30.89546852982570,-55.55022297510980</v>
      </c>
      <c r="G3655" s="33" t="str">
        <f t="array" ref="G3655">"https://earth.google.com/web/search/" &amp; A3655 &amp; "," &amp; B3655</f>
        <v>https://earth.google.com/web/search/-30.89546852982570,-55.55022297510980</v>
      </c>
      <c r="H3655" s="12"/>
      <c r="I3655" s="12"/>
      <c r="J3655" s="12"/>
      <c r="K3655" s="12"/>
      <c r="L3655" s="12"/>
      <c r="M3655" s="12"/>
      <c r="N3655" s="12"/>
      <c r="O3655" s="12"/>
      <c r="P3655" s="12"/>
      <c r="Q3655" s="12"/>
      <c r="R3655" s="12"/>
      <c r="S3655" s="12"/>
      <c r="T3655" s="12"/>
      <c r="U3655" s="12"/>
      <c r="V3655" s="12"/>
      <c r="W3655" s="12"/>
      <c r="X3655" s="12"/>
      <c r="Y3655" s="12"/>
      <c r="Z3655" s="12"/>
      <c r="AA3655" s="12"/>
    </row>
    <row r="3656" ht="26.25" customHeight="1">
      <c r="A3656" s="34" t="s">
        <v>7322</v>
      </c>
      <c r="B3656" s="35" t="s">
        <v>7323</v>
      </c>
      <c r="C3656" s="36">
        <v>4.0</v>
      </c>
      <c r="D3656" s="37">
        <v>198.0</v>
      </c>
      <c r="E3656" s="37">
        <v>4.0</v>
      </c>
      <c r="F3656" s="24" t="str">
        <f t="array" ref="F3656">"https://www.google.com/maps/search/?api=1&amp;query=" &amp; A3656 &amp; "," &amp; B3656</f>
        <v>https://www.google.com/maps/search/?api=1&amp;query=-30.89556832475230,-55.55001179863840</v>
      </c>
      <c r="G3656" s="25" t="str">
        <f t="array" ref="G3656">"https://earth.google.com/web/search/" &amp; A3656 &amp; "," &amp; B3656</f>
        <v>https://earth.google.com/web/search/-30.89556832475230,-55.55001179863840</v>
      </c>
      <c r="H3656" s="12"/>
      <c r="I3656" s="12"/>
      <c r="J3656" s="12"/>
      <c r="K3656" s="12"/>
      <c r="L3656" s="12"/>
      <c r="M3656" s="12"/>
      <c r="N3656" s="12"/>
      <c r="O3656" s="12"/>
      <c r="P3656" s="12"/>
      <c r="Q3656" s="12"/>
      <c r="R3656" s="12"/>
      <c r="S3656" s="12"/>
      <c r="T3656" s="12"/>
      <c r="U3656" s="12"/>
      <c r="V3656" s="12"/>
      <c r="W3656" s="12"/>
      <c r="X3656" s="12"/>
      <c r="Y3656" s="12"/>
      <c r="Z3656" s="12"/>
      <c r="AA3656" s="12"/>
    </row>
    <row r="3657" ht="26.25" customHeight="1">
      <c r="A3657" s="28" t="s">
        <v>7324</v>
      </c>
      <c r="B3657" s="29" t="s">
        <v>7325</v>
      </c>
      <c r="C3657" s="30">
        <v>4.0</v>
      </c>
      <c r="D3657" s="31">
        <v>198.0</v>
      </c>
      <c r="E3657" s="31">
        <v>5.0</v>
      </c>
      <c r="F3657" s="32" t="str">
        <f t="array" ref="F3657">"https://www.google.com/maps/search/?api=1&amp;query=" &amp; A3657 &amp; "," &amp; B3657</f>
        <v>https://www.google.com/maps/search/?api=1&amp;query=-30.89563561008120,-55.54990968388800</v>
      </c>
      <c r="G3657" s="33" t="str">
        <f t="array" ref="G3657">"https://earth.google.com/web/search/" &amp; A3657 &amp; "," &amp; B3657</f>
        <v>https://earth.google.com/web/search/-30.89563561008120,-55.54990968388800</v>
      </c>
      <c r="H3657" s="12"/>
      <c r="I3657" s="12"/>
      <c r="J3657" s="12"/>
      <c r="K3657" s="12"/>
      <c r="L3657" s="12"/>
      <c r="M3657" s="12"/>
      <c r="N3657" s="12"/>
      <c r="O3657" s="12"/>
      <c r="P3657" s="12"/>
      <c r="Q3657" s="12"/>
      <c r="R3657" s="12"/>
      <c r="S3657" s="12"/>
      <c r="T3657" s="12"/>
      <c r="U3657" s="12"/>
      <c r="V3657" s="12"/>
      <c r="W3657" s="12"/>
      <c r="X3657" s="12"/>
      <c r="Y3657" s="12"/>
      <c r="Z3657" s="12"/>
      <c r="AA3657" s="12"/>
    </row>
    <row r="3658" ht="26.25" customHeight="1">
      <c r="A3658" s="34" t="s">
        <v>7326</v>
      </c>
      <c r="B3658" s="35" t="s">
        <v>7327</v>
      </c>
      <c r="C3658" s="36">
        <v>4.0</v>
      </c>
      <c r="D3658" s="37">
        <v>198.0</v>
      </c>
      <c r="E3658" s="37">
        <v>6.0</v>
      </c>
      <c r="F3658" s="24" t="str">
        <f t="array" ref="F3658">"https://www.google.com/maps/search/?api=1&amp;query=" &amp; A3658 &amp; "," &amp; B3658</f>
        <v>https://www.google.com/maps/search/?api=1&amp;query=-30.89504339471480,-55.54920446456410</v>
      </c>
      <c r="G3658" s="25" t="str">
        <f t="array" ref="G3658">"https://earth.google.com/web/search/" &amp; A3658 &amp; "," &amp; B3658</f>
        <v>https://earth.google.com/web/search/-30.89504339471480,-55.54920446456410</v>
      </c>
      <c r="H3658" s="12"/>
      <c r="I3658" s="12"/>
      <c r="J3658" s="12"/>
      <c r="K3658" s="12"/>
      <c r="L3658" s="12"/>
      <c r="M3658" s="12"/>
      <c r="N3658" s="12"/>
      <c r="O3658" s="12"/>
      <c r="P3658" s="12"/>
      <c r="Q3658" s="12"/>
      <c r="R3658" s="12"/>
      <c r="S3658" s="12"/>
      <c r="T3658" s="12"/>
      <c r="U3658" s="12"/>
      <c r="V3658" s="12"/>
      <c r="W3658" s="12"/>
      <c r="X3658" s="12"/>
      <c r="Y3658" s="12"/>
      <c r="Z3658" s="12"/>
      <c r="AA3658" s="12"/>
    </row>
    <row r="3659" ht="26.25" customHeight="1">
      <c r="A3659" s="28" t="s">
        <v>7328</v>
      </c>
      <c r="B3659" s="29" t="s">
        <v>7329</v>
      </c>
      <c r="C3659" s="30">
        <v>4.0</v>
      </c>
      <c r="D3659" s="31">
        <v>198.0</v>
      </c>
      <c r="E3659" s="31">
        <v>7.0</v>
      </c>
      <c r="F3659" s="32" t="str">
        <f t="array" ref="F3659">"https://www.google.com/maps/search/?api=1&amp;query=" &amp; A3659 &amp; "," &amp; B3659</f>
        <v>https://www.google.com/maps/search/?api=1&amp;query=-3.08947106394669,-55.54983584578080</v>
      </c>
      <c r="G3659" s="33" t="str">
        <f t="array" ref="G3659">"https://earth.google.com/web/search/" &amp; A3659 &amp; "," &amp; B3659</f>
        <v>https://earth.google.com/web/search/-3.08947106394669,-55.54983584578080</v>
      </c>
      <c r="H3659" s="12"/>
      <c r="I3659" s="12"/>
      <c r="J3659" s="12"/>
      <c r="K3659" s="12"/>
      <c r="L3659" s="12"/>
      <c r="M3659" s="12"/>
      <c r="N3659" s="12"/>
      <c r="O3659" s="12"/>
      <c r="P3659" s="12"/>
      <c r="Q3659" s="12"/>
      <c r="R3659" s="12"/>
      <c r="S3659" s="12"/>
      <c r="T3659" s="12"/>
      <c r="U3659" s="12"/>
      <c r="V3659" s="12"/>
      <c r="W3659" s="12"/>
      <c r="X3659" s="12"/>
      <c r="Y3659" s="12"/>
      <c r="Z3659" s="12"/>
      <c r="AA3659" s="12"/>
    </row>
    <row r="3660" ht="26.25" customHeight="1">
      <c r="A3660" s="34" t="s">
        <v>7330</v>
      </c>
      <c r="B3660" s="35" t="s">
        <v>7331</v>
      </c>
      <c r="C3660" s="36">
        <v>4.0</v>
      </c>
      <c r="D3660" s="37">
        <v>198.0</v>
      </c>
      <c r="E3660" s="37">
        <v>8.0</v>
      </c>
      <c r="F3660" s="24" t="str">
        <f t="array" ref="F3660">"https://www.google.com/maps/search/?api=1&amp;query=" &amp; A3660 &amp; "," &amp; B3660</f>
        <v>https://www.google.com/maps/search/?api=1&amp;query=-30.89500591270710,-55.55012654832380</v>
      </c>
      <c r="G3660" s="25" t="str">
        <f t="array" ref="G3660">"https://earth.google.com/web/search/" &amp; A3660 &amp; "," &amp; B3660</f>
        <v>https://earth.google.com/web/search/-30.89500591270710,-55.55012654832380</v>
      </c>
      <c r="H3660" s="12"/>
      <c r="I3660" s="12"/>
      <c r="J3660" s="12"/>
      <c r="K3660" s="12"/>
      <c r="L3660" s="12"/>
      <c r="M3660" s="12"/>
      <c r="N3660" s="12"/>
      <c r="O3660" s="12"/>
      <c r="P3660" s="12"/>
      <c r="Q3660" s="12"/>
      <c r="R3660" s="12"/>
      <c r="S3660" s="12"/>
      <c r="T3660" s="12"/>
      <c r="U3660" s="12"/>
      <c r="V3660" s="12"/>
      <c r="W3660" s="12"/>
      <c r="X3660" s="12"/>
      <c r="Y3660" s="12"/>
      <c r="Z3660" s="12"/>
      <c r="AA3660" s="12"/>
    </row>
    <row r="3661" ht="26.25" customHeight="1">
      <c r="A3661" s="28" t="s">
        <v>7332</v>
      </c>
      <c r="B3661" s="29" t="s">
        <v>7333</v>
      </c>
      <c r="C3661" s="30">
        <v>4.0</v>
      </c>
      <c r="D3661" s="31">
        <v>198.0</v>
      </c>
      <c r="E3661" s="31">
        <v>9.0</v>
      </c>
      <c r="F3661" s="32" t="str">
        <f t="array" ref="F3661">"https://www.google.com/maps/search/?api=1&amp;query=" &amp; A3661 &amp; "," &amp; B3661</f>
        <v>https://www.google.com/maps/search/?api=1&amp;query=-30.89519832512060,-55.55027711952590</v>
      </c>
      <c r="G3661" s="33" t="str">
        <f t="array" ref="G3661">"https://earth.google.com/web/search/" &amp; A3661 &amp; "," &amp; B3661</f>
        <v>https://earth.google.com/web/search/-30.89519832512060,-55.55027711952590</v>
      </c>
      <c r="H3661" s="12"/>
      <c r="I3661" s="12"/>
      <c r="J3661" s="12"/>
      <c r="K3661" s="12"/>
      <c r="L3661" s="12"/>
      <c r="M3661" s="12"/>
      <c r="N3661" s="12"/>
      <c r="O3661" s="12"/>
      <c r="P3661" s="12"/>
      <c r="Q3661" s="12"/>
      <c r="R3661" s="12"/>
      <c r="S3661" s="12"/>
      <c r="T3661" s="12"/>
      <c r="U3661" s="12"/>
      <c r="V3661" s="12"/>
      <c r="W3661" s="12"/>
      <c r="X3661" s="12"/>
      <c r="Y3661" s="12"/>
      <c r="Z3661" s="12"/>
      <c r="AA3661" s="12"/>
    </row>
    <row r="3662" ht="26.25" customHeight="1">
      <c r="A3662" s="34" t="s">
        <v>7334</v>
      </c>
      <c r="B3662" s="35" t="s">
        <v>7335</v>
      </c>
      <c r="C3662" s="36">
        <v>4.0</v>
      </c>
      <c r="D3662" s="37">
        <v>199.0</v>
      </c>
      <c r="E3662" s="37">
        <v>1.0</v>
      </c>
      <c r="F3662" s="24" t="str">
        <f t="array" ref="F3662">"https://www.google.com/maps/search/?api=1&amp;query=" &amp; A3662 &amp; "," &amp; B3662</f>
        <v>https://www.google.com/maps/search/?api=1&amp;query=-3.08949493146517,-55.55124179586520</v>
      </c>
      <c r="G3662" s="25" t="str">
        <f t="array" ref="G3662">"https://earth.google.com/web/search/" &amp; A3662 &amp; "," &amp; B3662</f>
        <v>https://earth.google.com/web/search/-3.08949493146517,-55.55124179586520</v>
      </c>
      <c r="H3662" s="12"/>
      <c r="I3662" s="12"/>
      <c r="J3662" s="12"/>
      <c r="K3662" s="12"/>
      <c r="L3662" s="12"/>
      <c r="M3662" s="12"/>
      <c r="N3662" s="12"/>
      <c r="O3662" s="12"/>
      <c r="P3662" s="12"/>
      <c r="Q3662" s="12"/>
      <c r="R3662" s="12"/>
      <c r="S3662" s="12"/>
      <c r="T3662" s="12"/>
      <c r="U3662" s="12"/>
      <c r="V3662" s="12"/>
      <c r="W3662" s="12"/>
      <c r="X3662" s="12"/>
      <c r="Y3662" s="12"/>
      <c r="Z3662" s="12"/>
      <c r="AA3662" s="12"/>
    </row>
    <row r="3663" ht="26.25" customHeight="1">
      <c r="A3663" s="28" t="s">
        <v>7336</v>
      </c>
      <c r="B3663" s="29" t="s">
        <v>7337</v>
      </c>
      <c r="C3663" s="30">
        <v>4.0</v>
      </c>
      <c r="D3663" s="31">
        <v>199.0</v>
      </c>
      <c r="E3663" s="31">
        <v>2.0</v>
      </c>
      <c r="F3663" s="32" t="str">
        <f t="array" ref="F3663">"https://www.google.com/maps/search/?api=1&amp;query=" &amp; A3663 &amp; "," &amp; B3663</f>
        <v>https://www.google.com/maps/search/?api=1&amp;query=-30.89508179195320,-55.55096504910470</v>
      </c>
      <c r="G3663" s="33" t="str">
        <f t="array" ref="G3663">"https://earth.google.com/web/search/" &amp; A3663 &amp; "," &amp; B3663</f>
        <v>https://earth.google.com/web/search/-30.89508179195320,-55.55096504910470</v>
      </c>
      <c r="H3663" s="12"/>
      <c r="I3663" s="12"/>
      <c r="J3663" s="12"/>
      <c r="K3663" s="12"/>
      <c r="L3663" s="12"/>
      <c r="M3663" s="12"/>
      <c r="N3663" s="12"/>
      <c r="O3663" s="12"/>
      <c r="P3663" s="12"/>
      <c r="Q3663" s="12"/>
      <c r="R3663" s="12"/>
      <c r="S3663" s="12"/>
      <c r="T3663" s="12"/>
      <c r="U3663" s="12"/>
      <c r="V3663" s="12"/>
      <c r="W3663" s="12"/>
      <c r="X3663" s="12"/>
      <c r="Y3663" s="12"/>
      <c r="Z3663" s="12"/>
      <c r="AA3663" s="12"/>
    </row>
    <row r="3664" ht="26.25" customHeight="1">
      <c r="A3664" s="34" t="s">
        <v>7338</v>
      </c>
      <c r="B3664" s="35" t="s">
        <v>7339</v>
      </c>
      <c r="C3664" s="36">
        <v>4.0</v>
      </c>
      <c r="D3664" s="37">
        <v>199.0</v>
      </c>
      <c r="E3664" s="37">
        <v>3.0</v>
      </c>
      <c r="F3664" s="24" t="str">
        <f t="array" ref="F3664">"https://www.google.com/maps/search/?api=1&amp;query=" &amp; A3664 &amp; "," &amp; B3664</f>
        <v>https://www.google.com/maps/search/?api=1&amp;query=-30.89520981152570,-5.55506718995961</v>
      </c>
      <c r="G3664" s="25" t="str">
        <f t="array" ref="G3664">"https://earth.google.com/web/search/" &amp; A3664 &amp; "," &amp; B3664</f>
        <v>https://earth.google.com/web/search/-30.89520981152570,-5.55506718995961</v>
      </c>
      <c r="H3664" s="12"/>
      <c r="I3664" s="12"/>
      <c r="J3664" s="12"/>
      <c r="K3664" s="12"/>
      <c r="L3664" s="12"/>
      <c r="M3664" s="12"/>
      <c r="N3664" s="12"/>
      <c r="O3664" s="12"/>
      <c r="P3664" s="12"/>
      <c r="Q3664" s="12"/>
      <c r="R3664" s="12"/>
      <c r="S3664" s="12"/>
      <c r="T3664" s="12"/>
      <c r="U3664" s="12"/>
      <c r="V3664" s="12"/>
      <c r="W3664" s="12"/>
      <c r="X3664" s="12"/>
      <c r="Y3664" s="12"/>
      <c r="Z3664" s="12"/>
      <c r="AA3664" s="12"/>
    </row>
    <row r="3665" ht="26.25" customHeight="1">
      <c r="A3665" s="28" t="s">
        <v>7340</v>
      </c>
      <c r="B3665" s="29" t="s">
        <v>7341</v>
      </c>
      <c r="C3665" s="30">
        <v>4.0</v>
      </c>
      <c r="D3665" s="31">
        <v>199.0</v>
      </c>
      <c r="E3665" s="31">
        <v>4.0</v>
      </c>
      <c r="F3665" s="32" t="str">
        <f t="array" ref="F3665">"https://www.google.com/maps/search/?api=1&amp;query=" &amp; A3665 &amp; "," &amp; B3665</f>
        <v>https://www.google.com/maps/search/?api=1&amp;query=-30.89445610440470,-55.55033739694610</v>
      </c>
      <c r="G3665" s="33" t="str">
        <f t="array" ref="G3665">"https://earth.google.com/web/search/" &amp; A3665 &amp; "," &amp; B3665</f>
        <v>https://earth.google.com/web/search/-30.89445610440470,-55.55033739694610</v>
      </c>
      <c r="H3665" s="12"/>
      <c r="I3665" s="12"/>
      <c r="J3665" s="12"/>
      <c r="K3665" s="12"/>
      <c r="L3665" s="12"/>
      <c r="M3665" s="12"/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/>
      <c r="AA3665" s="12"/>
    </row>
    <row r="3666" ht="26.25" customHeight="1">
      <c r="A3666" s="34" t="s">
        <v>7342</v>
      </c>
      <c r="B3666" s="35" t="s">
        <v>7343</v>
      </c>
      <c r="C3666" s="36">
        <v>4.0</v>
      </c>
      <c r="D3666" s="37">
        <v>199.0</v>
      </c>
      <c r="E3666" s="37">
        <v>5.0</v>
      </c>
      <c r="F3666" s="24" t="str">
        <f t="array" ref="F3666">"https://www.google.com/maps/search/?api=1&amp;query=" &amp; A3666 &amp; "," &amp; B3666</f>
        <v>https://www.google.com/maps/search/?api=1&amp;query=-30.89430772607160,-55.55086387354570</v>
      </c>
      <c r="G3666" s="25" t="str">
        <f t="array" ref="G3666">"https://earth.google.com/web/search/" &amp; A3666 &amp; "," &amp; B3666</f>
        <v>https://earth.google.com/web/search/-30.89430772607160,-55.55086387354570</v>
      </c>
      <c r="H3666" s="12"/>
      <c r="I3666" s="12"/>
      <c r="J3666" s="12"/>
      <c r="K3666" s="12"/>
      <c r="L3666" s="12"/>
      <c r="M3666" s="12"/>
      <c r="N3666" s="12"/>
      <c r="O3666" s="12"/>
      <c r="P3666" s="12"/>
      <c r="Q3666" s="12"/>
      <c r="R3666" s="12"/>
      <c r="S3666" s="12"/>
      <c r="T3666" s="12"/>
      <c r="U3666" s="12"/>
      <c r="V3666" s="12"/>
      <c r="W3666" s="12"/>
      <c r="X3666" s="12"/>
      <c r="Y3666" s="12"/>
      <c r="Z3666" s="12"/>
      <c r="AA3666" s="12"/>
    </row>
    <row r="3667" ht="26.25" customHeight="1">
      <c r="A3667" s="28" t="s">
        <v>7344</v>
      </c>
      <c r="B3667" s="29" t="s">
        <v>7345</v>
      </c>
      <c r="C3667" s="30">
        <v>4.0</v>
      </c>
      <c r="D3667" s="31">
        <v>199.0</v>
      </c>
      <c r="E3667" s="31">
        <v>6.0</v>
      </c>
      <c r="F3667" s="32" t="str">
        <f t="array" ref="F3667">"https://www.google.com/maps/search/?api=1&amp;query=" &amp; A3667 &amp; "," &amp; B3667</f>
        <v>https://www.google.com/maps/search/?api=1&amp;query=-30.89472659465380,-55.55117298515110</v>
      </c>
      <c r="G3667" s="33" t="str">
        <f t="array" ref="G3667">"https://earth.google.com/web/search/" &amp; A3667 &amp; "," &amp; B3667</f>
        <v>https://earth.google.com/web/search/-30.89472659465380,-55.55117298515110</v>
      </c>
      <c r="H3667" s="12"/>
      <c r="I3667" s="12"/>
      <c r="J3667" s="12"/>
      <c r="K3667" s="12"/>
      <c r="L3667" s="12"/>
      <c r="M3667" s="12"/>
      <c r="N3667" s="12"/>
      <c r="O3667" s="12"/>
      <c r="P3667" s="12"/>
      <c r="Q3667" s="12"/>
      <c r="R3667" s="12"/>
      <c r="S3667" s="12"/>
      <c r="T3667" s="12"/>
      <c r="U3667" s="12"/>
      <c r="V3667" s="12"/>
      <c r="W3667" s="12"/>
      <c r="X3667" s="12"/>
      <c r="Y3667" s="12"/>
      <c r="Z3667" s="12"/>
      <c r="AA3667" s="12"/>
    </row>
    <row r="3668" ht="26.25" customHeight="1">
      <c r="A3668" s="34" t="s">
        <v>7346</v>
      </c>
      <c r="B3668" s="35" t="s">
        <v>7347</v>
      </c>
      <c r="C3668" s="36">
        <v>4.0</v>
      </c>
      <c r="D3668" s="37">
        <v>200.0</v>
      </c>
      <c r="E3668" s="37">
        <v>1.0</v>
      </c>
      <c r="F3668" s="24" t="str">
        <f t="array" ref="F3668">"https://www.google.com/maps/search/?api=1&amp;query=" &amp; A3668 &amp; "," &amp; B3668</f>
        <v>https://www.google.com/maps/search/?api=1&amp;query=-30.89451260789110,-55.55203444899050</v>
      </c>
      <c r="G3668" s="25" t="str">
        <f t="array" ref="G3668">"https://earth.google.com/web/search/" &amp; A3668 &amp; "," &amp; B3668</f>
        <v>https://earth.google.com/web/search/-30.89451260789110,-55.55203444899050</v>
      </c>
      <c r="H3668" s="12"/>
      <c r="I3668" s="12"/>
      <c r="J3668" s="12"/>
      <c r="K3668" s="12"/>
      <c r="L3668" s="12"/>
      <c r="M3668" s="12"/>
      <c r="N3668" s="12"/>
      <c r="O3668" s="12"/>
      <c r="P3668" s="12"/>
      <c r="Q3668" s="12"/>
      <c r="R3668" s="12"/>
      <c r="S3668" s="12"/>
      <c r="T3668" s="12"/>
      <c r="U3668" s="12"/>
      <c r="V3668" s="12"/>
      <c r="W3668" s="12"/>
      <c r="X3668" s="12"/>
      <c r="Y3668" s="12"/>
      <c r="Z3668" s="12"/>
      <c r="AA3668" s="12"/>
    </row>
    <row r="3669" ht="26.25" customHeight="1">
      <c r="A3669" s="28" t="s">
        <v>7348</v>
      </c>
      <c r="B3669" s="29" t="s">
        <v>7349</v>
      </c>
      <c r="C3669" s="30">
        <v>4.0</v>
      </c>
      <c r="D3669" s="31">
        <v>200.0</v>
      </c>
      <c r="E3669" s="31">
        <v>2.0</v>
      </c>
      <c r="F3669" s="32" t="str">
        <f t="array" ref="F3669">"https://www.google.com/maps/search/?api=1&amp;query=" &amp; A3669 &amp; "," &amp; B3669</f>
        <v>https://www.google.com/maps/search/?api=1&amp;query=-30.89482258345520,-55.55136122590480</v>
      </c>
      <c r="G3669" s="33" t="str">
        <f t="array" ref="G3669">"https://earth.google.com/web/search/" &amp; A3669 &amp; "," &amp; B3669</f>
        <v>https://earth.google.com/web/search/-30.89482258345520,-55.55136122590480</v>
      </c>
      <c r="H3669" s="12"/>
      <c r="I3669" s="12"/>
      <c r="J3669" s="12"/>
      <c r="K3669" s="12"/>
      <c r="L3669" s="12"/>
      <c r="M3669" s="12"/>
      <c r="N3669" s="12"/>
      <c r="O3669" s="12"/>
      <c r="P3669" s="12"/>
      <c r="Q3669" s="12"/>
      <c r="R3669" s="12"/>
      <c r="S3669" s="12"/>
      <c r="T3669" s="12"/>
      <c r="U3669" s="12"/>
      <c r="V3669" s="12"/>
      <c r="W3669" s="12"/>
      <c r="X3669" s="12"/>
      <c r="Y3669" s="12"/>
      <c r="Z3669" s="12"/>
      <c r="AA3669" s="12"/>
    </row>
    <row r="3670" ht="26.25" customHeight="1">
      <c r="A3670" s="34" t="s">
        <v>7350</v>
      </c>
      <c r="B3670" s="35" t="s">
        <v>7351</v>
      </c>
      <c r="C3670" s="36">
        <v>4.0</v>
      </c>
      <c r="D3670" s="37">
        <v>200.0</v>
      </c>
      <c r="E3670" s="37">
        <v>3.0</v>
      </c>
      <c r="F3670" s="24" t="str">
        <f t="array" ref="F3670">"https://www.google.com/maps/search/?api=1&amp;query=" &amp; A3670 &amp; "," &amp; B3670</f>
        <v>https://www.google.com/maps/search/?api=1&amp;query=-30.89471607087960,-55.55126405042970</v>
      </c>
      <c r="G3670" s="25" t="str">
        <f t="array" ref="G3670">"https://earth.google.com/web/search/" &amp; A3670 &amp; "," &amp; B3670</f>
        <v>https://earth.google.com/web/search/-30.89471607087960,-55.55126405042970</v>
      </c>
      <c r="H3670" s="12"/>
      <c r="I3670" s="12"/>
      <c r="J3670" s="12"/>
      <c r="K3670" s="12"/>
      <c r="L3670" s="12"/>
      <c r="M3670" s="12"/>
      <c r="N3670" s="12"/>
      <c r="O3670" s="12"/>
      <c r="P3670" s="12"/>
      <c r="Q3670" s="12"/>
      <c r="R3670" s="12"/>
      <c r="S3670" s="12"/>
      <c r="T3670" s="12"/>
      <c r="U3670" s="12"/>
      <c r="V3670" s="12"/>
      <c r="W3670" s="12"/>
      <c r="X3670" s="12"/>
      <c r="Y3670" s="12"/>
      <c r="Z3670" s="12"/>
      <c r="AA3670" s="12"/>
    </row>
    <row r="3671" ht="26.25" customHeight="1">
      <c r="A3671" s="28" t="s">
        <v>7352</v>
      </c>
      <c r="B3671" s="29" t="s">
        <v>7353</v>
      </c>
      <c r="C3671" s="30">
        <v>4.0</v>
      </c>
      <c r="D3671" s="31">
        <v>200.0</v>
      </c>
      <c r="E3671" s="31">
        <v>4.0</v>
      </c>
      <c r="F3671" s="32" t="str">
        <f t="array" ref="F3671">"https://www.google.com/maps/search/?api=1&amp;query=" &amp; A3671 &amp; "," &amp; B3671</f>
        <v>https://www.google.com/maps/search/?api=1&amp;query=-30.89436754397620,-55.55103561987260</v>
      </c>
      <c r="G3671" s="33" t="str">
        <f t="array" ref="G3671">"https://earth.google.com/web/search/" &amp; A3671 &amp; "," &amp; B3671</f>
        <v>https://earth.google.com/web/search/-30.89436754397620,-55.55103561987260</v>
      </c>
      <c r="H3671" s="12"/>
      <c r="I3671" s="12"/>
      <c r="J3671" s="12"/>
      <c r="K3671" s="12"/>
      <c r="L3671" s="12"/>
      <c r="M3671" s="12"/>
      <c r="N3671" s="12"/>
      <c r="O3671" s="12"/>
      <c r="P3671" s="12"/>
      <c r="Q3671" s="12"/>
      <c r="R3671" s="12"/>
      <c r="S3671" s="12"/>
      <c r="T3671" s="12"/>
      <c r="U3671" s="12"/>
      <c r="V3671" s="12"/>
      <c r="W3671" s="12"/>
      <c r="X3671" s="12"/>
      <c r="Y3671" s="12"/>
      <c r="Z3671" s="12"/>
      <c r="AA3671" s="12"/>
    </row>
    <row r="3672" ht="26.25" customHeight="1">
      <c r="A3672" s="34" t="s">
        <v>7354</v>
      </c>
      <c r="B3672" s="35" t="s">
        <v>7355</v>
      </c>
      <c r="C3672" s="36">
        <v>4.0</v>
      </c>
      <c r="D3672" s="37">
        <v>200.0</v>
      </c>
      <c r="E3672" s="37">
        <v>5.0</v>
      </c>
      <c r="F3672" s="24" t="str">
        <f t="array" ref="F3672">"https://www.google.com/maps/search/?api=1&amp;query=" &amp; A3672 &amp; "," &amp; B3672</f>
        <v>https://www.google.com/maps/search/?api=1&amp;query=-30.89422065498810,-55.55091842162810</v>
      </c>
      <c r="G3672" s="25" t="str">
        <f t="array" ref="G3672">"https://earth.google.com/web/search/" &amp; A3672 &amp; "," &amp; B3672</f>
        <v>https://earth.google.com/web/search/-30.89422065498810,-55.55091842162810</v>
      </c>
      <c r="H3672" s="12"/>
      <c r="I3672" s="12"/>
      <c r="J3672" s="12"/>
      <c r="K3672" s="12"/>
      <c r="L3672" s="12"/>
      <c r="M3672" s="12"/>
      <c r="N3672" s="12"/>
      <c r="O3672" s="12"/>
      <c r="P3672" s="12"/>
      <c r="Q3672" s="12"/>
      <c r="R3672" s="12"/>
      <c r="S3672" s="12"/>
      <c r="T3672" s="12"/>
      <c r="U3672" s="12"/>
      <c r="V3672" s="12"/>
      <c r="W3672" s="12"/>
      <c r="X3672" s="12"/>
      <c r="Y3672" s="12"/>
      <c r="Z3672" s="12"/>
      <c r="AA3672" s="12"/>
    </row>
    <row r="3673" ht="26.25" customHeight="1">
      <c r="A3673" s="28" t="s">
        <v>7356</v>
      </c>
      <c r="B3673" s="29" t="s">
        <v>7357</v>
      </c>
      <c r="C3673" s="30">
        <v>4.0</v>
      </c>
      <c r="D3673" s="31">
        <v>200.0</v>
      </c>
      <c r="E3673" s="31">
        <v>6.0</v>
      </c>
      <c r="F3673" s="32" t="str">
        <f t="array" ref="F3673">"https://www.google.com/maps/search/?api=1&amp;query=" &amp; A3673 &amp; "," &amp; B3673</f>
        <v>https://www.google.com/maps/search/?api=1&amp;query=-30.89411281016420,-5.55509304882647</v>
      </c>
      <c r="G3673" s="33" t="str">
        <f t="array" ref="G3673">"https://earth.google.com/web/search/" &amp; A3673 &amp; "," &amp; B3673</f>
        <v>https://earth.google.com/web/search/-30.89411281016420,-5.55509304882647</v>
      </c>
      <c r="H3673" s="12"/>
      <c r="I3673" s="12"/>
      <c r="J3673" s="12"/>
      <c r="K3673" s="12"/>
      <c r="L3673" s="12"/>
      <c r="M3673" s="12"/>
      <c r="N3673" s="12"/>
      <c r="O3673" s="12"/>
      <c r="P3673" s="12"/>
      <c r="Q3673" s="12"/>
      <c r="R3673" s="12"/>
      <c r="S3673" s="12"/>
      <c r="T3673" s="12"/>
      <c r="U3673" s="12"/>
      <c r="V3673" s="12"/>
      <c r="W3673" s="12"/>
      <c r="X3673" s="12"/>
      <c r="Y3673" s="12"/>
      <c r="Z3673" s="12"/>
      <c r="AA3673" s="12"/>
    </row>
    <row r="3674" ht="26.25" customHeight="1">
      <c r="A3674" s="34" t="s">
        <v>7358</v>
      </c>
      <c r="B3674" s="35" t="s">
        <v>7359</v>
      </c>
      <c r="C3674" s="36">
        <v>4.0</v>
      </c>
      <c r="D3674" s="37">
        <v>200.0</v>
      </c>
      <c r="E3674" s="37">
        <v>7.0</v>
      </c>
      <c r="F3674" s="24" t="str">
        <f t="array" ref="F3674">"https://www.google.com/maps/search/?api=1&amp;query=" &amp; A3674 &amp; "," &amp; B3674</f>
        <v>https://www.google.com/maps/search/?api=1&amp;query=-30.89382385563210,-55.55148549723880</v>
      </c>
      <c r="G3674" s="25" t="str">
        <f t="array" ref="G3674">"https://earth.google.com/web/search/" &amp; A3674 &amp; "," &amp; B3674</f>
        <v>https://earth.google.com/web/search/-30.89382385563210,-55.55148549723880</v>
      </c>
      <c r="H3674" s="12"/>
      <c r="I3674" s="12"/>
      <c r="J3674" s="12"/>
      <c r="K3674" s="12"/>
      <c r="L3674" s="12"/>
      <c r="M3674" s="12"/>
      <c r="N3674" s="12"/>
      <c r="O3674" s="12"/>
      <c r="P3674" s="12"/>
      <c r="Q3674" s="12"/>
      <c r="R3674" s="12"/>
      <c r="S3674" s="12"/>
      <c r="T3674" s="12"/>
      <c r="U3674" s="12"/>
      <c r="V3674" s="12"/>
      <c r="W3674" s="12"/>
      <c r="X3674" s="12"/>
      <c r="Y3674" s="12"/>
      <c r="Z3674" s="12"/>
      <c r="AA3674" s="12"/>
    </row>
    <row r="3675" ht="26.25" customHeight="1">
      <c r="A3675" s="28" t="s">
        <v>7360</v>
      </c>
      <c r="B3675" s="29" t="s">
        <v>7361</v>
      </c>
      <c r="C3675" s="30">
        <v>4.0</v>
      </c>
      <c r="D3675" s="31">
        <v>200.0</v>
      </c>
      <c r="E3675" s="31">
        <v>8.0</v>
      </c>
      <c r="F3675" s="32" t="str">
        <f t="array" ref="F3675">"https://www.google.com/maps/search/?api=1&amp;query=" &amp; A3675 &amp; "," &amp; B3675</f>
        <v>https://www.google.com/maps/search/?api=1&amp;query=-30.89411497139820,-5.55519712374936</v>
      </c>
      <c r="G3675" s="33" t="str">
        <f t="array" ref="G3675">"https://earth.google.com/web/search/" &amp; A3675 &amp; "," &amp; B3675</f>
        <v>https://earth.google.com/web/search/-30.89411497139820,-5.55519712374936</v>
      </c>
      <c r="H3675" s="12"/>
      <c r="I3675" s="12"/>
      <c r="J3675" s="12"/>
      <c r="K3675" s="12"/>
      <c r="L3675" s="12"/>
      <c r="M3675" s="12"/>
      <c r="N3675" s="12"/>
      <c r="O3675" s="12"/>
      <c r="P3675" s="12"/>
      <c r="Q3675" s="12"/>
      <c r="R3675" s="12"/>
      <c r="S3675" s="12"/>
      <c r="T3675" s="12"/>
      <c r="U3675" s="12"/>
      <c r="V3675" s="12"/>
      <c r="W3675" s="12"/>
      <c r="X3675" s="12"/>
      <c r="Y3675" s="12"/>
      <c r="Z3675" s="12"/>
      <c r="AA3675" s="12"/>
    </row>
    <row r="3676" ht="26.25" customHeight="1">
      <c r="A3676" s="34" t="s">
        <v>7362</v>
      </c>
      <c r="B3676" s="35" t="s">
        <v>7363</v>
      </c>
      <c r="C3676" s="36">
        <v>4.0</v>
      </c>
      <c r="D3676" s="37">
        <v>200.0</v>
      </c>
      <c r="E3676" s="37">
        <v>9.0</v>
      </c>
      <c r="F3676" s="24" t="str">
        <f t="array" ref="F3676">"https://www.google.com/maps/search/?api=1&amp;query=" &amp; A3676 &amp; "," &amp; B3676</f>
        <v>https://www.google.com/maps/search/?api=1&amp;query=-30.89427759686450,-55.55209736230900</v>
      </c>
      <c r="G3676" s="25" t="str">
        <f t="array" ref="G3676">"https://earth.google.com/web/search/" &amp; A3676 &amp; "," &amp; B3676</f>
        <v>https://earth.google.com/web/search/-30.89427759686450,-55.55209736230900</v>
      </c>
      <c r="H3676" s="12"/>
      <c r="I3676" s="12"/>
      <c r="J3676" s="12"/>
      <c r="K3676" s="12"/>
      <c r="L3676" s="12"/>
      <c r="M3676" s="12"/>
      <c r="N3676" s="12"/>
      <c r="O3676" s="12"/>
      <c r="P3676" s="12"/>
      <c r="Q3676" s="12"/>
      <c r="R3676" s="12"/>
      <c r="S3676" s="12"/>
      <c r="T3676" s="12"/>
      <c r="U3676" s="12"/>
      <c r="V3676" s="12"/>
      <c r="W3676" s="12"/>
      <c r="X3676" s="12"/>
      <c r="Y3676" s="12"/>
      <c r="Z3676" s="12"/>
      <c r="AA3676" s="12"/>
    </row>
    <row r="3677" ht="26.25" customHeight="1">
      <c r="A3677" s="28" t="s">
        <v>7364</v>
      </c>
      <c r="B3677" s="29" t="s">
        <v>7365</v>
      </c>
      <c r="C3677" s="30">
        <v>4.0</v>
      </c>
      <c r="D3677" s="31">
        <v>201.0</v>
      </c>
      <c r="E3677" s="31">
        <v>1.0</v>
      </c>
      <c r="F3677" s="32" t="str">
        <f t="array" ref="F3677">"https://www.google.com/maps/search/?api=1&amp;query=" &amp; A3677 &amp; "," &amp; B3677</f>
        <v>https://www.google.com/maps/search/?api=1&amp;query=-30.89399931809870,-55.55299064129700</v>
      </c>
      <c r="G3677" s="33" t="str">
        <f t="array" ref="G3677">"https://earth.google.com/web/search/" &amp; A3677 &amp; "," &amp; B3677</f>
        <v>https://earth.google.com/web/search/-30.89399931809870,-55.55299064129700</v>
      </c>
      <c r="H3677" s="12"/>
      <c r="I3677" s="12"/>
      <c r="J3677" s="12"/>
      <c r="K3677" s="12"/>
      <c r="L3677" s="12"/>
      <c r="M3677" s="12"/>
      <c r="N3677" s="12"/>
      <c r="O3677" s="12"/>
      <c r="P3677" s="12"/>
      <c r="Q3677" s="12"/>
      <c r="R3677" s="12"/>
      <c r="S3677" s="12"/>
      <c r="T3677" s="12"/>
      <c r="U3677" s="12"/>
      <c r="V3677" s="12"/>
      <c r="W3677" s="12"/>
      <c r="X3677" s="12"/>
      <c r="Y3677" s="12"/>
      <c r="Z3677" s="12"/>
      <c r="AA3677" s="12"/>
    </row>
    <row r="3678" ht="26.25" customHeight="1">
      <c r="A3678" s="34" t="s">
        <v>7366</v>
      </c>
      <c r="B3678" s="35" t="s">
        <v>7367</v>
      </c>
      <c r="C3678" s="36">
        <v>4.0</v>
      </c>
      <c r="D3678" s="37">
        <v>201.0</v>
      </c>
      <c r="E3678" s="37">
        <v>2.0</v>
      </c>
      <c r="F3678" s="24" t="str">
        <f t="array" ref="F3678">"https://www.google.com/maps/search/?api=1&amp;query=" &amp; A3678 &amp; "," &amp; B3678</f>
        <v>https://www.google.com/maps/search/?api=1&amp;query=-30.89413226611560,-55.55273680708790</v>
      </c>
      <c r="G3678" s="25" t="str">
        <f t="array" ref="G3678">"https://earth.google.com/web/search/" &amp; A3678 &amp; "," &amp; B3678</f>
        <v>https://earth.google.com/web/search/-30.89413226611560,-55.55273680708790</v>
      </c>
      <c r="H3678" s="12"/>
      <c r="I3678" s="12"/>
      <c r="J3678" s="12"/>
      <c r="K3678" s="12"/>
      <c r="L3678" s="12"/>
      <c r="M3678" s="12"/>
      <c r="N3678" s="12"/>
      <c r="O3678" s="12"/>
      <c r="P3678" s="12"/>
      <c r="Q3678" s="12"/>
      <c r="R3678" s="12"/>
      <c r="S3678" s="12"/>
      <c r="T3678" s="12"/>
      <c r="U3678" s="12"/>
      <c r="V3678" s="12"/>
      <c r="W3678" s="12"/>
      <c r="X3678" s="12"/>
      <c r="Y3678" s="12"/>
      <c r="Z3678" s="12"/>
      <c r="AA3678" s="12"/>
    </row>
    <row r="3679" ht="26.25" customHeight="1">
      <c r="A3679" s="28" t="s">
        <v>7368</v>
      </c>
      <c r="B3679" s="29" t="s">
        <v>7369</v>
      </c>
      <c r="C3679" s="30">
        <v>4.0</v>
      </c>
      <c r="D3679" s="31">
        <v>201.0</v>
      </c>
      <c r="E3679" s="31">
        <v>3.0</v>
      </c>
      <c r="F3679" s="32" t="str">
        <f t="array" ref="F3679">"https://www.google.com/maps/search/?api=1&amp;query=" &amp; A3679 &amp; "," &amp; B3679</f>
        <v>https://www.google.com/maps/search/?api=1&amp;query=-30.89424636585010,-55.55250174650840</v>
      </c>
      <c r="G3679" s="33" t="str">
        <f t="array" ref="G3679">"https://earth.google.com/web/search/" &amp; A3679 &amp; "," &amp; B3679</f>
        <v>https://earth.google.com/web/search/-30.89424636585010,-55.55250174650840</v>
      </c>
      <c r="H3679" s="12"/>
      <c r="I3679" s="12"/>
      <c r="J3679" s="12"/>
      <c r="K3679" s="12"/>
      <c r="L3679" s="12"/>
      <c r="M3679" s="12"/>
      <c r="N3679" s="12"/>
      <c r="O3679" s="12"/>
      <c r="P3679" s="12"/>
      <c r="Q3679" s="12"/>
      <c r="R3679" s="12"/>
      <c r="S3679" s="12"/>
      <c r="T3679" s="12"/>
      <c r="U3679" s="12"/>
      <c r="V3679" s="12"/>
      <c r="W3679" s="12"/>
      <c r="X3679" s="12"/>
      <c r="Y3679" s="12"/>
      <c r="Z3679" s="12"/>
      <c r="AA3679" s="12"/>
    </row>
    <row r="3680" ht="26.25" customHeight="1">
      <c r="A3680" s="34" t="s">
        <v>7370</v>
      </c>
      <c r="B3680" s="35" t="s">
        <v>7371</v>
      </c>
      <c r="C3680" s="36">
        <v>4.0</v>
      </c>
      <c r="D3680" s="37">
        <v>201.0</v>
      </c>
      <c r="E3680" s="37">
        <v>4.0</v>
      </c>
      <c r="F3680" s="24" t="str">
        <f t="array" ref="F3680">"https://www.google.com/maps/search/?api=1&amp;query=" &amp; A3680 &amp; "," &amp; B3680</f>
        <v>https://www.google.com/maps/search/?api=1&amp;query=-30.89341530957110,-55.55226050469990</v>
      </c>
      <c r="G3680" s="25" t="str">
        <f t="array" ref="G3680">"https://earth.google.com/web/search/" &amp; A3680 &amp; "," &amp; B3680</f>
        <v>https://earth.google.com/web/search/-30.89341530957110,-55.55226050469990</v>
      </c>
      <c r="H3680" s="12"/>
      <c r="I3680" s="12"/>
      <c r="J3680" s="12"/>
      <c r="K3680" s="12"/>
      <c r="L3680" s="12"/>
      <c r="M3680" s="12"/>
      <c r="N3680" s="12"/>
      <c r="O3680" s="12"/>
      <c r="P3680" s="12"/>
      <c r="Q3680" s="12"/>
      <c r="R3680" s="12"/>
      <c r="S3680" s="12"/>
      <c r="T3680" s="12"/>
      <c r="U3680" s="12"/>
      <c r="V3680" s="12"/>
      <c r="W3680" s="12"/>
      <c r="X3680" s="12"/>
      <c r="Y3680" s="12"/>
      <c r="Z3680" s="12"/>
      <c r="AA3680" s="12"/>
    </row>
    <row r="3681" ht="26.25" customHeight="1">
      <c r="A3681" s="28" t="s">
        <v>7372</v>
      </c>
      <c r="B3681" s="29" t="s">
        <v>7373</v>
      </c>
      <c r="C3681" s="30">
        <v>4.0</v>
      </c>
      <c r="D3681" s="31">
        <v>201.0</v>
      </c>
      <c r="E3681" s="31">
        <v>5.0</v>
      </c>
      <c r="F3681" s="32" t="str">
        <f t="array" ref="F3681">"https://www.google.com/maps/search/?api=1&amp;query=" &amp; A3681 &amp; "," &amp; B3681</f>
        <v>https://www.google.com/maps/search/?api=1&amp;query=-30.89332632829160,-55.55246033961890</v>
      </c>
      <c r="G3681" s="33" t="str">
        <f t="array" ref="G3681">"https://earth.google.com/web/search/" &amp; A3681 &amp; "," &amp; B3681</f>
        <v>https://earth.google.com/web/search/-30.89332632829160,-55.55246033961890</v>
      </c>
      <c r="H3681" s="12"/>
      <c r="I3681" s="12"/>
      <c r="J3681" s="12"/>
      <c r="K3681" s="12"/>
      <c r="L3681" s="12"/>
      <c r="M3681" s="12"/>
      <c r="N3681" s="12"/>
      <c r="O3681" s="12"/>
      <c r="P3681" s="12"/>
      <c r="Q3681" s="12"/>
      <c r="R3681" s="12"/>
      <c r="S3681" s="12"/>
      <c r="T3681" s="12"/>
      <c r="U3681" s="12"/>
      <c r="V3681" s="12"/>
      <c r="W3681" s="12"/>
      <c r="X3681" s="12"/>
      <c r="Y3681" s="12"/>
      <c r="Z3681" s="12"/>
      <c r="AA3681" s="12"/>
    </row>
    <row r="3682" ht="26.25" customHeight="1">
      <c r="A3682" s="34" t="s">
        <v>7374</v>
      </c>
      <c r="B3682" s="35" t="s">
        <v>7375</v>
      </c>
      <c r="C3682" s="36">
        <v>4.0</v>
      </c>
      <c r="D3682" s="37">
        <v>201.0</v>
      </c>
      <c r="E3682" s="37">
        <v>6.0</v>
      </c>
      <c r="F3682" s="24" t="str">
        <f t="array" ref="F3682">"https://www.google.com/maps/search/?api=1&amp;query=" &amp; A3682 &amp; "," &amp; B3682</f>
        <v>https://www.google.com/maps/search/?api=1&amp;query=-3.08933407001422,-55.55265610238320</v>
      </c>
      <c r="G3682" s="25" t="str">
        <f t="array" ref="G3682">"https://earth.google.com/web/search/" &amp; A3682 &amp; "," &amp; B3682</f>
        <v>https://earth.google.com/web/search/-3.08933407001422,-55.55265610238320</v>
      </c>
      <c r="H3682" s="12"/>
      <c r="I3682" s="12"/>
      <c r="J3682" s="12"/>
      <c r="K3682" s="12"/>
      <c r="L3682" s="12"/>
      <c r="M3682" s="12"/>
      <c r="N3682" s="12"/>
      <c r="O3682" s="12"/>
      <c r="P3682" s="12"/>
      <c r="Q3682" s="12"/>
      <c r="R3682" s="12"/>
      <c r="S3682" s="12"/>
      <c r="T3682" s="12"/>
      <c r="U3682" s="12"/>
      <c r="V3682" s="12"/>
      <c r="W3682" s="12"/>
      <c r="X3682" s="12"/>
      <c r="Y3682" s="12"/>
      <c r="Z3682" s="12"/>
      <c r="AA3682" s="12"/>
    </row>
    <row r="3683" ht="26.25" customHeight="1">
      <c r="A3683" s="28" t="s">
        <v>7376</v>
      </c>
      <c r="B3683" s="29" t="s">
        <v>7377</v>
      </c>
      <c r="C3683" s="30">
        <v>4.0</v>
      </c>
      <c r="D3683" s="31">
        <v>202.0</v>
      </c>
      <c r="E3683" s="31">
        <v>1.0</v>
      </c>
      <c r="F3683" s="32" t="str">
        <f t="array" ref="F3683">"https://www.google.com/maps/search/?api=1&amp;query=" &amp; A3683 &amp; "," &amp; B3683</f>
        <v>https://www.google.com/maps/search/?api=1&amp;query=-30.89352826582710,-5.55539163589865</v>
      </c>
      <c r="G3683" s="33" t="str">
        <f t="array" ref="G3683">"https://earth.google.com/web/search/" &amp; A3683 &amp; "," &amp; B3683</f>
        <v>https://earth.google.com/web/search/-30.89352826582710,-5.55539163589865</v>
      </c>
      <c r="H3683" s="12"/>
      <c r="I3683" s="12"/>
      <c r="J3683" s="12"/>
      <c r="K3683" s="12"/>
      <c r="L3683" s="12"/>
      <c r="M3683" s="12"/>
      <c r="N3683" s="12"/>
      <c r="O3683" s="12"/>
      <c r="P3683" s="12"/>
      <c r="Q3683" s="12"/>
      <c r="R3683" s="12"/>
      <c r="S3683" s="12"/>
      <c r="T3683" s="12"/>
      <c r="U3683" s="12"/>
      <c r="V3683" s="12"/>
      <c r="W3683" s="12"/>
      <c r="X3683" s="12"/>
      <c r="Y3683" s="12"/>
      <c r="Z3683" s="12"/>
      <c r="AA3683" s="12"/>
    </row>
    <row r="3684" ht="26.25" customHeight="1">
      <c r="A3684" s="34" t="s">
        <v>7378</v>
      </c>
      <c r="B3684" s="35" t="s">
        <v>7379</v>
      </c>
      <c r="C3684" s="36">
        <v>4.0</v>
      </c>
      <c r="D3684" s="37">
        <v>202.0</v>
      </c>
      <c r="E3684" s="37">
        <v>2.0</v>
      </c>
      <c r="F3684" s="24" t="str">
        <f t="array" ref="F3684">"https://www.google.com/maps/search/?api=1&amp;query=" &amp; A3684 &amp; "," &amp; B3684</f>
        <v>https://www.google.com/maps/search/?api=1&amp;query=-30.89357064035030,-55.55380579612600</v>
      </c>
      <c r="G3684" s="25" t="str">
        <f t="array" ref="G3684">"https://earth.google.com/web/search/" &amp; A3684 &amp; "," &amp; B3684</f>
        <v>https://earth.google.com/web/search/-30.89357064035030,-55.55380579612600</v>
      </c>
      <c r="H3684" s="12"/>
      <c r="I3684" s="12"/>
      <c r="J3684" s="12"/>
      <c r="K3684" s="12"/>
      <c r="L3684" s="12"/>
      <c r="M3684" s="12"/>
      <c r="N3684" s="12"/>
      <c r="O3684" s="12"/>
      <c r="P3684" s="12"/>
      <c r="Q3684" s="12"/>
      <c r="R3684" s="12"/>
      <c r="S3684" s="12"/>
      <c r="T3684" s="12"/>
      <c r="U3684" s="12"/>
      <c r="V3684" s="12"/>
      <c r="W3684" s="12"/>
      <c r="X3684" s="12"/>
      <c r="Y3684" s="12"/>
      <c r="Z3684" s="12"/>
      <c r="AA3684" s="12"/>
    </row>
    <row r="3685" ht="26.25" customHeight="1">
      <c r="A3685" s="28" t="s">
        <v>7380</v>
      </c>
      <c r="B3685" s="29" t="s">
        <v>7381</v>
      </c>
      <c r="C3685" s="30">
        <v>4.0</v>
      </c>
      <c r="D3685" s="31">
        <v>202.0</v>
      </c>
      <c r="E3685" s="31">
        <v>3.0</v>
      </c>
      <c r="F3685" s="32" t="str">
        <f t="array" ref="F3685">"https://www.google.com/maps/search/?api=1&amp;query=" &amp; A3685 &amp; "," &amp; B3685</f>
        <v>https://www.google.com/maps/search/?api=1&amp;query=-30.89365764660680,-55.55363596180550</v>
      </c>
      <c r="G3685" s="33" t="str">
        <f t="array" ref="G3685">"https://earth.google.com/web/search/" &amp; A3685 &amp; "," &amp; B3685</f>
        <v>https://earth.google.com/web/search/-30.89365764660680,-55.55363596180550</v>
      </c>
      <c r="H3685" s="12"/>
      <c r="I3685" s="12"/>
      <c r="J3685" s="12"/>
      <c r="K3685" s="12"/>
      <c r="L3685" s="12"/>
      <c r="M3685" s="12"/>
      <c r="N3685" s="12"/>
      <c r="O3685" s="12"/>
      <c r="P3685" s="12"/>
      <c r="Q3685" s="12"/>
      <c r="R3685" s="12"/>
      <c r="S3685" s="12"/>
      <c r="T3685" s="12"/>
      <c r="U3685" s="12"/>
      <c r="V3685" s="12"/>
      <c r="W3685" s="12"/>
      <c r="X3685" s="12"/>
      <c r="Y3685" s="12"/>
      <c r="Z3685" s="12"/>
      <c r="AA3685" s="12"/>
    </row>
    <row r="3686" ht="26.25" customHeight="1">
      <c r="A3686" s="34" t="s">
        <v>7382</v>
      </c>
      <c r="B3686" s="35" t="s">
        <v>7383</v>
      </c>
      <c r="C3686" s="36">
        <v>4.0</v>
      </c>
      <c r="D3686" s="37">
        <v>202.0</v>
      </c>
      <c r="E3686" s="37">
        <v>4.0</v>
      </c>
      <c r="F3686" s="24" t="str">
        <f t="array" ref="F3686">"https://www.google.com/maps/search/?api=1&amp;query=" &amp; A3686 &amp; "," &amp; B3686</f>
        <v>https://www.google.com/maps/search/?api=1&amp;query=-30.89373295434760,-55.55349978762480</v>
      </c>
      <c r="G3686" s="25" t="str">
        <f t="array" ref="G3686">"https://earth.google.com/web/search/" &amp; A3686 &amp; "," &amp; B3686</f>
        <v>https://earth.google.com/web/search/-30.89373295434760,-55.55349978762480</v>
      </c>
      <c r="H3686" s="12"/>
      <c r="I3686" s="12"/>
      <c r="J3686" s="12"/>
      <c r="K3686" s="12"/>
      <c r="L3686" s="12"/>
      <c r="M3686" s="12"/>
      <c r="N3686" s="12"/>
      <c r="O3686" s="12"/>
      <c r="P3686" s="12"/>
      <c r="Q3686" s="12"/>
      <c r="R3686" s="12"/>
      <c r="S3686" s="12"/>
      <c r="T3686" s="12"/>
      <c r="U3686" s="12"/>
      <c r="V3686" s="12"/>
      <c r="W3686" s="12"/>
      <c r="X3686" s="12"/>
      <c r="Y3686" s="12"/>
      <c r="Z3686" s="12"/>
      <c r="AA3686" s="12"/>
    </row>
    <row r="3687" ht="26.25" customHeight="1">
      <c r="A3687" s="28" t="s">
        <v>7384</v>
      </c>
      <c r="B3687" s="29" t="s">
        <v>7385</v>
      </c>
      <c r="C3687" s="30">
        <v>4.0</v>
      </c>
      <c r="D3687" s="31">
        <v>202.0</v>
      </c>
      <c r="E3687" s="31">
        <v>5.0</v>
      </c>
      <c r="F3687" s="32" t="str">
        <f t="array" ref="F3687">"https://www.google.com/maps/search/?api=1&amp;query=" &amp; A3687 &amp; "," &amp; B3687</f>
        <v>https://www.google.com/maps/search/?api=1&amp;query=-30.89351926664590,-55.55291442126360</v>
      </c>
      <c r="G3687" s="33" t="str">
        <f t="array" ref="G3687">"https://earth.google.com/web/search/" &amp; A3687 &amp; "," &amp; B3687</f>
        <v>https://earth.google.com/web/search/-30.89351926664590,-55.55291442126360</v>
      </c>
      <c r="H3687" s="12"/>
      <c r="I3687" s="12"/>
      <c r="J3687" s="12"/>
      <c r="K3687" s="12"/>
      <c r="L3687" s="12"/>
      <c r="M3687" s="12"/>
      <c r="N3687" s="12"/>
      <c r="O3687" s="12"/>
      <c r="P3687" s="12"/>
      <c r="Q3687" s="12"/>
      <c r="R3687" s="12"/>
      <c r="S3687" s="12"/>
      <c r="T3687" s="12"/>
      <c r="U3687" s="12"/>
      <c r="V3687" s="12"/>
      <c r="W3687" s="12"/>
      <c r="X3687" s="12"/>
      <c r="Y3687" s="12"/>
      <c r="Z3687" s="12"/>
      <c r="AA3687" s="12"/>
    </row>
    <row r="3688" ht="26.25" customHeight="1">
      <c r="A3688" s="34" t="s">
        <v>7386</v>
      </c>
      <c r="B3688" s="35" t="s">
        <v>7387</v>
      </c>
      <c r="C3688" s="36">
        <v>4.0</v>
      </c>
      <c r="D3688" s="37">
        <v>202.0</v>
      </c>
      <c r="E3688" s="37">
        <v>6.0</v>
      </c>
      <c r="F3688" s="24" t="str">
        <f t="array" ref="F3688">"https://www.google.com/maps/search/?api=1&amp;query=" &amp; A3688 &amp; "," &amp; B3688</f>
        <v>https://www.google.com/maps/search/?api=1&amp;query=-3.08931067503368,-55.55284174836110</v>
      </c>
      <c r="G3688" s="25" t="str">
        <f t="array" ref="G3688">"https://earth.google.com/web/search/" &amp; A3688 &amp; "," &amp; B3688</f>
        <v>https://earth.google.com/web/search/-3.08931067503368,-55.55284174836110</v>
      </c>
      <c r="H3688" s="12"/>
      <c r="I3688" s="12"/>
      <c r="J3688" s="12"/>
      <c r="K3688" s="12"/>
      <c r="L3688" s="12"/>
      <c r="M3688" s="12"/>
      <c r="N3688" s="12"/>
      <c r="O3688" s="12"/>
      <c r="P3688" s="12"/>
      <c r="Q3688" s="12"/>
      <c r="R3688" s="12"/>
      <c r="S3688" s="12"/>
      <c r="T3688" s="12"/>
      <c r="U3688" s="12"/>
      <c r="V3688" s="12"/>
      <c r="W3688" s="12"/>
      <c r="X3688" s="12"/>
      <c r="Y3688" s="12"/>
      <c r="Z3688" s="12"/>
      <c r="AA3688" s="12"/>
    </row>
    <row r="3689" ht="26.25" customHeight="1">
      <c r="A3689" s="28" t="s">
        <v>7388</v>
      </c>
      <c r="B3689" s="29" t="s">
        <v>7389</v>
      </c>
      <c r="C3689" s="30">
        <v>4.0</v>
      </c>
      <c r="D3689" s="31">
        <v>202.0</v>
      </c>
      <c r="E3689" s="31">
        <v>7.0</v>
      </c>
      <c r="F3689" s="32" t="str">
        <f t="array" ref="F3689">"https://www.google.com/maps/search/?api=1&amp;query=" &amp; A3689 &amp; "," &amp; B3689</f>
        <v>https://www.google.com/maps/search/?api=1&amp;query=-30.89286125560390,-55.55357604661870</v>
      </c>
      <c r="G3689" s="33" t="str">
        <f t="array" ref="G3689">"https://earth.google.com/web/search/" &amp; A3689 &amp; "," &amp; B3689</f>
        <v>https://earth.google.com/web/search/-30.89286125560390,-55.55357604661870</v>
      </c>
      <c r="H3689" s="12"/>
      <c r="I3689" s="12"/>
      <c r="J3689" s="12"/>
      <c r="K3689" s="12"/>
      <c r="L3689" s="12"/>
      <c r="M3689" s="12"/>
      <c r="N3689" s="12"/>
      <c r="O3689" s="12"/>
      <c r="P3689" s="12"/>
      <c r="Q3689" s="12"/>
      <c r="R3689" s="12"/>
      <c r="S3689" s="12"/>
      <c r="T3689" s="12"/>
      <c r="U3689" s="12"/>
      <c r="V3689" s="12"/>
      <c r="W3689" s="12"/>
      <c r="X3689" s="12"/>
      <c r="Y3689" s="12"/>
      <c r="Z3689" s="12"/>
      <c r="AA3689" s="12"/>
    </row>
    <row r="3690" ht="26.25" customHeight="1">
      <c r="A3690" s="34" t="s">
        <v>7390</v>
      </c>
      <c r="B3690" s="35" t="s">
        <v>7391</v>
      </c>
      <c r="C3690" s="36">
        <v>4.0</v>
      </c>
      <c r="D3690" s="37">
        <v>202.0</v>
      </c>
      <c r="E3690" s="37">
        <v>8.0</v>
      </c>
      <c r="F3690" s="24" t="str">
        <f t="array" ref="F3690">"https://www.google.com/maps/search/?api=1&amp;query=" &amp; A3690 &amp; "," &amp; B3690</f>
        <v>https://www.google.com/maps/search/?api=1&amp;query=-3.08929375561799,-55.55364413898880</v>
      </c>
      <c r="G3690" s="25" t="str">
        <f t="array" ref="G3690">"https://earth.google.com/web/search/" &amp; A3690 &amp; "," &amp; B3690</f>
        <v>https://earth.google.com/web/search/-3.08929375561799,-55.55364413898880</v>
      </c>
      <c r="H3690" s="12"/>
      <c r="I3690" s="12"/>
      <c r="J3690" s="12"/>
      <c r="K3690" s="12"/>
      <c r="L3690" s="12"/>
      <c r="M3690" s="12"/>
      <c r="N3690" s="12"/>
      <c r="O3690" s="12"/>
      <c r="P3690" s="12"/>
      <c r="Q3690" s="12"/>
      <c r="R3690" s="12"/>
      <c r="S3690" s="12"/>
      <c r="T3690" s="12"/>
      <c r="U3690" s="12"/>
      <c r="V3690" s="12"/>
      <c r="W3690" s="12"/>
      <c r="X3690" s="12"/>
      <c r="Y3690" s="12"/>
      <c r="Z3690" s="12"/>
      <c r="AA3690" s="12"/>
    </row>
    <row r="3691" ht="26.25" customHeight="1">
      <c r="A3691" s="28" t="s">
        <v>7392</v>
      </c>
      <c r="B3691" s="29" t="s">
        <v>7393</v>
      </c>
      <c r="C3691" s="30">
        <v>4.0</v>
      </c>
      <c r="D3691" s="31">
        <v>202.0</v>
      </c>
      <c r="E3691" s="31">
        <v>9.0</v>
      </c>
      <c r="F3691" s="32" t="str">
        <f t="array" ref="F3691">"https://www.google.com/maps/search/?api=1&amp;query=" &amp; A3691 &amp; "," &amp; B3691</f>
        <v>https://www.google.com/maps/search/?api=1&amp;query=-30.89309131598310,-55.55376627644790</v>
      </c>
      <c r="G3691" s="33" t="str">
        <f t="array" ref="G3691">"https://earth.google.com/web/search/" &amp; A3691 &amp; "," &amp; B3691</f>
        <v>https://earth.google.com/web/search/-30.89309131598310,-55.55376627644790</v>
      </c>
      <c r="H3691" s="12"/>
      <c r="I3691" s="12"/>
      <c r="J3691" s="12"/>
      <c r="K3691" s="12"/>
      <c r="L3691" s="12"/>
      <c r="M3691" s="12"/>
      <c r="N3691" s="12"/>
      <c r="O3691" s="12"/>
      <c r="P3691" s="12"/>
      <c r="Q3691" s="12"/>
      <c r="R3691" s="12"/>
      <c r="S3691" s="12"/>
      <c r="T3691" s="12"/>
      <c r="U3691" s="12"/>
      <c r="V3691" s="12"/>
      <c r="W3691" s="12"/>
      <c r="X3691" s="12"/>
      <c r="Y3691" s="12"/>
      <c r="Z3691" s="12"/>
      <c r="AA3691" s="12"/>
    </row>
    <row r="3692" ht="26.25" customHeight="1">
      <c r="A3692" s="34" t="s">
        <v>7394</v>
      </c>
      <c r="B3692" s="35" t="s">
        <v>7395</v>
      </c>
      <c r="C3692" s="36">
        <v>4.0</v>
      </c>
      <c r="D3692" s="37">
        <v>202.0</v>
      </c>
      <c r="E3692" s="37">
        <v>10.0</v>
      </c>
      <c r="F3692" s="24" t="str">
        <f t="array" ref="F3692">"https://www.google.com/maps/search/?api=1&amp;query=" &amp; A3692 &amp; "," &amp; B3692</f>
        <v>https://www.google.com/maps/search/?api=1&amp;query=-30.89320819975110,-55.55381434137820</v>
      </c>
      <c r="G3692" s="25" t="str">
        <f t="array" ref="G3692">"https://earth.google.com/web/search/" &amp; A3692 &amp; "," &amp; B3692</f>
        <v>https://earth.google.com/web/search/-30.89320819975110,-55.55381434137820</v>
      </c>
      <c r="H3692" s="12"/>
      <c r="I3692" s="12"/>
      <c r="J3692" s="12"/>
      <c r="K3692" s="12"/>
      <c r="L3692" s="12"/>
      <c r="M3692" s="12"/>
      <c r="N3692" s="12"/>
      <c r="O3692" s="12"/>
      <c r="P3692" s="12"/>
      <c r="Q3692" s="12"/>
      <c r="R3692" s="12"/>
      <c r="S3692" s="12"/>
      <c r="T3692" s="12"/>
      <c r="U3692" s="12"/>
      <c r="V3692" s="12"/>
      <c r="W3692" s="12"/>
      <c r="X3692" s="12"/>
      <c r="Y3692" s="12"/>
      <c r="Z3692" s="12"/>
      <c r="AA3692" s="12"/>
    </row>
    <row r="3693" ht="26.25" customHeight="1">
      <c r="A3693" s="28" t="s">
        <v>7396</v>
      </c>
      <c r="B3693" s="29" t="s">
        <v>7397</v>
      </c>
      <c r="C3693" s="30">
        <v>4.0</v>
      </c>
      <c r="D3693" s="31">
        <v>202.0</v>
      </c>
      <c r="E3693" s="31">
        <v>11.0</v>
      </c>
      <c r="F3693" s="32" t="str">
        <f t="array" ref="F3693">"https://www.google.com/maps/search/?api=1&amp;query=" &amp; A3693 &amp; "," &amp; B3693</f>
        <v>https://www.google.com/maps/search/?api=1&amp;query=-3.08933292571517,-5.55539101321135</v>
      </c>
      <c r="G3693" s="33" t="str">
        <f t="array" ref="G3693">"https://earth.google.com/web/search/" &amp; A3693 &amp; "," &amp; B3693</f>
        <v>https://earth.google.com/web/search/-3.08933292571517,-5.55539101321135</v>
      </c>
      <c r="H3693" s="12"/>
      <c r="I3693" s="12"/>
      <c r="J3693" s="12"/>
      <c r="K3693" s="12"/>
      <c r="L3693" s="12"/>
      <c r="M3693" s="12"/>
      <c r="N3693" s="12"/>
      <c r="O3693" s="12"/>
      <c r="P3693" s="12"/>
      <c r="Q3693" s="12"/>
      <c r="R3693" s="12"/>
      <c r="S3693" s="12"/>
      <c r="T3693" s="12"/>
      <c r="U3693" s="12"/>
      <c r="V3693" s="12"/>
      <c r="W3693" s="12"/>
      <c r="X3693" s="12"/>
      <c r="Y3693" s="12"/>
      <c r="Z3693" s="12"/>
      <c r="AA3693" s="12"/>
    </row>
    <row r="3694" ht="26.25" customHeight="1">
      <c r="A3694" s="34" t="s">
        <v>7398</v>
      </c>
      <c r="B3694" s="35" t="s">
        <v>7399</v>
      </c>
      <c r="C3694" s="36">
        <v>4.0</v>
      </c>
      <c r="D3694" s="37">
        <v>203.0</v>
      </c>
      <c r="E3694" s="37">
        <v>1.0</v>
      </c>
      <c r="F3694" s="24" t="str">
        <f t="array" ref="F3694">"https://www.google.com/maps/search/?api=1&amp;query=" &amp; A3694 &amp; "," &amp; B3694</f>
        <v>https://www.google.com/maps/search/?api=1&amp;query=-30.89299091051840,-55.55486737421210</v>
      </c>
      <c r="G3694" s="25" t="str">
        <f t="array" ref="G3694">"https://earth.google.com/web/search/" &amp; A3694 &amp; "," &amp; B3694</f>
        <v>https://earth.google.com/web/search/-30.89299091051840,-55.55486737421210</v>
      </c>
      <c r="H3694" s="12"/>
      <c r="I3694" s="12"/>
      <c r="J3694" s="12"/>
      <c r="K3694" s="12"/>
      <c r="L3694" s="12"/>
      <c r="M3694" s="12"/>
      <c r="N3694" s="12"/>
      <c r="O3694" s="12"/>
      <c r="P3694" s="12"/>
      <c r="Q3694" s="12"/>
      <c r="R3694" s="12"/>
      <c r="S3694" s="12"/>
      <c r="T3694" s="12"/>
      <c r="U3694" s="12"/>
      <c r="V3694" s="12"/>
      <c r="W3694" s="12"/>
      <c r="X3694" s="12"/>
      <c r="Y3694" s="12"/>
      <c r="Z3694" s="12"/>
      <c r="AA3694" s="12"/>
    </row>
    <row r="3695" ht="26.25" customHeight="1">
      <c r="A3695" s="28" t="s">
        <v>7400</v>
      </c>
      <c r="B3695" s="29" t="s">
        <v>7401</v>
      </c>
      <c r="C3695" s="30">
        <v>4.0</v>
      </c>
      <c r="D3695" s="31">
        <v>203.0</v>
      </c>
      <c r="E3695" s="31">
        <v>2.0</v>
      </c>
      <c r="F3695" s="32" t="str">
        <f t="array" ref="F3695">"https://www.google.com/maps/search/?api=1&amp;query=" &amp; A3695 &amp; "," &amp; B3695</f>
        <v>https://www.google.com/maps/search/?api=1&amp;query=-30.89322731227270,-55.55444687783420</v>
      </c>
      <c r="G3695" s="33" t="str">
        <f t="array" ref="G3695">"https://earth.google.com/web/search/" &amp; A3695 &amp; "," &amp; B3695</f>
        <v>https://earth.google.com/web/search/-30.89322731227270,-55.55444687783420</v>
      </c>
      <c r="H3695" s="12"/>
      <c r="I3695" s="12"/>
      <c r="J3695" s="12"/>
      <c r="K3695" s="12"/>
      <c r="L3695" s="12"/>
      <c r="M3695" s="12"/>
      <c r="N3695" s="12"/>
      <c r="O3695" s="12"/>
      <c r="P3695" s="12"/>
      <c r="Q3695" s="12"/>
      <c r="R3695" s="12"/>
      <c r="S3695" s="12"/>
      <c r="T3695" s="12"/>
      <c r="U3695" s="12"/>
      <c r="V3695" s="12"/>
      <c r="W3695" s="12"/>
      <c r="X3695" s="12"/>
      <c r="Y3695" s="12"/>
      <c r="Z3695" s="12"/>
      <c r="AA3695" s="12"/>
    </row>
    <row r="3696" ht="26.25" customHeight="1">
      <c r="A3696" s="34" t="s">
        <v>7402</v>
      </c>
      <c r="B3696" s="35" t="s">
        <v>7403</v>
      </c>
      <c r="C3696" s="36">
        <v>4.0</v>
      </c>
      <c r="D3696" s="37">
        <v>203.0</v>
      </c>
      <c r="E3696" s="37">
        <v>3.0</v>
      </c>
      <c r="F3696" s="24" t="str">
        <f t="array" ref="F3696">"https://www.google.com/maps/search/?api=1&amp;query=" &amp; A3696 &amp; "," &amp; B3696</f>
        <v>https://www.google.com/maps/search/?api=1&amp;query=-3.08932556685757,-55.55436306414280</v>
      </c>
      <c r="G3696" s="25" t="str">
        <f t="array" ref="G3696">"https://earth.google.com/web/search/" &amp; A3696 &amp; "," &amp; B3696</f>
        <v>https://earth.google.com/web/search/-3.08932556685757,-55.55436306414280</v>
      </c>
      <c r="H3696" s="12"/>
      <c r="I3696" s="12"/>
      <c r="J3696" s="12"/>
      <c r="K3696" s="12"/>
      <c r="L3696" s="12"/>
      <c r="M3696" s="12"/>
      <c r="N3696" s="12"/>
      <c r="O3696" s="12"/>
      <c r="P3696" s="12"/>
      <c r="Q3696" s="12"/>
      <c r="R3696" s="12"/>
      <c r="S3696" s="12"/>
      <c r="T3696" s="12"/>
      <c r="U3696" s="12"/>
      <c r="V3696" s="12"/>
      <c r="W3696" s="12"/>
      <c r="X3696" s="12"/>
      <c r="Y3696" s="12"/>
      <c r="Z3696" s="12"/>
      <c r="AA3696" s="12"/>
    </row>
    <row r="3697" ht="26.25" customHeight="1">
      <c r="A3697" s="28" t="s">
        <v>7404</v>
      </c>
      <c r="B3697" s="29" t="s">
        <v>7405</v>
      </c>
      <c r="C3697" s="30">
        <v>4.0</v>
      </c>
      <c r="D3697" s="31">
        <v>203.0</v>
      </c>
      <c r="E3697" s="31">
        <v>4.0</v>
      </c>
      <c r="F3697" s="32" t="str">
        <f t="array" ref="F3697">"https://www.google.com/maps/search/?api=1&amp;query=" &amp; A3697 &amp; "," &amp; B3697</f>
        <v>https://www.google.com/maps/search/?api=1&amp;query=-30.89333032839870,-5.55542474204215</v>
      </c>
      <c r="G3697" s="33" t="str">
        <f t="array" ref="G3697">"https://earth.google.com/web/search/" &amp; A3697 &amp; "," &amp; B3697</f>
        <v>https://earth.google.com/web/search/-30.89333032839870,-5.55542474204215</v>
      </c>
      <c r="H3697" s="12"/>
      <c r="I3697" s="12"/>
      <c r="J3697" s="12"/>
      <c r="K3697" s="12"/>
      <c r="L3697" s="12"/>
      <c r="M3697" s="12"/>
      <c r="N3697" s="12"/>
      <c r="O3697" s="12"/>
      <c r="P3697" s="12"/>
      <c r="Q3697" s="12"/>
      <c r="R3697" s="12"/>
      <c r="S3697" s="12"/>
      <c r="T3697" s="12"/>
      <c r="U3697" s="12"/>
      <c r="V3697" s="12"/>
      <c r="W3697" s="12"/>
      <c r="X3697" s="12"/>
      <c r="Y3697" s="12"/>
      <c r="Z3697" s="12"/>
      <c r="AA3697" s="12"/>
    </row>
    <row r="3698" ht="26.25" customHeight="1">
      <c r="A3698" s="34" t="s">
        <v>7406</v>
      </c>
      <c r="B3698" s="35" t="s">
        <v>7407</v>
      </c>
      <c r="C3698" s="36">
        <v>4.0</v>
      </c>
      <c r="D3698" s="37">
        <v>203.0</v>
      </c>
      <c r="E3698" s="37">
        <v>5.0</v>
      </c>
      <c r="F3698" s="24" t="str">
        <f t="array" ref="F3698">"https://www.google.com/maps/search/?api=1&amp;query=" &amp; A3698 &amp; "," &amp; B3698</f>
        <v>https://www.google.com/maps/search/?api=1&amp;query=-30.89319639084200,-55.55396496619650</v>
      </c>
      <c r="G3698" s="25" t="str">
        <f t="array" ref="G3698">"https://earth.google.com/web/search/" &amp; A3698 &amp; "," &amp; B3698</f>
        <v>https://earth.google.com/web/search/-30.89319639084200,-55.55396496619650</v>
      </c>
      <c r="H3698" s="12"/>
      <c r="I3698" s="12"/>
      <c r="J3698" s="12"/>
      <c r="K3698" s="12"/>
      <c r="L3698" s="12"/>
      <c r="M3698" s="12"/>
      <c r="N3698" s="12"/>
      <c r="O3698" s="12"/>
      <c r="P3698" s="12"/>
      <c r="Q3698" s="12"/>
      <c r="R3698" s="12"/>
      <c r="S3698" s="12"/>
      <c r="T3698" s="12"/>
      <c r="U3698" s="12"/>
      <c r="V3698" s="12"/>
      <c r="W3698" s="12"/>
      <c r="X3698" s="12"/>
      <c r="Y3698" s="12"/>
      <c r="Z3698" s="12"/>
      <c r="AA3698" s="12"/>
    </row>
    <row r="3699" ht="26.25" customHeight="1">
      <c r="A3699" s="28" t="s">
        <v>7408</v>
      </c>
      <c r="B3699" s="29" t="s">
        <v>7409</v>
      </c>
      <c r="C3699" s="30">
        <v>4.0</v>
      </c>
      <c r="D3699" s="31">
        <v>203.0</v>
      </c>
      <c r="E3699" s="31">
        <v>6.0</v>
      </c>
      <c r="F3699" s="32" t="str">
        <f t="array" ref="F3699">"https://www.google.com/maps/search/?api=1&amp;query=" &amp; A3699 &amp; "," &amp; B3699</f>
        <v>https://www.google.com/maps/search/?api=1&amp;query=-30.89311755244180,-55.55390986266330</v>
      </c>
      <c r="G3699" s="33" t="str">
        <f t="array" ref="G3699">"https://earth.google.com/web/search/" &amp; A3699 &amp; "," &amp; B3699</f>
        <v>https://earth.google.com/web/search/-30.89311755244180,-55.55390986266330</v>
      </c>
      <c r="H3699" s="12"/>
      <c r="I3699" s="12"/>
      <c r="J3699" s="12"/>
      <c r="K3699" s="12"/>
      <c r="L3699" s="12"/>
      <c r="M3699" s="12"/>
      <c r="N3699" s="12"/>
      <c r="O3699" s="12"/>
      <c r="P3699" s="12"/>
      <c r="Q3699" s="12"/>
      <c r="R3699" s="12"/>
      <c r="S3699" s="12"/>
      <c r="T3699" s="12"/>
      <c r="U3699" s="12"/>
      <c r="V3699" s="12"/>
      <c r="W3699" s="12"/>
      <c r="X3699" s="12"/>
      <c r="Y3699" s="12"/>
      <c r="Z3699" s="12"/>
      <c r="AA3699" s="12"/>
    </row>
    <row r="3700" ht="26.25" customHeight="1">
      <c r="A3700" s="34" t="s">
        <v>7410</v>
      </c>
      <c r="B3700" s="35" t="s">
        <v>7411</v>
      </c>
      <c r="C3700" s="36">
        <v>4.0</v>
      </c>
      <c r="D3700" s="37">
        <v>203.0</v>
      </c>
      <c r="E3700" s="37">
        <v>7.0</v>
      </c>
      <c r="F3700" s="24" t="str">
        <f t="array" ref="F3700">"https://www.google.com/maps/search/?api=1&amp;query=" &amp; A3700 &amp; "," &amp; B3700</f>
        <v>https://www.google.com/maps/search/?api=1&amp;query=-30.89304864068000,-55.55385957292760</v>
      </c>
      <c r="G3700" s="25" t="str">
        <f t="array" ref="G3700">"https://earth.google.com/web/search/" &amp; A3700 &amp; "," &amp; B3700</f>
        <v>https://earth.google.com/web/search/-30.89304864068000,-55.55385957292760</v>
      </c>
      <c r="H3700" s="12"/>
      <c r="I3700" s="12"/>
      <c r="J3700" s="12"/>
      <c r="K3700" s="12"/>
      <c r="L3700" s="12"/>
      <c r="M3700" s="12"/>
      <c r="N3700" s="12"/>
      <c r="O3700" s="12"/>
      <c r="P3700" s="12"/>
      <c r="Q3700" s="12"/>
      <c r="R3700" s="12"/>
      <c r="S3700" s="12"/>
      <c r="T3700" s="12"/>
      <c r="U3700" s="12"/>
      <c r="V3700" s="12"/>
      <c r="W3700" s="12"/>
      <c r="X3700" s="12"/>
      <c r="Y3700" s="12"/>
      <c r="Z3700" s="12"/>
      <c r="AA3700" s="12"/>
    </row>
    <row r="3701" ht="26.25" customHeight="1">
      <c r="A3701" s="28" t="s">
        <v>7412</v>
      </c>
      <c r="B3701" s="29" t="s">
        <v>7413</v>
      </c>
      <c r="C3701" s="30">
        <v>4.0</v>
      </c>
      <c r="D3701" s="31">
        <v>203.0</v>
      </c>
      <c r="E3701" s="31">
        <v>8.0</v>
      </c>
      <c r="F3701" s="32" t="str">
        <f t="array" ref="F3701">"https://www.google.com/maps/search/?api=1&amp;query=" &amp; A3701 &amp; "," &amp; B3701</f>
        <v>https://www.google.com/maps/search/?api=1&amp;query=-30.89286906727230,-55.55371637373260</v>
      </c>
      <c r="G3701" s="33" t="str">
        <f t="array" ref="G3701">"https://earth.google.com/web/search/" &amp; A3701 &amp; "," &amp; B3701</f>
        <v>https://earth.google.com/web/search/-30.89286906727230,-55.55371637373260</v>
      </c>
      <c r="H3701" s="12"/>
      <c r="I3701" s="12"/>
      <c r="J3701" s="12"/>
      <c r="K3701" s="12"/>
      <c r="L3701" s="12"/>
      <c r="M3701" s="12"/>
      <c r="N3701" s="12"/>
      <c r="O3701" s="12"/>
      <c r="P3701" s="12"/>
      <c r="Q3701" s="12"/>
      <c r="R3701" s="12"/>
      <c r="S3701" s="12"/>
      <c r="T3701" s="12"/>
      <c r="U3701" s="12"/>
      <c r="V3701" s="12"/>
      <c r="W3701" s="12"/>
      <c r="X3701" s="12"/>
      <c r="Y3701" s="12"/>
      <c r="Z3701" s="12"/>
      <c r="AA3701" s="12"/>
    </row>
    <row r="3702" ht="26.25" customHeight="1">
      <c r="A3702" s="34" t="s">
        <v>7414</v>
      </c>
      <c r="B3702" s="35" t="s">
        <v>7415</v>
      </c>
      <c r="C3702" s="36">
        <v>4.0</v>
      </c>
      <c r="D3702" s="37">
        <v>203.0</v>
      </c>
      <c r="E3702" s="37">
        <v>9.0</v>
      </c>
      <c r="F3702" s="24" t="str">
        <f t="array" ref="F3702">"https://www.google.com/maps/search/?api=1&amp;query=" &amp; A3702 &amp; "," &amp; B3702</f>
        <v>https://www.google.com/maps/search/?api=1&amp;query=-3.08924366019993,-55.55411258218050</v>
      </c>
      <c r="G3702" s="25" t="str">
        <f t="array" ref="G3702">"https://earth.google.com/web/search/" &amp; A3702 &amp; "," &amp; B3702</f>
        <v>https://earth.google.com/web/search/-3.08924366019993,-55.55411258218050</v>
      </c>
      <c r="H3702" s="12"/>
      <c r="I3702" s="12"/>
      <c r="J3702" s="12"/>
      <c r="K3702" s="12"/>
      <c r="L3702" s="12"/>
      <c r="M3702" s="12"/>
      <c r="N3702" s="12"/>
      <c r="O3702" s="12"/>
      <c r="P3702" s="12"/>
      <c r="Q3702" s="12"/>
      <c r="R3702" s="12"/>
      <c r="S3702" s="12"/>
      <c r="T3702" s="12"/>
      <c r="U3702" s="12"/>
      <c r="V3702" s="12"/>
      <c r="W3702" s="12"/>
      <c r="X3702" s="12"/>
      <c r="Y3702" s="12"/>
      <c r="Z3702" s="12"/>
      <c r="AA3702" s="12"/>
    </row>
    <row r="3703" ht="26.25" customHeight="1">
      <c r="A3703" s="28" t="s">
        <v>7416</v>
      </c>
      <c r="B3703" s="29" t="s">
        <v>7417</v>
      </c>
      <c r="C3703" s="30">
        <v>4.0</v>
      </c>
      <c r="D3703" s="31">
        <v>203.0</v>
      </c>
      <c r="E3703" s="31">
        <v>10.0</v>
      </c>
      <c r="F3703" s="32" t="str">
        <f t="array" ref="F3703">"https://www.google.com/maps/search/?api=1&amp;query=" &amp; A3703 &amp; "," &amp; B3703</f>
        <v>https://www.google.com/maps/search/?api=1&amp;query=-30.89274494532280,-55.55477943547080</v>
      </c>
      <c r="G3703" s="33" t="str">
        <f t="array" ref="G3703">"https://earth.google.com/web/search/" &amp; A3703 &amp; "," &amp; B3703</f>
        <v>https://earth.google.com/web/search/-30.89274494532280,-55.55477943547080</v>
      </c>
      <c r="H3703" s="12"/>
      <c r="I3703" s="12"/>
      <c r="J3703" s="12"/>
      <c r="K3703" s="12"/>
      <c r="L3703" s="12"/>
      <c r="M3703" s="12"/>
      <c r="N3703" s="12"/>
      <c r="O3703" s="12"/>
      <c r="P3703" s="12"/>
      <c r="Q3703" s="12"/>
      <c r="R3703" s="12"/>
      <c r="S3703" s="12"/>
      <c r="T3703" s="12"/>
      <c r="U3703" s="12"/>
      <c r="V3703" s="12"/>
      <c r="W3703" s="12"/>
      <c r="X3703" s="12"/>
      <c r="Y3703" s="12"/>
      <c r="Z3703" s="12"/>
      <c r="AA3703" s="12"/>
    </row>
    <row r="3704" ht="26.25" customHeight="1">
      <c r="A3704" s="34" t="s">
        <v>7418</v>
      </c>
      <c r="B3704" s="35" t="s">
        <v>7419</v>
      </c>
      <c r="C3704" s="36">
        <v>4.0</v>
      </c>
      <c r="D3704" s="37">
        <v>212.0</v>
      </c>
      <c r="E3704" s="37">
        <v>1.0</v>
      </c>
      <c r="F3704" s="24" t="str">
        <f t="array" ref="F3704">"https://www.google.com/maps/search/?api=1&amp;query=" &amp; A3704 &amp; "," &amp; B3704</f>
        <v>https://www.google.com/maps/search/?api=1&amp;query=-30.89340105090870,-55.55611092484320</v>
      </c>
      <c r="G3704" s="25" t="str">
        <f t="array" ref="G3704">"https://earth.google.com/web/search/" &amp; A3704 &amp; "," &amp; B3704</f>
        <v>https://earth.google.com/web/search/-30.89340105090870,-55.55611092484320</v>
      </c>
      <c r="H3704" s="12"/>
      <c r="I3704" s="12"/>
      <c r="J3704" s="12"/>
      <c r="K3704" s="12"/>
      <c r="L3704" s="12"/>
      <c r="M3704" s="12"/>
      <c r="N3704" s="12"/>
      <c r="O3704" s="12"/>
      <c r="P3704" s="12"/>
      <c r="Q3704" s="12"/>
      <c r="R3704" s="12"/>
      <c r="S3704" s="12"/>
      <c r="T3704" s="12"/>
      <c r="U3704" s="12"/>
      <c r="V3704" s="12"/>
      <c r="W3704" s="12"/>
      <c r="X3704" s="12"/>
      <c r="Y3704" s="12"/>
      <c r="Z3704" s="12"/>
      <c r="AA3704" s="12"/>
    </row>
    <row r="3705" ht="26.25" customHeight="1">
      <c r="A3705" s="28" t="s">
        <v>7420</v>
      </c>
      <c r="B3705" s="29" t="s">
        <v>7421</v>
      </c>
      <c r="C3705" s="30">
        <v>4.0</v>
      </c>
      <c r="D3705" s="31">
        <v>212.0</v>
      </c>
      <c r="E3705" s="31">
        <v>2.0</v>
      </c>
      <c r="F3705" s="32" t="str">
        <f t="array" ref="F3705">"https://www.google.com/maps/search/?api=1&amp;query=" &amp; A3705 &amp; "," &amp; B3705</f>
        <v>https://www.google.com/maps/search/?api=1&amp;query=-30.89349695286670,-55.55593169645150</v>
      </c>
      <c r="G3705" s="33" t="str">
        <f t="array" ref="G3705">"https://earth.google.com/web/search/" &amp; A3705 &amp; "," &amp; B3705</f>
        <v>https://earth.google.com/web/search/-30.89349695286670,-55.55593169645150</v>
      </c>
      <c r="H3705" s="12"/>
      <c r="I3705" s="12"/>
      <c r="J3705" s="12"/>
      <c r="K3705" s="12"/>
      <c r="L3705" s="12"/>
      <c r="M3705" s="12"/>
      <c r="N3705" s="12"/>
      <c r="O3705" s="12"/>
      <c r="P3705" s="12"/>
      <c r="Q3705" s="12"/>
      <c r="R3705" s="12"/>
      <c r="S3705" s="12"/>
      <c r="T3705" s="12"/>
      <c r="U3705" s="12"/>
      <c r="V3705" s="12"/>
      <c r="W3705" s="12"/>
      <c r="X3705" s="12"/>
      <c r="Y3705" s="12"/>
      <c r="Z3705" s="12"/>
      <c r="AA3705" s="12"/>
    </row>
    <row r="3706" ht="26.25" customHeight="1">
      <c r="A3706" s="34" t="s">
        <v>7422</v>
      </c>
      <c r="B3706" s="35" t="s">
        <v>7423</v>
      </c>
      <c r="C3706" s="36">
        <v>4.0</v>
      </c>
      <c r="D3706" s="37">
        <v>212.0</v>
      </c>
      <c r="E3706" s="37">
        <v>3.0</v>
      </c>
      <c r="F3706" s="24" t="str">
        <f t="array" ref="F3706">"https://www.google.com/maps/search/?api=1&amp;query=" &amp; A3706 &amp; "," &amp; B3706</f>
        <v>https://www.google.com/maps/search/?api=1&amp;query=-30.89344352451770,-55.55536001601530</v>
      </c>
      <c r="G3706" s="25" t="str">
        <f t="array" ref="G3706">"https://earth.google.com/web/search/" &amp; A3706 &amp; "," &amp; B3706</f>
        <v>https://earth.google.com/web/search/-30.89344352451770,-55.55536001601530</v>
      </c>
      <c r="H3706" s="12"/>
      <c r="I3706" s="12"/>
      <c r="J3706" s="12"/>
      <c r="K3706" s="12"/>
      <c r="L3706" s="12"/>
      <c r="M3706" s="12"/>
      <c r="N3706" s="12"/>
      <c r="O3706" s="12"/>
      <c r="P3706" s="12"/>
      <c r="Q3706" s="12"/>
      <c r="R3706" s="12"/>
      <c r="S3706" s="12"/>
      <c r="T3706" s="12"/>
      <c r="U3706" s="12"/>
      <c r="V3706" s="12"/>
      <c r="W3706" s="12"/>
      <c r="X3706" s="12"/>
      <c r="Y3706" s="12"/>
      <c r="Z3706" s="12"/>
      <c r="AA3706" s="12"/>
    </row>
    <row r="3707" ht="26.25" customHeight="1">
      <c r="A3707" s="28" t="s">
        <v>7424</v>
      </c>
      <c r="B3707" s="29" t="s">
        <v>7425</v>
      </c>
      <c r="C3707" s="30">
        <v>4.0</v>
      </c>
      <c r="D3707" s="31">
        <v>212.0</v>
      </c>
      <c r="E3707" s="31">
        <v>4.0</v>
      </c>
      <c r="F3707" s="32" t="str">
        <f t="array" ref="F3707">"https://www.google.com/maps/search/?api=1&amp;query=" &amp; A3707 &amp; "," &amp; B3707</f>
        <v>https://www.google.com/maps/search/?api=1&amp;query=-30.89323965681490,-55.55523051712510</v>
      </c>
      <c r="G3707" s="33" t="str">
        <f t="array" ref="G3707">"https://earth.google.com/web/search/" &amp; A3707 &amp; "," &amp; B3707</f>
        <v>https://earth.google.com/web/search/-30.89323965681490,-55.55523051712510</v>
      </c>
      <c r="H3707" s="12"/>
      <c r="I3707" s="12"/>
      <c r="J3707" s="12"/>
      <c r="K3707" s="12"/>
      <c r="L3707" s="12"/>
      <c r="M3707" s="12"/>
      <c r="N3707" s="12"/>
      <c r="O3707" s="12"/>
      <c r="P3707" s="12"/>
      <c r="Q3707" s="12"/>
      <c r="R3707" s="12"/>
      <c r="S3707" s="12"/>
      <c r="T3707" s="12"/>
      <c r="U3707" s="12"/>
      <c r="V3707" s="12"/>
      <c r="W3707" s="12"/>
      <c r="X3707" s="12"/>
      <c r="Y3707" s="12"/>
      <c r="Z3707" s="12"/>
      <c r="AA3707" s="12"/>
    </row>
    <row r="3708" ht="26.25" customHeight="1">
      <c r="A3708" s="34" t="s">
        <v>7426</v>
      </c>
      <c r="B3708" s="35" t="s">
        <v>7427</v>
      </c>
      <c r="C3708" s="36">
        <v>4.0</v>
      </c>
      <c r="D3708" s="37">
        <v>212.0</v>
      </c>
      <c r="E3708" s="37">
        <v>5.0</v>
      </c>
      <c r="F3708" s="24" t="str">
        <f t="array" ref="F3708">"https://www.google.com/maps/search/?api=1&amp;query=" &amp; A3708 &amp; "," &amp; B3708</f>
        <v>https://www.google.com/maps/search/?api=1&amp;query=-30.89270841524960,-55.55565866659270</v>
      </c>
      <c r="G3708" s="25" t="str">
        <f t="array" ref="G3708">"https://earth.google.com/web/search/" &amp; A3708 &amp; "," &amp; B3708</f>
        <v>https://earth.google.com/web/search/-30.89270841524960,-55.55565866659270</v>
      </c>
      <c r="H3708" s="12"/>
      <c r="I3708" s="12"/>
      <c r="J3708" s="12"/>
      <c r="K3708" s="12"/>
      <c r="L3708" s="12"/>
      <c r="M3708" s="12"/>
      <c r="N3708" s="12"/>
      <c r="O3708" s="12"/>
      <c r="P3708" s="12"/>
      <c r="Q3708" s="12"/>
      <c r="R3708" s="12"/>
      <c r="S3708" s="12"/>
      <c r="T3708" s="12"/>
      <c r="U3708" s="12"/>
      <c r="V3708" s="12"/>
      <c r="W3708" s="12"/>
      <c r="X3708" s="12"/>
      <c r="Y3708" s="12"/>
      <c r="Z3708" s="12"/>
      <c r="AA3708" s="12"/>
    </row>
    <row r="3709" ht="26.25" customHeight="1">
      <c r="A3709" s="28" t="s">
        <v>7428</v>
      </c>
      <c r="B3709" s="29" t="s">
        <v>7429</v>
      </c>
      <c r="C3709" s="30">
        <v>4.0</v>
      </c>
      <c r="D3709" s="31">
        <v>212.0</v>
      </c>
      <c r="E3709" s="31">
        <v>6.0</v>
      </c>
      <c r="F3709" s="32" t="str">
        <f t="array" ref="F3709">"https://www.google.com/maps/search/?api=1&amp;query=" &amp; A3709 &amp; "," &amp; B3709</f>
        <v>https://www.google.com/maps/search/?api=1&amp;query=-30.89278327093340,-55.55604519189100</v>
      </c>
      <c r="G3709" s="33" t="str">
        <f t="array" ref="G3709">"https://earth.google.com/web/search/" &amp; A3709 &amp; "," &amp; B3709</f>
        <v>https://earth.google.com/web/search/-30.89278327093340,-55.55604519189100</v>
      </c>
      <c r="H3709" s="12"/>
      <c r="I3709" s="12"/>
      <c r="J3709" s="12"/>
      <c r="K3709" s="12"/>
      <c r="L3709" s="12"/>
      <c r="M3709" s="12"/>
      <c r="N3709" s="12"/>
      <c r="O3709" s="12"/>
      <c r="P3709" s="12"/>
      <c r="Q3709" s="12"/>
      <c r="R3709" s="12"/>
      <c r="S3709" s="12"/>
      <c r="T3709" s="12"/>
      <c r="U3709" s="12"/>
      <c r="V3709" s="12"/>
      <c r="W3709" s="12"/>
      <c r="X3709" s="12"/>
      <c r="Y3709" s="12"/>
      <c r="Z3709" s="12"/>
      <c r="AA3709" s="12"/>
    </row>
    <row r="3710" ht="26.25" customHeight="1">
      <c r="A3710" s="34" t="s">
        <v>7430</v>
      </c>
      <c r="B3710" s="35" t="s">
        <v>7431</v>
      </c>
      <c r="C3710" s="36">
        <v>4.0</v>
      </c>
      <c r="D3710" s="37">
        <v>212.0</v>
      </c>
      <c r="E3710" s="37">
        <v>7.0</v>
      </c>
      <c r="F3710" s="24" t="str">
        <f t="array" ref="F3710">"https://www.google.com/maps/search/?api=1&amp;query=" &amp; A3710 &amp; "," &amp; B3710</f>
        <v>https://www.google.com/maps/search/?api=1&amp;query=-30.89297362164680,-55.55616672401620</v>
      </c>
      <c r="G3710" s="25" t="str">
        <f t="array" ref="G3710">"https://earth.google.com/web/search/" &amp; A3710 &amp; "," &amp; B3710</f>
        <v>https://earth.google.com/web/search/-30.89297362164680,-55.55616672401620</v>
      </c>
      <c r="H3710" s="12"/>
      <c r="I3710" s="12"/>
      <c r="J3710" s="12"/>
      <c r="K3710" s="12"/>
      <c r="L3710" s="12"/>
      <c r="M3710" s="12"/>
      <c r="N3710" s="12"/>
      <c r="O3710" s="12"/>
      <c r="P3710" s="12"/>
      <c r="Q3710" s="12"/>
      <c r="R3710" s="12"/>
      <c r="S3710" s="12"/>
      <c r="T3710" s="12"/>
      <c r="U3710" s="12"/>
      <c r="V3710" s="12"/>
      <c r="W3710" s="12"/>
      <c r="X3710" s="12"/>
      <c r="Y3710" s="12"/>
      <c r="Z3710" s="12"/>
      <c r="AA3710" s="12"/>
    </row>
    <row r="3711" ht="26.25" customHeight="1">
      <c r="A3711" s="28" t="s">
        <v>7432</v>
      </c>
      <c r="B3711" s="29" t="s">
        <v>7433</v>
      </c>
      <c r="C3711" s="30">
        <v>4.0</v>
      </c>
      <c r="D3711" s="31">
        <v>212.0</v>
      </c>
      <c r="E3711" s="31">
        <v>8.0</v>
      </c>
      <c r="F3711" s="32" t="str">
        <f t="array" ref="F3711">"https://www.google.com/maps/search/?api=1&amp;query=" &amp; A3711 &amp; "," &amp; B3711</f>
        <v>https://www.google.com/maps/search/?api=1&amp;query=-30.89306040690700,-55.55622264448740</v>
      </c>
      <c r="G3711" s="33" t="str">
        <f t="array" ref="G3711">"https://earth.google.com/web/search/" &amp; A3711 &amp; "," &amp; B3711</f>
        <v>https://earth.google.com/web/search/-30.89306040690700,-55.55622264448740</v>
      </c>
      <c r="H3711" s="12"/>
      <c r="I3711" s="12"/>
      <c r="J3711" s="12"/>
      <c r="K3711" s="12"/>
      <c r="L3711" s="12"/>
      <c r="M3711" s="12"/>
      <c r="N3711" s="12"/>
      <c r="O3711" s="12"/>
      <c r="P3711" s="12"/>
      <c r="Q3711" s="12"/>
      <c r="R3711" s="12"/>
      <c r="S3711" s="12"/>
      <c r="T3711" s="12"/>
      <c r="U3711" s="12"/>
      <c r="V3711" s="12"/>
      <c r="W3711" s="12"/>
      <c r="X3711" s="12"/>
      <c r="Y3711" s="12"/>
      <c r="Z3711" s="12"/>
      <c r="AA3711" s="12"/>
    </row>
    <row r="3712" ht="26.25" customHeight="1">
      <c r="A3712" s="34" t="s">
        <v>7434</v>
      </c>
      <c r="B3712" s="35" t="s">
        <v>7435</v>
      </c>
      <c r="C3712" s="36">
        <v>4.0</v>
      </c>
      <c r="D3712" s="37">
        <v>213.0</v>
      </c>
      <c r="E3712" s="37">
        <v>1.0</v>
      </c>
      <c r="F3712" s="24" t="str">
        <f t="array" ref="F3712">"https://www.google.com/maps/search/?api=1&amp;query=" &amp; A3712 &amp; "," &amp; B3712</f>
        <v>https://www.google.com/maps/search/?api=1&amp;query=-30.89380325131130,-55.55541028537940</v>
      </c>
      <c r="G3712" s="25" t="str">
        <f t="array" ref="G3712">"https://earth.google.com/web/search/" &amp; A3712 &amp; "," &amp; B3712</f>
        <v>https://earth.google.com/web/search/-30.89380325131130,-55.55541028537940</v>
      </c>
      <c r="H3712" s="12"/>
      <c r="I3712" s="12"/>
      <c r="J3712" s="12"/>
      <c r="K3712" s="12"/>
      <c r="L3712" s="12"/>
      <c r="M3712" s="12"/>
      <c r="N3712" s="12"/>
      <c r="O3712" s="12"/>
      <c r="P3712" s="12"/>
      <c r="Q3712" s="12"/>
      <c r="R3712" s="12"/>
      <c r="S3712" s="12"/>
      <c r="T3712" s="12"/>
      <c r="U3712" s="12"/>
      <c r="V3712" s="12"/>
      <c r="W3712" s="12"/>
      <c r="X3712" s="12"/>
      <c r="Y3712" s="12"/>
      <c r="Z3712" s="12"/>
      <c r="AA3712" s="12"/>
    </row>
    <row r="3713" ht="26.25" customHeight="1">
      <c r="A3713" s="28" t="s">
        <v>7436</v>
      </c>
      <c r="B3713" s="29" t="s">
        <v>7437</v>
      </c>
      <c r="C3713" s="30">
        <v>4.0</v>
      </c>
      <c r="D3713" s="31">
        <v>213.0</v>
      </c>
      <c r="E3713" s="31">
        <v>2.0</v>
      </c>
      <c r="F3713" s="32" t="str">
        <f t="array" ref="F3713">"https://www.google.com/maps/search/?api=1&amp;query=" &amp; A3713 &amp; "," &amp; B3713</f>
        <v>https://www.google.com/maps/search/?api=1&amp;query=-30.89402531068680,-55.55455710278950</v>
      </c>
      <c r="G3713" s="33" t="str">
        <f t="array" ref="G3713">"https://earth.google.com/web/search/" &amp; A3713 &amp; "," &amp; B3713</f>
        <v>https://earth.google.com/web/search/-30.89402531068680,-55.55455710278950</v>
      </c>
      <c r="H3713" s="12"/>
      <c r="I3713" s="12"/>
      <c r="J3713" s="12"/>
      <c r="K3713" s="12"/>
      <c r="L3713" s="12"/>
      <c r="M3713" s="12"/>
      <c r="N3713" s="12"/>
      <c r="O3713" s="12"/>
      <c r="P3713" s="12"/>
      <c r="Q3713" s="12"/>
      <c r="R3713" s="12"/>
      <c r="S3713" s="12"/>
      <c r="T3713" s="12"/>
      <c r="U3713" s="12"/>
      <c r="V3713" s="12"/>
      <c r="W3713" s="12"/>
      <c r="X3713" s="12"/>
      <c r="Y3713" s="12"/>
      <c r="Z3713" s="12"/>
      <c r="AA3713" s="12"/>
    </row>
    <row r="3714" ht="26.25" customHeight="1">
      <c r="A3714" s="34" t="s">
        <v>7438</v>
      </c>
      <c r="B3714" s="35" t="s">
        <v>7439</v>
      </c>
      <c r="C3714" s="36">
        <v>4.0</v>
      </c>
      <c r="D3714" s="37">
        <v>213.0</v>
      </c>
      <c r="E3714" s="37">
        <v>3.0</v>
      </c>
      <c r="F3714" s="24" t="str">
        <f t="array" ref="F3714">"https://www.google.com/maps/search/?api=1&amp;query=" &amp; A3714 &amp; "," &amp; B3714</f>
        <v>https://www.google.com/maps/search/?api=1&amp;query=-30.89359556078340,-5.55542509257959</v>
      </c>
      <c r="G3714" s="25" t="str">
        <f t="array" ref="G3714">"https://earth.google.com/web/search/" &amp; A3714 &amp; "," &amp; B3714</f>
        <v>https://earth.google.com/web/search/-30.89359556078340,-5.55542509257959</v>
      </c>
      <c r="H3714" s="12"/>
      <c r="I3714" s="12"/>
      <c r="J3714" s="12"/>
      <c r="K3714" s="12"/>
      <c r="L3714" s="12"/>
      <c r="M3714" s="12"/>
      <c r="N3714" s="12"/>
      <c r="O3714" s="12"/>
      <c r="P3714" s="12"/>
      <c r="Q3714" s="12"/>
      <c r="R3714" s="12"/>
      <c r="S3714" s="12"/>
      <c r="T3714" s="12"/>
      <c r="U3714" s="12"/>
      <c r="V3714" s="12"/>
      <c r="W3714" s="12"/>
      <c r="X3714" s="12"/>
      <c r="Y3714" s="12"/>
      <c r="Z3714" s="12"/>
      <c r="AA3714" s="12"/>
    </row>
    <row r="3715" ht="26.25" customHeight="1">
      <c r="A3715" s="28" t="s">
        <v>7440</v>
      </c>
      <c r="B3715" s="29" t="s">
        <v>7441</v>
      </c>
      <c r="C3715" s="30">
        <v>4.0</v>
      </c>
      <c r="D3715" s="31">
        <v>213.0</v>
      </c>
      <c r="E3715" s="31">
        <v>4.0</v>
      </c>
      <c r="F3715" s="32" t="str">
        <f t="array" ref="F3715">"https://www.google.com/maps/search/?api=1&amp;query=" &amp; A3715 &amp; "," &amp; B3715</f>
        <v>https://www.google.com/maps/search/?api=1&amp;query=-3.08935408815193,-55.55418619958450</v>
      </c>
      <c r="G3715" s="33" t="str">
        <f t="array" ref="G3715">"https://earth.google.com/web/search/" &amp; A3715 &amp; "," &amp; B3715</f>
        <v>https://earth.google.com/web/search/-3.08935408815193,-55.55418619958450</v>
      </c>
      <c r="H3715" s="12"/>
      <c r="I3715" s="12"/>
      <c r="J3715" s="12"/>
      <c r="K3715" s="12"/>
      <c r="L3715" s="12"/>
      <c r="M3715" s="12"/>
      <c r="N3715" s="12"/>
      <c r="O3715" s="12"/>
      <c r="P3715" s="12"/>
      <c r="Q3715" s="12"/>
      <c r="R3715" s="12"/>
      <c r="S3715" s="12"/>
      <c r="T3715" s="12"/>
      <c r="U3715" s="12"/>
      <c r="V3715" s="12"/>
      <c r="W3715" s="12"/>
      <c r="X3715" s="12"/>
      <c r="Y3715" s="12"/>
      <c r="Z3715" s="12"/>
      <c r="AA3715" s="12"/>
    </row>
    <row r="3716" ht="26.25" customHeight="1">
      <c r="A3716" s="34" t="s">
        <v>7442</v>
      </c>
      <c r="B3716" s="35" t="s">
        <v>7443</v>
      </c>
      <c r="C3716" s="36">
        <v>4.0</v>
      </c>
      <c r="D3716" s="37">
        <v>213.0</v>
      </c>
      <c r="E3716" s="37">
        <v>4.0</v>
      </c>
      <c r="F3716" s="24" t="str">
        <f t="array" ref="F3716">"https://www.google.com/maps/search/?api=1&amp;query=" &amp; A3716 &amp; "," &amp; B3716</f>
        <v>https://www.google.com/maps/search/?api=1&amp;query=-30.89344512635630,-55.55428511132260</v>
      </c>
      <c r="G3716" s="25" t="str">
        <f t="array" ref="G3716">"https://earth.google.com/web/search/" &amp; A3716 &amp; "," &amp; B3716</f>
        <v>https://earth.google.com/web/search/-30.89344512635630,-55.55428511132260</v>
      </c>
      <c r="H3716" s="12"/>
      <c r="I3716" s="12"/>
      <c r="J3716" s="12"/>
      <c r="K3716" s="12"/>
      <c r="L3716" s="12"/>
      <c r="M3716" s="12"/>
      <c r="N3716" s="12"/>
      <c r="O3716" s="12"/>
      <c r="P3716" s="12"/>
      <c r="Q3716" s="12"/>
      <c r="R3716" s="12"/>
      <c r="S3716" s="12"/>
      <c r="T3716" s="12"/>
      <c r="U3716" s="12"/>
      <c r="V3716" s="12"/>
      <c r="W3716" s="12"/>
      <c r="X3716" s="12"/>
      <c r="Y3716" s="12"/>
      <c r="Z3716" s="12"/>
      <c r="AA3716" s="12"/>
    </row>
    <row r="3717" ht="26.25" customHeight="1">
      <c r="A3717" s="28" t="s">
        <v>7444</v>
      </c>
      <c r="B3717" s="29" t="s">
        <v>7445</v>
      </c>
      <c r="C3717" s="30">
        <v>4.0</v>
      </c>
      <c r="D3717" s="31">
        <v>213.0</v>
      </c>
      <c r="E3717" s="31">
        <v>5.0</v>
      </c>
      <c r="F3717" s="32" t="str">
        <f t="array" ref="F3717">"https://www.google.com/maps/search/?api=1&amp;query=" &amp; A3717 &amp; "," &amp; B3717</f>
        <v>https://www.google.com/maps/search/?api=1&amp;query=-30.89336808733620,-55.55443243259600</v>
      </c>
      <c r="G3717" s="33" t="str">
        <f t="array" ref="G3717">"https://earth.google.com/web/search/" &amp; A3717 &amp; "," &amp; B3717</f>
        <v>https://earth.google.com/web/search/-30.89336808733620,-55.55443243259600</v>
      </c>
      <c r="H3717" s="12"/>
      <c r="I3717" s="12"/>
      <c r="J3717" s="12"/>
      <c r="K3717" s="12"/>
      <c r="L3717" s="12"/>
      <c r="M3717" s="12"/>
      <c r="N3717" s="12"/>
      <c r="O3717" s="12"/>
      <c r="P3717" s="12"/>
      <c r="Q3717" s="12"/>
      <c r="R3717" s="12"/>
      <c r="S3717" s="12"/>
      <c r="T3717" s="12"/>
      <c r="U3717" s="12"/>
      <c r="V3717" s="12"/>
      <c r="W3717" s="12"/>
      <c r="X3717" s="12"/>
      <c r="Y3717" s="12"/>
      <c r="Z3717" s="12"/>
      <c r="AA3717" s="12"/>
    </row>
    <row r="3718" ht="26.25" customHeight="1">
      <c r="A3718" s="34" t="s">
        <v>7446</v>
      </c>
      <c r="B3718" s="35" t="s">
        <v>7447</v>
      </c>
      <c r="C3718" s="36">
        <v>4.0</v>
      </c>
      <c r="D3718" s="37">
        <v>213.0</v>
      </c>
      <c r="E3718" s="37">
        <v>6.0</v>
      </c>
      <c r="F3718" s="24" t="str">
        <f t="array" ref="F3718">"https://www.google.com/maps/search/?api=1&amp;query=" &amp; A3718 &amp; "," &amp; B3718</f>
        <v>https://www.google.com/maps/search/?api=1&amp;query=-30.89331558927020,-55.55451823184120</v>
      </c>
      <c r="G3718" s="25" t="str">
        <f t="array" ref="G3718">"https://earth.google.com/web/search/" &amp; A3718 &amp; "," &amp; B3718</f>
        <v>https://earth.google.com/web/search/-30.89331558927020,-55.55451823184120</v>
      </c>
      <c r="H3718" s="12"/>
      <c r="I3718" s="12"/>
      <c r="J3718" s="12"/>
      <c r="K3718" s="12"/>
      <c r="L3718" s="12"/>
      <c r="M3718" s="12"/>
      <c r="N3718" s="12"/>
      <c r="O3718" s="12"/>
      <c r="P3718" s="12"/>
      <c r="Q3718" s="12"/>
      <c r="R3718" s="12"/>
      <c r="S3718" s="12"/>
      <c r="T3718" s="12"/>
      <c r="U3718" s="12"/>
      <c r="V3718" s="12"/>
      <c r="W3718" s="12"/>
      <c r="X3718" s="12"/>
      <c r="Y3718" s="12"/>
      <c r="Z3718" s="12"/>
      <c r="AA3718" s="12"/>
    </row>
    <row r="3719" ht="26.25" customHeight="1">
      <c r="A3719" s="28" t="s">
        <v>7448</v>
      </c>
      <c r="B3719" s="29" t="s">
        <v>7449</v>
      </c>
      <c r="C3719" s="30">
        <v>4.0</v>
      </c>
      <c r="D3719" s="31">
        <v>213.0</v>
      </c>
      <c r="E3719" s="31">
        <v>7.0</v>
      </c>
      <c r="F3719" s="32" t="str">
        <f t="array" ref="F3719">"https://www.google.com/maps/search/?api=1&amp;query=" &amp; A3719 &amp; "," &amp; B3719</f>
        <v>https://www.google.com/maps/search/?api=1&amp;query=-30.89319030113420,-55.55469984362290</v>
      </c>
      <c r="G3719" s="33" t="str">
        <f t="array" ref="G3719">"https://earth.google.com/web/search/" &amp; A3719 &amp; "," &amp; B3719</f>
        <v>https://earth.google.com/web/search/-30.89319030113420,-55.55469984362290</v>
      </c>
      <c r="H3719" s="12"/>
      <c r="I3719" s="12"/>
      <c r="J3719" s="12"/>
      <c r="K3719" s="12"/>
      <c r="L3719" s="12"/>
      <c r="M3719" s="12"/>
      <c r="N3719" s="12"/>
      <c r="O3719" s="12"/>
      <c r="P3719" s="12"/>
      <c r="Q3719" s="12"/>
      <c r="R3719" s="12"/>
      <c r="S3719" s="12"/>
      <c r="T3719" s="12"/>
      <c r="U3719" s="12"/>
      <c r="V3719" s="12"/>
      <c r="W3719" s="12"/>
      <c r="X3719" s="12"/>
      <c r="Y3719" s="12"/>
      <c r="Z3719" s="12"/>
      <c r="AA3719" s="12"/>
    </row>
    <row r="3720" ht="26.25" customHeight="1">
      <c r="A3720" s="34" t="s">
        <v>7450</v>
      </c>
      <c r="B3720" s="35" t="s">
        <v>7451</v>
      </c>
      <c r="C3720" s="36">
        <v>4.0</v>
      </c>
      <c r="D3720" s="37">
        <v>213.0</v>
      </c>
      <c r="E3720" s="37">
        <v>8.0</v>
      </c>
      <c r="F3720" s="24" t="str">
        <f t="array" ref="F3720">"https://www.google.com/maps/search/?api=1&amp;query=" &amp; A3720 &amp; "," &amp; B3720</f>
        <v>https://www.google.com/maps/search/?api=1&amp;query=-30.89361900142950,-55.55537262811920</v>
      </c>
      <c r="G3720" s="25" t="str">
        <f t="array" ref="G3720">"https://earth.google.com/web/search/" &amp; A3720 &amp; "," &amp; B3720</f>
        <v>https://earth.google.com/web/search/-30.89361900142950,-55.55537262811920</v>
      </c>
      <c r="H3720" s="12"/>
      <c r="I3720" s="12"/>
      <c r="J3720" s="12"/>
      <c r="K3720" s="12"/>
      <c r="L3720" s="12"/>
      <c r="M3720" s="12"/>
      <c r="N3720" s="12"/>
      <c r="O3720" s="12"/>
      <c r="P3720" s="12"/>
      <c r="Q3720" s="12"/>
      <c r="R3720" s="12"/>
      <c r="S3720" s="12"/>
      <c r="T3720" s="12"/>
      <c r="U3720" s="12"/>
      <c r="V3720" s="12"/>
      <c r="W3720" s="12"/>
      <c r="X3720" s="12"/>
      <c r="Y3720" s="12"/>
      <c r="Z3720" s="12"/>
      <c r="AA3720" s="12"/>
    </row>
    <row r="3721" ht="26.25" customHeight="1">
      <c r="A3721" s="28" t="s">
        <v>7452</v>
      </c>
      <c r="B3721" s="29" t="s">
        <v>7453</v>
      </c>
      <c r="C3721" s="30">
        <v>4.0</v>
      </c>
      <c r="D3721" s="31">
        <v>214.0</v>
      </c>
      <c r="E3721" s="31">
        <v>1.0</v>
      </c>
      <c r="F3721" s="32" t="str">
        <f t="array" ref="F3721">"https://www.google.com/maps/search/?api=1&amp;query=" &amp; A3721 &amp; "," &amp; B3721</f>
        <v>https://www.google.com/maps/search/?api=1&amp;query=-30.89428905792710,-55.55448646246610</v>
      </c>
      <c r="G3721" s="33" t="str">
        <f t="array" ref="G3721">"https://earth.google.com/web/search/" &amp; A3721 &amp; "," &amp; B3721</f>
        <v>https://earth.google.com/web/search/-30.89428905792710,-55.55448646246610</v>
      </c>
      <c r="H3721" s="12"/>
      <c r="I3721" s="12"/>
      <c r="J3721" s="12"/>
      <c r="K3721" s="12"/>
      <c r="L3721" s="12"/>
      <c r="M3721" s="12"/>
      <c r="N3721" s="12"/>
      <c r="O3721" s="12"/>
      <c r="P3721" s="12"/>
      <c r="Q3721" s="12"/>
      <c r="R3721" s="12"/>
      <c r="S3721" s="12"/>
      <c r="T3721" s="12"/>
      <c r="U3721" s="12"/>
      <c r="V3721" s="12"/>
      <c r="W3721" s="12"/>
      <c r="X3721" s="12"/>
      <c r="Y3721" s="12"/>
      <c r="Z3721" s="12"/>
      <c r="AA3721" s="12"/>
    </row>
    <row r="3722" ht="26.25" customHeight="1">
      <c r="A3722" s="34" t="s">
        <v>7454</v>
      </c>
      <c r="B3722" s="35" t="s">
        <v>7455</v>
      </c>
      <c r="C3722" s="36">
        <v>4.0</v>
      </c>
      <c r="D3722" s="37">
        <v>214.0</v>
      </c>
      <c r="E3722" s="37">
        <v>2.0</v>
      </c>
      <c r="F3722" s="24" t="str">
        <f t="array" ref="F3722">"https://www.google.com/maps/search/?api=1&amp;query=" &amp; A3722 &amp; "," &amp; B3722</f>
        <v>https://www.google.com/maps/search/?api=1&amp;query=-30.89434214311780,-5.55543837150184</v>
      </c>
      <c r="G3722" s="25" t="str">
        <f t="array" ref="G3722">"https://earth.google.com/web/search/" &amp; A3722 &amp; "," &amp; B3722</f>
        <v>https://earth.google.com/web/search/-30.89434214311780,-5.55543837150184</v>
      </c>
      <c r="H3722" s="12"/>
      <c r="I3722" s="12"/>
      <c r="J3722" s="12"/>
      <c r="K3722" s="12"/>
      <c r="L3722" s="12"/>
      <c r="M3722" s="12"/>
      <c r="N3722" s="12"/>
      <c r="O3722" s="12"/>
      <c r="P3722" s="12"/>
      <c r="Q3722" s="12"/>
      <c r="R3722" s="12"/>
      <c r="S3722" s="12"/>
      <c r="T3722" s="12"/>
      <c r="U3722" s="12"/>
      <c r="V3722" s="12"/>
      <c r="W3722" s="12"/>
      <c r="X3722" s="12"/>
      <c r="Y3722" s="12"/>
      <c r="Z3722" s="12"/>
      <c r="AA3722" s="12"/>
    </row>
    <row r="3723" ht="26.25" customHeight="1">
      <c r="A3723" s="28" t="s">
        <v>7456</v>
      </c>
      <c r="B3723" s="29" t="s">
        <v>7457</v>
      </c>
      <c r="C3723" s="30">
        <v>4.0</v>
      </c>
      <c r="D3723" s="31">
        <v>214.0</v>
      </c>
      <c r="E3723" s="31">
        <v>3.0</v>
      </c>
      <c r="F3723" s="32" t="str">
        <f t="array" ref="F3723">"https://www.google.com/maps/search/?api=1&amp;query=" &amp; A3723 &amp; "," &amp; B3723</f>
        <v>https://www.google.com/maps/search/?api=1&amp;query=-30.89441862569650,-5.55542136458528</v>
      </c>
      <c r="G3723" s="33" t="str">
        <f t="array" ref="G3723">"https://earth.google.com/web/search/" &amp; A3723 &amp; "," &amp; B3723</f>
        <v>https://earth.google.com/web/search/-30.89441862569650,-5.55542136458528</v>
      </c>
      <c r="H3723" s="12"/>
      <c r="I3723" s="12"/>
      <c r="J3723" s="12"/>
      <c r="K3723" s="12"/>
      <c r="L3723" s="12"/>
      <c r="M3723" s="12"/>
      <c r="N3723" s="12"/>
      <c r="O3723" s="12"/>
      <c r="P3723" s="12"/>
      <c r="Q3723" s="12"/>
      <c r="R3723" s="12"/>
      <c r="S3723" s="12"/>
      <c r="T3723" s="12"/>
      <c r="U3723" s="12"/>
      <c r="V3723" s="12"/>
      <c r="W3723" s="12"/>
      <c r="X3723" s="12"/>
      <c r="Y3723" s="12"/>
      <c r="Z3723" s="12"/>
      <c r="AA3723" s="12"/>
    </row>
    <row r="3724" ht="26.25" customHeight="1">
      <c r="A3724" s="34" t="s">
        <v>7458</v>
      </c>
      <c r="B3724" s="35" t="s">
        <v>7459</v>
      </c>
      <c r="C3724" s="36">
        <v>4.0</v>
      </c>
      <c r="D3724" s="37">
        <v>214.0</v>
      </c>
      <c r="E3724" s="37">
        <v>4.0</v>
      </c>
      <c r="F3724" s="24" t="str">
        <f t="array" ref="F3724">"https://www.google.com/maps/search/?api=1&amp;query=" &amp; A3724 &amp; "," &amp; B3724</f>
        <v>https://www.google.com/maps/search/?api=1&amp;query=-30.89374447242650,-5.55537042879909</v>
      </c>
      <c r="G3724" s="25" t="str">
        <f t="array" ref="G3724">"https://earth.google.com/web/search/" &amp; A3724 &amp; "," &amp; B3724</f>
        <v>https://earth.google.com/web/search/-30.89374447242650,-5.55537042879909</v>
      </c>
      <c r="H3724" s="12"/>
      <c r="I3724" s="12"/>
      <c r="J3724" s="12"/>
      <c r="K3724" s="12"/>
      <c r="L3724" s="12"/>
      <c r="M3724" s="12"/>
      <c r="N3724" s="12"/>
      <c r="O3724" s="12"/>
      <c r="P3724" s="12"/>
      <c r="Q3724" s="12"/>
      <c r="R3724" s="12"/>
      <c r="S3724" s="12"/>
      <c r="T3724" s="12"/>
      <c r="U3724" s="12"/>
      <c r="V3724" s="12"/>
      <c r="W3724" s="12"/>
      <c r="X3724" s="12"/>
      <c r="Y3724" s="12"/>
      <c r="Z3724" s="12"/>
      <c r="AA3724" s="12"/>
    </row>
    <row r="3725" ht="26.25" customHeight="1">
      <c r="A3725" s="28" t="s">
        <v>7460</v>
      </c>
      <c r="B3725" s="29" t="s">
        <v>7461</v>
      </c>
      <c r="C3725" s="30">
        <v>4.0</v>
      </c>
      <c r="D3725" s="31">
        <v>214.0</v>
      </c>
      <c r="E3725" s="31">
        <v>5.0</v>
      </c>
      <c r="F3725" s="32" t="str">
        <f t="array" ref="F3725">"https://www.google.com/maps/search/?api=1&amp;query=" &amp; A3725 &amp; "," &amp; B3725</f>
        <v>https://www.google.com/maps/search/?api=1&amp;query=-30.89368886949420,-55.55384739554870</v>
      </c>
      <c r="G3725" s="33" t="str">
        <f t="array" ref="G3725">"https://earth.google.com/web/search/" &amp; A3725 &amp; "," &amp; B3725</f>
        <v>https://earth.google.com/web/search/-30.89368886949420,-55.55384739554870</v>
      </c>
      <c r="H3725" s="12"/>
      <c r="I3725" s="12"/>
      <c r="J3725" s="12"/>
      <c r="K3725" s="12"/>
      <c r="L3725" s="12"/>
      <c r="M3725" s="12"/>
      <c r="N3725" s="12"/>
      <c r="O3725" s="12"/>
      <c r="P3725" s="12"/>
      <c r="Q3725" s="12"/>
      <c r="R3725" s="12"/>
      <c r="S3725" s="12"/>
      <c r="T3725" s="12"/>
      <c r="U3725" s="12"/>
      <c r="V3725" s="12"/>
      <c r="W3725" s="12"/>
      <c r="X3725" s="12"/>
      <c r="Y3725" s="12"/>
      <c r="Z3725" s="12"/>
      <c r="AA3725" s="12"/>
    </row>
    <row r="3726" ht="26.25" customHeight="1">
      <c r="A3726" s="34" t="s">
        <v>7462</v>
      </c>
      <c r="B3726" s="35" t="s">
        <v>7463</v>
      </c>
      <c r="C3726" s="36">
        <v>4.0</v>
      </c>
      <c r="D3726" s="37">
        <v>214.0</v>
      </c>
      <c r="E3726" s="37">
        <v>6.0</v>
      </c>
      <c r="F3726" s="24" t="str">
        <f t="array" ref="F3726">"https://www.google.com/maps/search/?api=1&amp;query=" &amp; A3726 &amp; "," &amp; B3726</f>
        <v>https://www.google.com/maps/search/?api=1&amp;query=-3.08936528308805,-55.55393031355380</v>
      </c>
      <c r="G3726" s="25" t="str">
        <f t="array" ref="G3726">"https://earth.google.com/web/search/" &amp; A3726 &amp; "," &amp; B3726</f>
        <v>https://earth.google.com/web/search/-3.08936528308805,-55.55393031355380</v>
      </c>
      <c r="H3726" s="12"/>
      <c r="I3726" s="12"/>
      <c r="J3726" s="12"/>
      <c r="K3726" s="12"/>
      <c r="L3726" s="12"/>
      <c r="M3726" s="12"/>
      <c r="N3726" s="12"/>
      <c r="O3726" s="12"/>
      <c r="P3726" s="12"/>
      <c r="Q3726" s="12"/>
      <c r="R3726" s="12"/>
      <c r="S3726" s="12"/>
      <c r="T3726" s="12"/>
      <c r="U3726" s="12"/>
      <c r="V3726" s="12"/>
      <c r="W3726" s="12"/>
      <c r="X3726" s="12"/>
      <c r="Y3726" s="12"/>
      <c r="Z3726" s="12"/>
      <c r="AA3726" s="12"/>
    </row>
    <row r="3727" ht="26.25" customHeight="1">
      <c r="A3727" s="28" t="s">
        <v>7464</v>
      </c>
      <c r="B3727" s="29" t="s">
        <v>7465</v>
      </c>
      <c r="C3727" s="30">
        <v>4.0</v>
      </c>
      <c r="D3727" s="31">
        <v>214.0</v>
      </c>
      <c r="E3727" s="31">
        <v>7.0</v>
      </c>
      <c r="F3727" s="32" t="str">
        <f t="array" ref="F3727">"https://www.google.com/maps/search/?api=1&amp;query=" &amp; A3727 &amp; "," &amp; B3727</f>
        <v>https://www.google.com/maps/search/?api=1&amp;query=-30.89357449321430,-55.55402456049540</v>
      </c>
      <c r="G3727" s="33" t="str">
        <f t="array" ref="G3727">"https://earth.google.com/web/search/" &amp; A3727 &amp; "," &amp; B3727</f>
        <v>https://earth.google.com/web/search/-30.89357449321430,-55.55402456049540</v>
      </c>
      <c r="H3727" s="12"/>
      <c r="I3727" s="12"/>
      <c r="J3727" s="12"/>
      <c r="K3727" s="12"/>
      <c r="L3727" s="12"/>
      <c r="M3727" s="12"/>
      <c r="N3727" s="12"/>
      <c r="O3727" s="12"/>
      <c r="P3727" s="12"/>
      <c r="Q3727" s="12"/>
      <c r="R3727" s="12"/>
      <c r="S3727" s="12"/>
      <c r="T3727" s="12"/>
      <c r="U3727" s="12"/>
      <c r="V3727" s="12"/>
      <c r="W3727" s="12"/>
      <c r="X3727" s="12"/>
      <c r="Y3727" s="12"/>
      <c r="Z3727" s="12"/>
      <c r="AA3727" s="12"/>
    </row>
    <row r="3728" ht="26.25" customHeight="1">
      <c r="A3728" s="34" t="s">
        <v>7466</v>
      </c>
      <c r="B3728" s="35" t="s">
        <v>7467</v>
      </c>
      <c r="C3728" s="36">
        <v>4.0</v>
      </c>
      <c r="D3728" s="37">
        <v>214.0</v>
      </c>
      <c r="E3728" s="37">
        <v>8.0</v>
      </c>
      <c r="F3728" s="24" t="str">
        <f t="array" ref="F3728">"https://www.google.com/maps/search/?api=1&amp;query=" &amp; A3728 &amp; "," &amp; B3728</f>
        <v>https://www.google.com/maps/search/?api=1&amp;query=-30.89379419896910,-55.55424198808730</v>
      </c>
      <c r="G3728" s="25" t="str">
        <f t="array" ref="G3728">"https://earth.google.com/web/search/" &amp; A3728 &amp; "," &amp; B3728</f>
        <v>https://earth.google.com/web/search/-30.89379419896910,-55.55424198808730</v>
      </c>
      <c r="H3728" s="12"/>
      <c r="I3728" s="12"/>
      <c r="J3728" s="12"/>
      <c r="K3728" s="12"/>
      <c r="L3728" s="12"/>
      <c r="M3728" s="12"/>
      <c r="N3728" s="12"/>
      <c r="O3728" s="12"/>
      <c r="P3728" s="12"/>
      <c r="Q3728" s="12"/>
      <c r="R3728" s="12"/>
      <c r="S3728" s="12"/>
      <c r="T3728" s="12"/>
      <c r="U3728" s="12"/>
      <c r="V3728" s="12"/>
      <c r="W3728" s="12"/>
      <c r="X3728" s="12"/>
      <c r="Y3728" s="12"/>
      <c r="Z3728" s="12"/>
      <c r="AA3728" s="12"/>
    </row>
    <row r="3729" ht="26.25" customHeight="1">
      <c r="A3729" s="28" t="s">
        <v>7468</v>
      </c>
      <c r="B3729" s="29" t="s">
        <v>7469</v>
      </c>
      <c r="C3729" s="30">
        <v>4.0</v>
      </c>
      <c r="D3729" s="31">
        <v>214.0</v>
      </c>
      <c r="E3729" s="31">
        <v>9.0</v>
      </c>
      <c r="F3729" s="32" t="str">
        <f t="array" ref="F3729">"https://www.google.com/maps/search/?api=1&amp;query=" &amp; A3729 &amp; "," &amp; B3729</f>
        <v>https://www.google.com/maps/search/?api=1&amp;query=-30.89405144272450,-55.55441730873760</v>
      </c>
      <c r="G3729" s="33" t="str">
        <f t="array" ref="G3729">"https://earth.google.com/web/search/" &amp; A3729 &amp; "," &amp; B3729</f>
        <v>https://earth.google.com/web/search/-30.89405144272450,-55.55441730873760</v>
      </c>
      <c r="H3729" s="12"/>
      <c r="I3729" s="12"/>
      <c r="J3729" s="12"/>
      <c r="K3729" s="12"/>
      <c r="L3729" s="12"/>
      <c r="M3729" s="12"/>
      <c r="N3729" s="12"/>
      <c r="O3729" s="12"/>
      <c r="P3729" s="12"/>
      <c r="Q3729" s="12"/>
      <c r="R3729" s="12"/>
      <c r="S3729" s="12"/>
      <c r="T3729" s="12"/>
      <c r="U3729" s="12"/>
      <c r="V3729" s="12"/>
      <c r="W3729" s="12"/>
      <c r="X3729" s="12"/>
      <c r="Y3729" s="12"/>
      <c r="Z3729" s="12"/>
      <c r="AA3729" s="12"/>
    </row>
    <row r="3730" ht="26.25" customHeight="1">
      <c r="A3730" s="34" t="s">
        <v>7470</v>
      </c>
      <c r="B3730" s="35" t="s">
        <v>7471</v>
      </c>
      <c r="C3730" s="36">
        <v>4.0</v>
      </c>
      <c r="D3730" s="37">
        <v>214.0</v>
      </c>
      <c r="E3730" s="37">
        <v>10.0</v>
      </c>
      <c r="F3730" s="24" t="str">
        <f t="array" ref="F3730">"https://www.google.com/maps/search/?api=1&amp;query=" &amp; A3730 &amp; "," &amp; B3730</f>
        <v>https://www.google.com/maps/search/?api=1&amp;query=-30.89421648394310,-55.55455016463710</v>
      </c>
      <c r="G3730" s="25" t="str">
        <f t="array" ref="G3730">"https://earth.google.com/web/search/" &amp; A3730 &amp; "," &amp; B3730</f>
        <v>https://earth.google.com/web/search/-30.89421648394310,-55.55455016463710</v>
      </c>
      <c r="H3730" s="12"/>
      <c r="I3730" s="12"/>
      <c r="J3730" s="12"/>
      <c r="K3730" s="12"/>
      <c r="L3730" s="12"/>
      <c r="M3730" s="12"/>
      <c r="N3730" s="12"/>
      <c r="O3730" s="12"/>
      <c r="P3730" s="12"/>
      <c r="Q3730" s="12"/>
      <c r="R3730" s="12"/>
      <c r="S3730" s="12"/>
      <c r="T3730" s="12"/>
      <c r="U3730" s="12"/>
      <c r="V3730" s="12"/>
      <c r="W3730" s="12"/>
      <c r="X3730" s="12"/>
      <c r="Y3730" s="12"/>
      <c r="Z3730" s="12"/>
      <c r="AA3730" s="12"/>
    </row>
    <row r="3731" ht="26.25" customHeight="1">
      <c r="A3731" s="28" t="s">
        <v>7472</v>
      </c>
      <c r="B3731" s="29" t="s">
        <v>7473</v>
      </c>
      <c r="C3731" s="30">
        <v>4.0</v>
      </c>
      <c r="D3731" s="31">
        <v>215.0</v>
      </c>
      <c r="E3731" s="31">
        <v>1.0</v>
      </c>
      <c r="F3731" s="32" t="str">
        <f t="array" ref="F3731">"https://www.google.com/maps/search/?api=1&amp;query=" &amp; A3731 &amp; "," &amp; B3731</f>
        <v>https://www.google.com/maps/search/?api=1&amp;query=-30.89480174716180,-55.55353036900530</v>
      </c>
      <c r="G3731" s="33" t="str">
        <f t="array" ref="G3731">"https://earth.google.com/web/search/" &amp; A3731 &amp; "," &amp; B3731</f>
        <v>https://earth.google.com/web/search/-30.89480174716180,-55.55353036900530</v>
      </c>
      <c r="H3731" s="12"/>
      <c r="I3731" s="12"/>
      <c r="J3731" s="12"/>
      <c r="K3731" s="12"/>
      <c r="L3731" s="12"/>
      <c r="M3731" s="12"/>
      <c r="N3731" s="12"/>
      <c r="O3731" s="12"/>
      <c r="P3731" s="12"/>
      <c r="Q3731" s="12"/>
      <c r="R3731" s="12"/>
      <c r="S3731" s="12"/>
      <c r="T3731" s="12"/>
      <c r="U3731" s="12"/>
      <c r="V3731" s="12"/>
      <c r="W3731" s="12"/>
      <c r="X3731" s="12"/>
      <c r="Y3731" s="12"/>
      <c r="Z3731" s="12"/>
      <c r="AA3731" s="12"/>
    </row>
    <row r="3732" ht="26.25" customHeight="1">
      <c r="A3732" s="34" t="s">
        <v>7474</v>
      </c>
      <c r="B3732" s="35" t="s">
        <v>7475</v>
      </c>
      <c r="C3732" s="36">
        <v>4.0</v>
      </c>
      <c r="D3732" s="37">
        <v>215.0</v>
      </c>
      <c r="E3732" s="37">
        <v>2.0</v>
      </c>
      <c r="F3732" s="24" t="str">
        <f t="array" ref="F3732">"https://www.google.com/maps/search/?api=1&amp;query=" &amp; A3732 &amp; "," &amp; B3732</f>
        <v>https://www.google.com/maps/search/?api=1&amp;query=-30.89492072109960,-55.55321238827370</v>
      </c>
      <c r="G3732" s="25" t="str">
        <f t="array" ref="G3732">"https://earth.google.com/web/search/" &amp; A3732 &amp; "," &amp; B3732</f>
        <v>https://earth.google.com/web/search/-30.89492072109960,-55.55321238827370</v>
      </c>
      <c r="H3732" s="12"/>
      <c r="I3732" s="12"/>
      <c r="J3732" s="12"/>
      <c r="K3732" s="12"/>
      <c r="L3732" s="12"/>
      <c r="M3732" s="12"/>
      <c r="N3732" s="12"/>
      <c r="O3732" s="12"/>
      <c r="P3732" s="12"/>
      <c r="Q3732" s="12"/>
      <c r="R3732" s="12"/>
      <c r="S3732" s="12"/>
      <c r="T3732" s="12"/>
      <c r="U3732" s="12"/>
      <c r="V3732" s="12"/>
      <c r="W3732" s="12"/>
      <c r="X3732" s="12"/>
      <c r="Y3732" s="12"/>
      <c r="Z3732" s="12"/>
      <c r="AA3732" s="12"/>
    </row>
    <row r="3733" ht="26.25" customHeight="1">
      <c r="A3733" s="28" t="s">
        <v>7476</v>
      </c>
      <c r="B3733" s="29" t="s">
        <v>7477</v>
      </c>
      <c r="C3733" s="30">
        <v>4.0</v>
      </c>
      <c r="D3733" s="31">
        <v>215.0</v>
      </c>
      <c r="E3733" s="31">
        <v>3.0</v>
      </c>
      <c r="F3733" s="32" t="str">
        <f t="array" ref="F3733">"https://www.google.com/maps/search/?api=1&amp;query=" &amp; A3733 &amp; "," &amp; B3733</f>
        <v>https://www.google.com/maps/search/?api=1&amp;query=-30.89500721557530,-55.55311296660870</v>
      </c>
      <c r="G3733" s="33" t="str">
        <f t="array" ref="G3733">"https://earth.google.com/web/search/" &amp; A3733 &amp; "," &amp; B3733</f>
        <v>https://earth.google.com/web/search/-30.89500721557530,-55.55311296660870</v>
      </c>
      <c r="H3733" s="12"/>
      <c r="I3733" s="12"/>
      <c r="J3733" s="12"/>
      <c r="K3733" s="12"/>
      <c r="L3733" s="12"/>
      <c r="M3733" s="12"/>
      <c r="N3733" s="12"/>
      <c r="O3733" s="12"/>
      <c r="P3733" s="12"/>
      <c r="Q3733" s="12"/>
      <c r="R3733" s="12"/>
      <c r="S3733" s="12"/>
      <c r="T3733" s="12"/>
      <c r="U3733" s="12"/>
      <c r="V3733" s="12"/>
      <c r="W3733" s="12"/>
      <c r="X3733" s="12"/>
      <c r="Y3733" s="12"/>
      <c r="Z3733" s="12"/>
      <c r="AA3733" s="12"/>
    </row>
    <row r="3734" ht="26.25" customHeight="1">
      <c r="A3734" s="34" t="s">
        <v>7478</v>
      </c>
      <c r="B3734" s="35" t="s">
        <v>7479</v>
      </c>
      <c r="C3734" s="36">
        <v>4.0</v>
      </c>
      <c r="D3734" s="37">
        <v>215.0</v>
      </c>
      <c r="E3734" s="37">
        <v>4.0</v>
      </c>
      <c r="F3734" s="24" t="str">
        <f t="array" ref="F3734">"https://www.google.com/maps/search/?api=1&amp;query=" &amp; A3734 &amp; "," &amp; B3734</f>
        <v>https://www.google.com/maps/search/?api=1&amp;query=-30.89434324176850,-5.55525887900308</v>
      </c>
      <c r="G3734" s="25" t="str">
        <f t="array" ref="G3734">"https://earth.google.com/web/search/" &amp; A3734 &amp; "," &amp; B3734</f>
        <v>https://earth.google.com/web/search/-30.89434324176850,-5.55525887900308</v>
      </c>
      <c r="H3734" s="12"/>
      <c r="I3734" s="12"/>
      <c r="J3734" s="12"/>
      <c r="K3734" s="12"/>
      <c r="L3734" s="12"/>
      <c r="M3734" s="12"/>
      <c r="N3734" s="12"/>
      <c r="O3734" s="12"/>
      <c r="P3734" s="12"/>
      <c r="Q3734" s="12"/>
      <c r="R3734" s="12"/>
      <c r="S3734" s="12"/>
      <c r="T3734" s="12"/>
      <c r="U3734" s="12"/>
      <c r="V3734" s="12"/>
      <c r="W3734" s="12"/>
      <c r="X3734" s="12"/>
      <c r="Y3734" s="12"/>
      <c r="Z3734" s="12"/>
      <c r="AA3734" s="12"/>
    </row>
    <row r="3735" ht="26.25" customHeight="1">
      <c r="A3735" s="28" t="s">
        <v>7480</v>
      </c>
      <c r="B3735" s="29" t="s">
        <v>7481</v>
      </c>
      <c r="C3735" s="30">
        <v>4.0</v>
      </c>
      <c r="D3735" s="31">
        <v>215.0</v>
      </c>
      <c r="E3735" s="31">
        <v>5.0</v>
      </c>
      <c r="F3735" s="32" t="str">
        <f t="array" ref="F3735">"https://www.google.com/maps/search/?api=1&amp;query=" &amp; A3735 &amp; "," &amp; B3735</f>
        <v>https://www.google.com/maps/search/?api=1&amp;query=-30.89427340725370,-55.55270252617990</v>
      </c>
      <c r="G3735" s="33" t="str">
        <f t="array" ref="G3735">"https://earth.google.com/web/search/" &amp; A3735 &amp; "," &amp; B3735</f>
        <v>https://earth.google.com/web/search/-30.89427340725370,-55.55270252617990</v>
      </c>
      <c r="H3735" s="12"/>
      <c r="I3735" s="12"/>
      <c r="J3735" s="12"/>
      <c r="K3735" s="12"/>
      <c r="L3735" s="12"/>
      <c r="M3735" s="12"/>
      <c r="N3735" s="12"/>
      <c r="O3735" s="12"/>
      <c r="P3735" s="12"/>
      <c r="Q3735" s="12"/>
      <c r="R3735" s="12"/>
      <c r="S3735" s="12"/>
      <c r="T3735" s="12"/>
      <c r="U3735" s="12"/>
      <c r="V3735" s="12"/>
      <c r="W3735" s="12"/>
      <c r="X3735" s="12"/>
      <c r="Y3735" s="12"/>
      <c r="Z3735" s="12"/>
      <c r="AA3735" s="12"/>
    </row>
    <row r="3736" ht="26.25" customHeight="1">
      <c r="A3736" s="34" t="s">
        <v>7482</v>
      </c>
      <c r="B3736" s="35" t="s">
        <v>7483</v>
      </c>
      <c r="C3736" s="36">
        <v>4.0</v>
      </c>
      <c r="D3736" s="37">
        <v>215.0</v>
      </c>
      <c r="E3736" s="37">
        <v>6.0</v>
      </c>
      <c r="F3736" s="24" t="str">
        <f t="array" ref="F3736">"https://www.google.com/maps/search/?api=1&amp;query=" &amp; A3736 &amp; "," &amp; B3736</f>
        <v>https://www.google.com/maps/search/?api=1&amp;query=-30.89422519247470,-55.55281814159440</v>
      </c>
      <c r="G3736" s="25" t="str">
        <f t="array" ref="G3736">"https://earth.google.com/web/search/" &amp; A3736 &amp; "," &amp; B3736</f>
        <v>https://earth.google.com/web/search/-30.89422519247470,-55.55281814159440</v>
      </c>
      <c r="H3736" s="12"/>
      <c r="I3736" s="12"/>
      <c r="J3736" s="12"/>
      <c r="K3736" s="12"/>
      <c r="L3736" s="12"/>
      <c r="M3736" s="12"/>
      <c r="N3736" s="12"/>
      <c r="O3736" s="12"/>
      <c r="P3736" s="12"/>
      <c r="Q3736" s="12"/>
      <c r="R3736" s="12"/>
      <c r="S3736" s="12"/>
      <c r="T3736" s="12"/>
      <c r="U3736" s="12"/>
      <c r="V3736" s="12"/>
      <c r="W3736" s="12"/>
      <c r="X3736" s="12"/>
      <c r="Y3736" s="12"/>
      <c r="Z3736" s="12"/>
      <c r="AA3736" s="12"/>
    </row>
    <row r="3737" ht="26.25" customHeight="1">
      <c r="A3737" s="28" t="s">
        <v>7484</v>
      </c>
      <c r="B3737" s="29" t="s">
        <v>7485</v>
      </c>
      <c r="C3737" s="30">
        <v>4.0</v>
      </c>
      <c r="D3737" s="31">
        <v>215.0</v>
      </c>
      <c r="E3737" s="31">
        <v>7.0</v>
      </c>
      <c r="F3737" s="32" t="str">
        <f t="array" ref="F3737">"https://www.google.com/maps/search/?api=1&amp;query=" &amp; A3737 &amp; "," &amp; B3737</f>
        <v>https://www.google.com/maps/search/?api=1&amp;query=-30.89415435959120,-55.55292832349310</v>
      </c>
      <c r="G3737" s="33" t="str">
        <f t="array" ref="G3737">"https://earth.google.com/web/search/" &amp; A3737 &amp; "," &amp; B3737</f>
        <v>https://earth.google.com/web/search/-30.89415435959120,-55.55292832349310</v>
      </c>
      <c r="H3737" s="12"/>
      <c r="I3737" s="12"/>
      <c r="J3737" s="12"/>
      <c r="K3737" s="12"/>
      <c r="L3737" s="12"/>
      <c r="M3737" s="12"/>
      <c r="N3737" s="12"/>
      <c r="O3737" s="12"/>
      <c r="P3737" s="12"/>
      <c r="Q3737" s="12"/>
      <c r="R3737" s="12"/>
      <c r="S3737" s="12"/>
      <c r="T3737" s="12"/>
      <c r="U3737" s="12"/>
      <c r="V3737" s="12"/>
      <c r="W3737" s="12"/>
      <c r="X3737" s="12"/>
      <c r="Y3737" s="12"/>
      <c r="Z3737" s="12"/>
      <c r="AA3737" s="12"/>
    </row>
    <row r="3738" ht="26.25" customHeight="1">
      <c r="A3738" s="34" t="s">
        <v>7486</v>
      </c>
      <c r="B3738" s="35" t="s">
        <v>7487</v>
      </c>
      <c r="C3738" s="36">
        <v>4.0</v>
      </c>
      <c r="D3738" s="37">
        <v>215.0</v>
      </c>
      <c r="E3738" s="37">
        <v>7.0</v>
      </c>
      <c r="F3738" s="24" t="str">
        <f t="array" ref="F3738">"https://www.google.com/maps/search/?api=1&amp;query=" &amp; A3738 &amp; "," &amp; B3738</f>
        <v>https://www.google.com/maps/search/?api=1&amp;query=-30.89410799028370,-55.55317110943970</v>
      </c>
      <c r="G3738" s="25" t="str">
        <f t="array" ref="G3738">"https://earth.google.com/web/search/" &amp; A3738 &amp; "," &amp; B3738</f>
        <v>https://earth.google.com/web/search/-30.89410799028370,-55.55317110943970</v>
      </c>
      <c r="H3738" s="12"/>
      <c r="I3738" s="12"/>
      <c r="J3738" s="12"/>
      <c r="K3738" s="12"/>
      <c r="L3738" s="12"/>
      <c r="M3738" s="12"/>
      <c r="N3738" s="12"/>
      <c r="O3738" s="12"/>
      <c r="P3738" s="12"/>
      <c r="Q3738" s="12"/>
      <c r="R3738" s="12"/>
      <c r="S3738" s="12"/>
      <c r="T3738" s="12"/>
      <c r="U3738" s="12"/>
      <c r="V3738" s="12"/>
      <c r="W3738" s="12"/>
      <c r="X3738" s="12"/>
      <c r="Y3738" s="12"/>
      <c r="Z3738" s="12"/>
      <c r="AA3738" s="12"/>
    </row>
    <row r="3739" ht="26.25" customHeight="1">
      <c r="A3739" s="28" t="s">
        <v>7488</v>
      </c>
      <c r="B3739" s="29" t="s">
        <v>7489</v>
      </c>
      <c r="C3739" s="30">
        <v>4.0</v>
      </c>
      <c r="D3739" s="31">
        <v>216.0</v>
      </c>
      <c r="E3739" s="31">
        <v>1.0</v>
      </c>
      <c r="F3739" s="32" t="str">
        <f t="array" ref="F3739">"https://www.google.com/maps/search/?api=1&amp;query=" &amp; A3739 &amp; "," &amp; B3739</f>
        <v>https://www.google.com/maps/search/?api=1&amp;query=-30.89511504361890,-55.55267593838530</v>
      </c>
      <c r="G3739" s="33" t="str">
        <f t="array" ref="G3739">"https://earth.google.com/web/search/" &amp; A3739 &amp; "," &amp; B3739</f>
        <v>https://earth.google.com/web/search/-30.89511504361890,-55.55267593838530</v>
      </c>
      <c r="H3739" s="12"/>
      <c r="I3739" s="12"/>
      <c r="J3739" s="12"/>
      <c r="K3739" s="12"/>
      <c r="L3739" s="12"/>
      <c r="M3739" s="12"/>
      <c r="N3739" s="12"/>
      <c r="O3739" s="12"/>
      <c r="P3739" s="12"/>
      <c r="Q3739" s="12"/>
      <c r="R3739" s="12"/>
      <c r="S3739" s="12"/>
      <c r="T3739" s="12"/>
      <c r="U3739" s="12"/>
      <c r="V3739" s="12"/>
      <c r="W3739" s="12"/>
      <c r="X3739" s="12"/>
      <c r="Y3739" s="12"/>
      <c r="Z3739" s="12"/>
      <c r="AA3739" s="12"/>
    </row>
    <row r="3740" ht="26.25" customHeight="1">
      <c r="A3740" s="34" t="s">
        <v>7490</v>
      </c>
      <c r="B3740" s="35" t="s">
        <v>7491</v>
      </c>
      <c r="C3740" s="36">
        <v>4.0</v>
      </c>
      <c r="D3740" s="37">
        <v>216.0</v>
      </c>
      <c r="E3740" s="37">
        <v>2.0</v>
      </c>
      <c r="F3740" s="24" t="str">
        <f t="array" ref="F3740">"https://www.google.com/maps/search/?api=1&amp;query=" &amp; A3740 &amp; "," &amp; B3740</f>
        <v>https://www.google.com/maps/search/?api=1&amp;query=-30.89513859412500,-55.55158696851970</v>
      </c>
      <c r="G3740" s="25" t="str">
        <f t="array" ref="G3740">"https://earth.google.com/web/search/" &amp; A3740 &amp; "," &amp; B3740</f>
        <v>https://earth.google.com/web/search/-30.89513859412500,-55.55158696851970</v>
      </c>
      <c r="H3740" s="12"/>
      <c r="I3740" s="12"/>
      <c r="J3740" s="12"/>
      <c r="K3740" s="12"/>
      <c r="L3740" s="12"/>
      <c r="M3740" s="12"/>
      <c r="N3740" s="12"/>
      <c r="O3740" s="12"/>
      <c r="P3740" s="12"/>
      <c r="Q3740" s="12"/>
      <c r="R3740" s="12"/>
      <c r="S3740" s="12"/>
      <c r="T3740" s="12"/>
      <c r="U3740" s="12"/>
      <c r="V3740" s="12"/>
      <c r="W3740" s="12"/>
      <c r="X3740" s="12"/>
      <c r="Y3740" s="12"/>
      <c r="Z3740" s="12"/>
      <c r="AA3740" s="12"/>
    </row>
    <row r="3741" ht="26.25" customHeight="1">
      <c r="A3741" s="28" t="s">
        <v>7492</v>
      </c>
      <c r="B3741" s="29" t="s">
        <v>7493</v>
      </c>
      <c r="C3741" s="30">
        <v>4.0</v>
      </c>
      <c r="D3741" s="31">
        <v>216.0</v>
      </c>
      <c r="E3741" s="31">
        <v>3.0</v>
      </c>
      <c r="F3741" s="32" t="str">
        <f t="array" ref="F3741">"https://www.google.com/maps/search/?api=1&amp;query=" &amp; A3741 &amp; "," &amp; B3741</f>
        <v>https://www.google.com/maps/search/?api=1&amp;query=-3.08946509924264,-55.55201090037590</v>
      </c>
      <c r="G3741" s="33" t="str">
        <f t="array" ref="G3741">"https://earth.google.com/web/search/" &amp; A3741 &amp; "," &amp; B3741</f>
        <v>https://earth.google.com/web/search/-3.08946509924264,-55.55201090037590</v>
      </c>
      <c r="H3741" s="12"/>
      <c r="I3741" s="12"/>
      <c r="J3741" s="12"/>
      <c r="K3741" s="12"/>
      <c r="L3741" s="12"/>
      <c r="M3741" s="12"/>
      <c r="N3741" s="12"/>
      <c r="O3741" s="12"/>
      <c r="P3741" s="12"/>
      <c r="Q3741" s="12"/>
      <c r="R3741" s="12"/>
      <c r="S3741" s="12"/>
      <c r="T3741" s="12"/>
      <c r="U3741" s="12"/>
      <c r="V3741" s="12"/>
      <c r="W3741" s="12"/>
      <c r="X3741" s="12"/>
      <c r="Y3741" s="12"/>
      <c r="Z3741" s="12"/>
      <c r="AA3741" s="12"/>
    </row>
    <row r="3742" ht="26.25" customHeight="1">
      <c r="A3742" s="34" t="s">
        <v>7494</v>
      </c>
      <c r="B3742" s="35" t="s">
        <v>7495</v>
      </c>
      <c r="C3742" s="36">
        <v>4.0</v>
      </c>
      <c r="D3742" s="37">
        <v>217.0</v>
      </c>
      <c r="E3742" s="37">
        <v>1.0</v>
      </c>
      <c r="F3742" s="24" t="str">
        <f t="array" ref="F3742">"https://www.google.com/maps/search/?api=1&amp;query=" &amp; A3742 &amp; "," &amp; B3742</f>
        <v>https://www.google.com/maps/search/?api=1&amp;query=-30.89591295508110,-55.55137700135120</v>
      </c>
      <c r="G3742" s="25" t="str">
        <f t="array" ref="G3742">"https://earth.google.com/web/search/" &amp; A3742 &amp; "," &amp; B3742</f>
        <v>https://earth.google.com/web/search/-30.89591295508110,-55.55137700135120</v>
      </c>
      <c r="H3742" s="12"/>
      <c r="I3742" s="12"/>
      <c r="J3742" s="12"/>
      <c r="K3742" s="12"/>
      <c r="L3742" s="12"/>
      <c r="M3742" s="12"/>
      <c r="N3742" s="12"/>
      <c r="O3742" s="12"/>
      <c r="P3742" s="12"/>
      <c r="Q3742" s="12"/>
      <c r="R3742" s="12"/>
      <c r="S3742" s="12"/>
      <c r="T3742" s="12"/>
      <c r="U3742" s="12"/>
      <c r="V3742" s="12"/>
      <c r="W3742" s="12"/>
      <c r="X3742" s="12"/>
      <c r="Y3742" s="12"/>
      <c r="Z3742" s="12"/>
      <c r="AA3742" s="12"/>
    </row>
    <row r="3743" ht="26.25" customHeight="1">
      <c r="A3743" s="28" t="s">
        <v>7496</v>
      </c>
      <c r="B3743" s="29" t="s">
        <v>7497</v>
      </c>
      <c r="C3743" s="30">
        <v>4.0</v>
      </c>
      <c r="D3743" s="31">
        <v>217.0</v>
      </c>
      <c r="E3743" s="31">
        <v>2.0</v>
      </c>
      <c r="F3743" s="32" t="str">
        <f t="array" ref="F3743">"https://www.google.com/maps/search/?api=1&amp;query=" &amp; A3743 &amp; "," &amp; B3743</f>
        <v>https://www.google.com/maps/search/?api=1&amp;query=-30.89608064789500,-55.55101381928430</v>
      </c>
      <c r="G3743" s="33" t="str">
        <f t="array" ref="G3743">"https://earth.google.com/web/search/" &amp; A3743 &amp; "," &amp; B3743</f>
        <v>https://earth.google.com/web/search/-30.89608064789500,-55.55101381928430</v>
      </c>
      <c r="H3743" s="12"/>
      <c r="I3743" s="12"/>
      <c r="J3743" s="12"/>
      <c r="K3743" s="12"/>
      <c r="L3743" s="12"/>
      <c r="M3743" s="12"/>
      <c r="N3743" s="12"/>
      <c r="O3743" s="12"/>
      <c r="P3743" s="12"/>
      <c r="Q3743" s="12"/>
      <c r="R3743" s="12"/>
      <c r="S3743" s="12"/>
      <c r="T3743" s="12"/>
      <c r="U3743" s="12"/>
      <c r="V3743" s="12"/>
      <c r="W3743" s="12"/>
      <c r="X3743" s="12"/>
      <c r="Y3743" s="12"/>
      <c r="Z3743" s="12"/>
      <c r="AA3743" s="12"/>
    </row>
    <row r="3744" ht="26.25" customHeight="1">
      <c r="A3744" s="34" t="s">
        <v>7498</v>
      </c>
      <c r="B3744" s="35" t="s">
        <v>7499</v>
      </c>
      <c r="C3744" s="36">
        <v>4.0</v>
      </c>
      <c r="D3744" s="37">
        <v>217.0</v>
      </c>
      <c r="E3744" s="37">
        <v>3.0</v>
      </c>
      <c r="F3744" s="24" t="str">
        <f t="array" ref="F3744">"https://www.google.com/maps/search/?api=1&amp;query=" &amp; A3744 &amp; "," &amp; B3744</f>
        <v>https://www.google.com/maps/search/?api=1&amp;query=-30.89598473241910,-55.55094732794540</v>
      </c>
      <c r="G3744" s="25" t="str">
        <f t="array" ref="G3744">"https://earth.google.com/web/search/" &amp; A3744 &amp; "," &amp; B3744</f>
        <v>https://earth.google.com/web/search/-30.89598473241910,-55.55094732794540</v>
      </c>
      <c r="H3744" s="12"/>
      <c r="I3744" s="12"/>
      <c r="J3744" s="12"/>
      <c r="K3744" s="12"/>
      <c r="L3744" s="12"/>
      <c r="M3744" s="12"/>
      <c r="N3744" s="12"/>
      <c r="O3744" s="12"/>
      <c r="P3744" s="12"/>
      <c r="Q3744" s="12"/>
      <c r="R3744" s="12"/>
      <c r="S3744" s="12"/>
      <c r="T3744" s="12"/>
      <c r="U3744" s="12"/>
      <c r="V3744" s="12"/>
      <c r="W3744" s="12"/>
      <c r="X3744" s="12"/>
      <c r="Y3744" s="12"/>
      <c r="Z3744" s="12"/>
      <c r="AA3744" s="12"/>
    </row>
    <row r="3745" ht="26.25" customHeight="1">
      <c r="A3745" s="28" t="s">
        <v>7500</v>
      </c>
      <c r="B3745" s="29" t="s">
        <v>7501</v>
      </c>
      <c r="C3745" s="30">
        <v>4.0</v>
      </c>
      <c r="D3745" s="31">
        <v>217.0</v>
      </c>
      <c r="E3745" s="31">
        <v>4.0</v>
      </c>
      <c r="F3745" s="32" t="str">
        <f t="array" ref="F3745">"https://www.google.com/maps/search/?api=1&amp;query=" &amp; A3745 &amp; "," &amp; B3745</f>
        <v>https://www.google.com/maps/search/?api=1&amp;query=-3.08959064032851,-5.55508810968395</v>
      </c>
      <c r="G3745" s="33" t="str">
        <f t="array" ref="G3745">"https://earth.google.com/web/search/" &amp; A3745 &amp; "," &amp; B3745</f>
        <v>https://earth.google.com/web/search/-3.08959064032851,-5.55508810968395</v>
      </c>
      <c r="H3745" s="12"/>
      <c r="I3745" s="12"/>
      <c r="J3745" s="12"/>
      <c r="K3745" s="12"/>
      <c r="L3745" s="12"/>
      <c r="M3745" s="12"/>
      <c r="N3745" s="12"/>
      <c r="O3745" s="12"/>
      <c r="P3745" s="12"/>
      <c r="Q3745" s="12"/>
      <c r="R3745" s="12"/>
      <c r="S3745" s="12"/>
      <c r="T3745" s="12"/>
      <c r="U3745" s="12"/>
      <c r="V3745" s="12"/>
      <c r="W3745" s="12"/>
      <c r="X3745" s="12"/>
      <c r="Y3745" s="12"/>
      <c r="Z3745" s="12"/>
      <c r="AA3745" s="12"/>
    </row>
    <row r="3746" ht="26.25" customHeight="1">
      <c r="A3746" s="34" t="s">
        <v>7502</v>
      </c>
      <c r="B3746" s="35" t="s">
        <v>7503</v>
      </c>
      <c r="C3746" s="36">
        <v>4.0</v>
      </c>
      <c r="D3746" s="37">
        <v>217.0</v>
      </c>
      <c r="E3746" s="37">
        <v>5.0</v>
      </c>
      <c r="F3746" s="24" t="str">
        <f t="array" ref="F3746">"https://www.google.com/maps/search/?api=1&amp;query=" &amp; A3746 &amp; "," &amp; B3746</f>
        <v>https://www.google.com/maps/search/?api=1&amp;query=-30.89552718593100,-55.55060664505000</v>
      </c>
      <c r="G3746" s="25" t="str">
        <f t="array" ref="G3746">"https://earth.google.com/web/search/" &amp; A3746 &amp; "," &amp; B3746</f>
        <v>https://earth.google.com/web/search/-30.89552718593100,-55.55060664505000</v>
      </c>
      <c r="H3746" s="12"/>
      <c r="I3746" s="12"/>
      <c r="J3746" s="12"/>
      <c r="K3746" s="12"/>
      <c r="L3746" s="12"/>
      <c r="M3746" s="12"/>
      <c r="N3746" s="12"/>
      <c r="O3746" s="12"/>
      <c r="P3746" s="12"/>
      <c r="Q3746" s="12"/>
      <c r="R3746" s="12"/>
      <c r="S3746" s="12"/>
      <c r="T3746" s="12"/>
      <c r="U3746" s="12"/>
      <c r="V3746" s="12"/>
      <c r="W3746" s="12"/>
      <c r="X3746" s="12"/>
      <c r="Y3746" s="12"/>
      <c r="Z3746" s="12"/>
      <c r="AA3746" s="12"/>
    </row>
    <row r="3747" ht="26.25" customHeight="1">
      <c r="A3747" s="28" t="s">
        <v>7504</v>
      </c>
      <c r="B3747" s="29" t="s">
        <v>7505</v>
      </c>
      <c r="C3747" s="30">
        <v>4.0</v>
      </c>
      <c r="D3747" s="31">
        <v>217.0</v>
      </c>
      <c r="E3747" s="31">
        <v>6.0</v>
      </c>
      <c r="F3747" s="32" t="str">
        <f t="array" ref="F3747">"https://www.google.com/maps/search/?api=1&amp;query=" &amp; A3747 &amp; "," &amp; B3747</f>
        <v>https://www.google.com/maps/search/?api=1&amp;query=-30.89547057666750,-55.55169572113170</v>
      </c>
      <c r="G3747" s="33" t="str">
        <f t="array" ref="G3747">"https://earth.google.com/web/search/" &amp; A3747 &amp; "," &amp; B3747</f>
        <v>https://earth.google.com/web/search/-30.89547057666750,-55.55169572113170</v>
      </c>
      <c r="H3747" s="12"/>
      <c r="I3747" s="12"/>
      <c r="J3747" s="12"/>
      <c r="K3747" s="12"/>
      <c r="L3747" s="12"/>
      <c r="M3747" s="12"/>
      <c r="N3747" s="12"/>
      <c r="O3747" s="12"/>
      <c r="P3747" s="12"/>
      <c r="Q3747" s="12"/>
      <c r="R3747" s="12"/>
      <c r="S3747" s="12"/>
      <c r="T3747" s="12"/>
      <c r="U3747" s="12"/>
      <c r="V3747" s="12"/>
      <c r="W3747" s="12"/>
      <c r="X3747" s="12"/>
      <c r="Y3747" s="12"/>
      <c r="Z3747" s="12"/>
      <c r="AA3747" s="12"/>
    </row>
    <row r="3748" ht="26.25" customHeight="1">
      <c r="A3748" s="34" t="s">
        <v>7506</v>
      </c>
      <c r="B3748" s="35" t="s">
        <v>7507</v>
      </c>
      <c r="C3748" s="36">
        <v>4.0</v>
      </c>
      <c r="D3748" s="37">
        <v>217.0</v>
      </c>
      <c r="E3748" s="37">
        <v>7.0</v>
      </c>
      <c r="F3748" s="24" t="str">
        <f t="array" ref="F3748">"https://www.google.com/maps/search/?api=1&amp;query=" &amp; A3748 &amp; "," &amp; B3748</f>
        <v>https://www.google.com/maps/search/?api=1&amp;query=-30.89555771369080,-55.55175056081790</v>
      </c>
      <c r="G3748" s="25" t="str">
        <f t="array" ref="G3748">"https://earth.google.com/web/search/" &amp; A3748 &amp; "," &amp; B3748</f>
        <v>https://earth.google.com/web/search/-30.89555771369080,-55.55175056081790</v>
      </c>
      <c r="H3748" s="12"/>
      <c r="I3748" s="12"/>
      <c r="J3748" s="12"/>
      <c r="K3748" s="12"/>
      <c r="L3748" s="12"/>
      <c r="M3748" s="12"/>
      <c r="N3748" s="12"/>
      <c r="O3748" s="12"/>
      <c r="P3748" s="12"/>
      <c r="Q3748" s="12"/>
      <c r="R3748" s="12"/>
      <c r="S3748" s="12"/>
      <c r="T3748" s="12"/>
      <c r="U3748" s="12"/>
      <c r="V3748" s="12"/>
      <c r="W3748" s="12"/>
      <c r="X3748" s="12"/>
      <c r="Y3748" s="12"/>
      <c r="Z3748" s="12"/>
      <c r="AA3748" s="12"/>
    </row>
    <row r="3749" ht="26.25" customHeight="1">
      <c r="A3749" s="28" t="s">
        <v>7508</v>
      </c>
      <c r="B3749" s="29" t="s">
        <v>7509</v>
      </c>
      <c r="C3749" s="30">
        <v>4.0</v>
      </c>
      <c r="D3749" s="31">
        <v>218.0</v>
      </c>
      <c r="E3749" s="31">
        <v>1.0</v>
      </c>
      <c r="F3749" s="32" t="str">
        <f t="array" ref="F3749">"https://www.google.com/maps/search/?api=1&amp;query=" &amp; A3749 &amp; "," &amp; B3749</f>
        <v>https://www.google.com/maps/search/?api=1&amp;query=-3.08962612231057,-55.55072885026020</v>
      </c>
      <c r="G3749" s="33" t="str">
        <f t="array" ref="G3749">"https://earth.google.com/web/search/" &amp; A3749 &amp; "," &amp; B3749</f>
        <v>https://earth.google.com/web/search/-3.08962612231057,-55.55072885026020</v>
      </c>
      <c r="H3749" s="12"/>
      <c r="I3749" s="12"/>
      <c r="J3749" s="12"/>
      <c r="K3749" s="12"/>
      <c r="L3749" s="12"/>
      <c r="M3749" s="12"/>
      <c r="N3749" s="12"/>
      <c r="O3749" s="12"/>
      <c r="P3749" s="12"/>
      <c r="Q3749" s="12"/>
      <c r="R3749" s="12"/>
      <c r="S3749" s="12"/>
      <c r="T3749" s="12"/>
      <c r="U3749" s="12"/>
      <c r="V3749" s="12"/>
      <c r="W3749" s="12"/>
      <c r="X3749" s="12"/>
      <c r="Y3749" s="12"/>
      <c r="Z3749" s="12"/>
      <c r="AA3749" s="12"/>
    </row>
    <row r="3750" ht="26.25" customHeight="1">
      <c r="A3750" s="34" t="s">
        <v>7510</v>
      </c>
      <c r="B3750" s="35" t="s">
        <v>7511</v>
      </c>
      <c r="C3750" s="36">
        <v>4.0</v>
      </c>
      <c r="D3750" s="37">
        <v>218.0</v>
      </c>
      <c r="E3750" s="37">
        <v>2.0</v>
      </c>
      <c r="F3750" s="24" t="str">
        <f t="array" ref="F3750">"https://www.google.com/maps/search/?api=1&amp;query=" &amp; A3750 &amp; "," &amp; B3750</f>
        <v>https://www.google.com/maps/search/?api=1&amp;query=-30.89584432122480,-55.54969471603610</v>
      </c>
      <c r="G3750" s="25" t="str">
        <f t="array" ref="G3750">"https://earth.google.com/web/search/" &amp; A3750 &amp; "," &amp; B3750</f>
        <v>https://earth.google.com/web/search/-30.89584432122480,-55.54969471603610</v>
      </c>
      <c r="H3750" s="12"/>
      <c r="I3750" s="12"/>
      <c r="J3750" s="12"/>
      <c r="K3750" s="12"/>
      <c r="L3750" s="12"/>
      <c r="M3750" s="12"/>
      <c r="N3750" s="12"/>
      <c r="O3750" s="12"/>
      <c r="P3750" s="12"/>
      <c r="Q3750" s="12"/>
      <c r="R3750" s="12"/>
      <c r="S3750" s="12"/>
      <c r="T3750" s="12"/>
      <c r="U3750" s="12"/>
      <c r="V3750" s="12"/>
      <c r="W3750" s="12"/>
      <c r="X3750" s="12"/>
      <c r="Y3750" s="12"/>
      <c r="Z3750" s="12"/>
      <c r="AA3750" s="12"/>
    </row>
    <row r="3751" ht="26.25" customHeight="1">
      <c r="A3751" s="28" t="s">
        <v>7512</v>
      </c>
      <c r="B3751" s="29" t="s">
        <v>7513</v>
      </c>
      <c r="C3751" s="30">
        <v>4.0</v>
      </c>
      <c r="D3751" s="31">
        <v>218.0</v>
      </c>
      <c r="E3751" s="31">
        <v>3.0</v>
      </c>
      <c r="F3751" s="32" t="str">
        <f t="array" ref="F3751">"https://www.google.com/maps/search/?api=1&amp;query=" &amp; A3751 &amp; "," &amp; B3751</f>
        <v>https://www.google.com/maps/search/?api=1&amp;query=-30.89575768935060,-55.54985622793270</v>
      </c>
      <c r="G3751" s="33" t="str">
        <f t="array" ref="G3751">"https://earth.google.com/web/search/" &amp; A3751 &amp; "," &amp; B3751</f>
        <v>https://earth.google.com/web/search/-30.89575768935060,-55.54985622793270</v>
      </c>
      <c r="H3751" s="12"/>
      <c r="I3751" s="12"/>
      <c r="J3751" s="12"/>
      <c r="K3751" s="12"/>
      <c r="L3751" s="12"/>
      <c r="M3751" s="12"/>
      <c r="N3751" s="12"/>
      <c r="O3751" s="12"/>
      <c r="P3751" s="12"/>
      <c r="Q3751" s="12"/>
      <c r="R3751" s="12"/>
      <c r="S3751" s="12"/>
      <c r="T3751" s="12"/>
      <c r="U3751" s="12"/>
      <c r="V3751" s="12"/>
      <c r="W3751" s="12"/>
      <c r="X3751" s="12"/>
      <c r="Y3751" s="12"/>
      <c r="Z3751" s="12"/>
      <c r="AA3751" s="12"/>
    </row>
    <row r="3752" ht="26.25" customHeight="1">
      <c r="A3752" s="34" t="s">
        <v>7514</v>
      </c>
      <c r="B3752" s="35" t="s">
        <v>7515</v>
      </c>
      <c r="C3752" s="36">
        <v>4.0</v>
      </c>
      <c r="D3752" s="37">
        <v>218.0</v>
      </c>
      <c r="E3752" s="37">
        <v>4.0</v>
      </c>
      <c r="F3752" s="24" t="str">
        <f t="array" ref="F3752">"https://www.google.com/maps/search/?api=1&amp;query=" &amp; A3752 &amp; "," &amp; B3752</f>
        <v>https://www.google.com/maps/search/?api=1&amp;query=-30.89548608659650,-55.55045671997560</v>
      </c>
      <c r="G3752" s="25" t="str">
        <f t="array" ref="G3752">"https://earth.google.com/web/search/" &amp; A3752 &amp; "," &amp; B3752</f>
        <v>https://earth.google.com/web/search/-30.89548608659650,-55.55045671997560</v>
      </c>
      <c r="H3752" s="12"/>
      <c r="I3752" s="12"/>
      <c r="J3752" s="12"/>
      <c r="K3752" s="12"/>
      <c r="L3752" s="12"/>
      <c r="M3752" s="12"/>
      <c r="N3752" s="12"/>
      <c r="O3752" s="12"/>
      <c r="P3752" s="12"/>
      <c r="Q3752" s="12"/>
      <c r="R3752" s="12"/>
      <c r="S3752" s="12"/>
      <c r="T3752" s="12"/>
      <c r="U3752" s="12"/>
      <c r="V3752" s="12"/>
      <c r="W3752" s="12"/>
      <c r="X3752" s="12"/>
      <c r="Y3752" s="12"/>
      <c r="Z3752" s="12"/>
      <c r="AA3752" s="12"/>
    </row>
    <row r="3753" ht="26.25" customHeight="1">
      <c r="A3753" s="28" t="s">
        <v>7516</v>
      </c>
      <c r="B3753" s="29" t="s">
        <v>7517</v>
      </c>
      <c r="C3753" s="30">
        <v>4.0</v>
      </c>
      <c r="D3753" s="31">
        <v>218.0</v>
      </c>
      <c r="E3753" s="31">
        <v>5.0</v>
      </c>
      <c r="F3753" s="32" t="str">
        <f t="array" ref="F3753">"https://www.google.com/maps/search/?api=1&amp;query=" &amp; A3753 &amp; "," &amp; B3753</f>
        <v>https://www.google.com/maps/search/?api=1&amp;query=-30.89556004790480,-5.55505233297556</v>
      </c>
      <c r="G3753" s="33" t="str">
        <f t="array" ref="G3753">"https://earth.google.com/web/search/" &amp; A3753 &amp; "," &amp; B3753</f>
        <v>https://earth.google.com/web/search/-30.89556004790480,-5.55505233297556</v>
      </c>
      <c r="H3753" s="12"/>
      <c r="I3753" s="12"/>
      <c r="J3753" s="12"/>
      <c r="K3753" s="12"/>
      <c r="L3753" s="12"/>
      <c r="M3753" s="12"/>
      <c r="N3753" s="12"/>
      <c r="O3753" s="12"/>
      <c r="P3753" s="12"/>
      <c r="Q3753" s="12"/>
      <c r="R3753" s="12"/>
      <c r="S3753" s="12"/>
      <c r="T3753" s="12"/>
      <c r="U3753" s="12"/>
      <c r="V3753" s="12"/>
      <c r="W3753" s="12"/>
      <c r="X3753" s="12"/>
      <c r="Y3753" s="12"/>
      <c r="Z3753" s="12"/>
      <c r="AA3753" s="12"/>
    </row>
    <row r="3754" ht="26.25" customHeight="1">
      <c r="A3754" s="34" t="s">
        <v>7518</v>
      </c>
      <c r="B3754" s="35" t="s">
        <v>7519</v>
      </c>
      <c r="C3754" s="36">
        <v>4.0</v>
      </c>
      <c r="D3754" s="37">
        <v>218.0</v>
      </c>
      <c r="E3754" s="37">
        <v>6.0</v>
      </c>
      <c r="F3754" s="24" t="str">
        <f t="array" ref="F3754">"https://www.google.com/maps/search/?api=1&amp;query=" &amp; A3754 &amp; "," &amp; B3754</f>
        <v>https://www.google.com/maps/search/?api=1&amp;query=-30.89561396026800,-55.55055186023550</v>
      </c>
      <c r="G3754" s="25" t="str">
        <f t="array" ref="G3754">"https://earth.google.com/web/search/" &amp; A3754 &amp; "," &amp; B3754</f>
        <v>https://earth.google.com/web/search/-30.89561396026800,-55.55055186023550</v>
      </c>
      <c r="H3754" s="12"/>
      <c r="I3754" s="12"/>
      <c r="J3754" s="12"/>
      <c r="K3754" s="12"/>
      <c r="L3754" s="12"/>
      <c r="M3754" s="12"/>
      <c r="N3754" s="12"/>
      <c r="O3754" s="12"/>
      <c r="P3754" s="12"/>
      <c r="Q3754" s="12"/>
      <c r="R3754" s="12"/>
      <c r="S3754" s="12"/>
      <c r="T3754" s="12"/>
      <c r="U3754" s="12"/>
      <c r="V3754" s="12"/>
      <c r="W3754" s="12"/>
      <c r="X3754" s="12"/>
      <c r="Y3754" s="12"/>
      <c r="Z3754" s="12"/>
      <c r="AA3754" s="12"/>
    </row>
    <row r="3755" ht="26.25" customHeight="1">
      <c r="A3755" s="28" t="s">
        <v>7520</v>
      </c>
      <c r="B3755" s="29" t="s">
        <v>7521</v>
      </c>
      <c r="C3755" s="30">
        <v>4.0</v>
      </c>
      <c r="D3755" s="31">
        <v>218.0</v>
      </c>
      <c r="E3755" s="31">
        <v>7.0</v>
      </c>
      <c r="F3755" s="32" t="str">
        <f t="array" ref="F3755">"https://www.google.com/maps/search/?api=1&amp;query=" &amp; A3755 &amp; "," &amp; B3755</f>
        <v>https://www.google.com/maps/search/?api=1&amp;query=-30.89569119781870,-55.55060738906090</v>
      </c>
      <c r="G3755" s="33" t="str">
        <f t="array" ref="G3755">"https://earth.google.com/web/search/" &amp; A3755 &amp; "," &amp; B3755</f>
        <v>https://earth.google.com/web/search/-30.89569119781870,-55.55060738906090</v>
      </c>
      <c r="H3755" s="12"/>
      <c r="I3755" s="12"/>
      <c r="J3755" s="12"/>
      <c r="K3755" s="12"/>
      <c r="L3755" s="12"/>
      <c r="M3755" s="12"/>
      <c r="N3755" s="12"/>
      <c r="O3755" s="12"/>
      <c r="P3755" s="12"/>
      <c r="Q3755" s="12"/>
      <c r="R3755" s="12"/>
      <c r="S3755" s="12"/>
      <c r="T3755" s="12"/>
      <c r="U3755" s="12"/>
      <c r="V3755" s="12"/>
      <c r="W3755" s="12"/>
      <c r="X3755" s="12"/>
      <c r="Y3755" s="12"/>
      <c r="Z3755" s="12"/>
      <c r="AA3755" s="12"/>
    </row>
    <row r="3756" ht="26.25" customHeight="1">
      <c r="A3756" s="34" t="s">
        <v>7522</v>
      </c>
      <c r="B3756" s="35" t="s">
        <v>7523</v>
      </c>
      <c r="C3756" s="36">
        <v>4.0</v>
      </c>
      <c r="D3756" s="37">
        <v>218.0</v>
      </c>
      <c r="E3756" s="37">
        <v>8.0</v>
      </c>
      <c r="F3756" s="24" t="str">
        <f t="array" ref="F3756">"https://www.google.com/maps/search/?api=1&amp;query=" &amp; A3756 &amp; "," &amp; B3756</f>
        <v>https://www.google.com/maps/search/?api=1&amp;query=-3.08957846305729,-55.55066547772910</v>
      </c>
      <c r="G3756" s="25" t="str">
        <f t="array" ref="G3756">"https://earth.google.com/web/search/" &amp; A3756 &amp; "," &amp; B3756</f>
        <v>https://earth.google.com/web/search/-3.08957846305729,-55.55066547772910</v>
      </c>
      <c r="H3756" s="12"/>
      <c r="I3756" s="12"/>
      <c r="J3756" s="12"/>
      <c r="K3756" s="12"/>
      <c r="L3756" s="12"/>
      <c r="M3756" s="12"/>
      <c r="N3756" s="12"/>
      <c r="O3756" s="12"/>
      <c r="P3756" s="12"/>
      <c r="Q3756" s="12"/>
      <c r="R3756" s="12"/>
      <c r="S3756" s="12"/>
      <c r="T3756" s="12"/>
      <c r="U3756" s="12"/>
      <c r="V3756" s="12"/>
      <c r="W3756" s="12"/>
      <c r="X3756" s="12"/>
      <c r="Y3756" s="12"/>
      <c r="Z3756" s="12"/>
      <c r="AA3756" s="12"/>
    </row>
    <row r="3757" ht="26.25" customHeight="1">
      <c r="A3757" s="28" t="s">
        <v>7524</v>
      </c>
      <c r="B3757" s="29" t="s">
        <v>7525</v>
      </c>
      <c r="C3757" s="30">
        <v>4.0</v>
      </c>
      <c r="D3757" s="31">
        <v>251.0</v>
      </c>
      <c r="E3757" s="31">
        <v>1.0</v>
      </c>
      <c r="F3757" s="32" t="str">
        <f t="array" ref="F3757">"https://www.google.com/maps/search/?api=1&amp;query=" &amp; A3757 &amp; "," &amp; B3757</f>
        <v>https://www.google.com/maps/search/?api=1&amp;query=-30.89708036339030,-55.55124019731060</v>
      </c>
      <c r="G3757" s="33" t="str">
        <f t="array" ref="G3757">"https://earth.google.com/web/search/" &amp; A3757 &amp; "," &amp; B3757</f>
        <v>https://earth.google.com/web/search/-30.89708036339030,-55.55124019731060</v>
      </c>
      <c r="H3757" s="12"/>
      <c r="I3757" s="12"/>
      <c r="J3757" s="12"/>
      <c r="K3757" s="12"/>
      <c r="L3757" s="12"/>
      <c r="M3757" s="12"/>
      <c r="N3757" s="12"/>
      <c r="O3757" s="12"/>
      <c r="P3757" s="12"/>
      <c r="Q3757" s="12"/>
      <c r="R3757" s="12"/>
      <c r="S3757" s="12"/>
      <c r="T3757" s="12"/>
      <c r="U3757" s="12"/>
      <c r="V3757" s="12"/>
      <c r="W3757" s="12"/>
      <c r="X3757" s="12"/>
      <c r="Y3757" s="12"/>
      <c r="Z3757" s="12"/>
      <c r="AA3757" s="12"/>
    </row>
    <row r="3758" ht="26.25" customHeight="1">
      <c r="A3758" s="34" t="s">
        <v>7526</v>
      </c>
      <c r="B3758" s="35" t="s">
        <v>7527</v>
      </c>
      <c r="C3758" s="36">
        <v>4.0</v>
      </c>
      <c r="D3758" s="37">
        <v>251.0</v>
      </c>
      <c r="E3758" s="37">
        <v>2.0</v>
      </c>
      <c r="F3758" s="24" t="str">
        <f t="array" ref="F3758">"https://www.google.com/maps/search/?api=1&amp;query=" &amp; A3758 &amp; "," &amp; B3758</f>
        <v>https://www.google.com/maps/search/?api=1&amp;query=-30.89710838700100,-55.55116035169200</v>
      </c>
      <c r="G3758" s="25" t="str">
        <f t="array" ref="G3758">"https://earth.google.com/web/search/" &amp; A3758 &amp; "," &amp; B3758</f>
        <v>https://earth.google.com/web/search/-30.89710838700100,-55.55116035169200</v>
      </c>
      <c r="H3758" s="12"/>
      <c r="I3758" s="12"/>
      <c r="J3758" s="12"/>
      <c r="K3758" s="12"/>
      <c r="L3758" s="12"/>
      <c r="M3758" s="12"/>
      <c r="N3758" s="12"/>
      <c r="O3758" s="12"/>
      <c r="P3758" s="12"/>
      <c r="Q3758" s="12"/>
      <c r="R3758" s="12"/>
      <c r="S3758" s="12"/>
      <c r="T3758" s="12"/>
      <c r="U3758" s="12"/>
      <c r="V3758" s="12"/>
      <c r="W3758" s="12"/>
      <c r="X3758" s="12"/>
      <c r="Y3758" s="12"/>
      <c r="Z3758" s="12"/>
      <c r="AA3758" s="12"/>
    </row>
    <row r="3759" ht="26.25" customHeight="1">
      <c r="A3759" s="28" t="s">
        <v>7528</v>
      </c>
      <c r="B3759" s="29" t="s">
        <v>7529</v>
      </c>
      <c r="C3759" s="30">
        <v>4.0</v>
      </c>
      <c r="D3759" s="31">
        <v>251.0</v>
      </c>
      <c r="E3759" s="31">
        <v>3.0</v>
      </c>
      <c r="F3759" s="32" t="str">
        <f t="array" ref="F3759">"https://www.google.com/maps/search/?api=1&amp;query=" &amp; A3759 &amp; "," &amp; B3759</f>
        <v>https://www.google.com/maps/search/?api=1&amp;query=-30.89715428340260,-55.55111038893970</v>
      </c>
      <c r="G3759" s="33" t="str">
        <f t="array" ref="G3759">"https://earth.google.com/web/search/" &amp; A3759 &amp; "," &amp; B3759</f>
        <v>https://earth.google.com/web/search/-30.89715428340260,-55.55111038893970</v>
      </c>
      <c r="H3759" s="12"/>
      <c r="I3759" s="12"/>
      <c r="J3759" s="12"/>
      <c r="K3759" s="12"/>
      <c r="L3759" s="12"/>
      <c r="M3759" s="12"/>
      <c r="N3759" s="12"/>
      <c r="O3759" s="12"/>
      <c r="P3759" s="12"/>
      <c r="Q3759" s="12"/>
      <c r="R3759" s="12"/>
      <c r="S3759" s="12"/>
      <c r="T3759" s="12"/>
      <c r="U3759" s="12"/>
      <c r="V3759" s="12"/>
      <c r="W3759" s="12"/>
      <c r="X3759" s="12"/>
      <c r="Y3759" s="12"/>
      <c r="Z3759" s="12"/>
      <c r="AA3759" s="12"/>
    </row>
    <row r="3760" ht="26.25" customHeight="1">
      <c r="A3760" s="34" t="s">
        <v>7530</v>
      </c>
      <c r="B3760" s="35" t="s">
        <v>7531</v>
      </c>
      <c r="C3760" s="36">
        <v>4.0</v>
      </c>
      <c r="D3760" s="37">
        <v>251.0</v>
      </c>
      <c r="E3760" s="37">
        <v>4.0</v>
      </c>
      <c r="F3760" s="24" t="str">
        <f t="array" ref="F3760">"https://www.google.com/maps/search/?api=1&amp;query=" &amp; A3760 &amp; "," &amp; B3760</f>
        <v>https://www.google.com/maps/search/?api=1&amp;query=-30.89727004411370,-55.55090294647120</v>
      </c>
      <c r="G3760" s="25" t="str">
        <f t="array" ref="G3760">"https://earth.google.com/web/search/" &amp; A3760 &amp; "," &amp; B3760</f>
        <v>https://earth.google.com/web/search/-30.89727004411370,-55.55090294647120</v>
      </c>
      <c r="H3760" s="12"/>
      <c r="I3760" s="12"/>
      <c r="J3760" s="12"/>
      <c r="K3760" s="12"/>
      <c r="L3760" s="12"/>
      <c r="M3760" s="12"/>
      <c r="N3760" s="12"/>
      <c r="O3760" s="12"/>
      <c r="P3760" s="12"/>
      <c r="Q3760" s="12"/>
      <c r="R3760" s="12"/>
      <c r="S3760" s="12"/>
      <c r="T3760" s="12"/>
      <c r="U3760" s="12"/>
      <c r="V3760" s="12"/>
      <c r="W3760" s="12"/>
      <c r="X3760" s="12"/>
      <c r="Y3760" s="12"/>
      <c r="Z3760" s="12"/>
      <c r="AA3760" s="12"/>
    </row>
    <row r="3761" ht="26.25" customHeight="1">
      <c r="A3761" s="28" t="s">
        <v>7532</v>
      </c>
      <c r="B3761" s="29" t="s">
        <v>7533</v>
      </c>
      <c r="C3761" s="30">
        <v>4.0</v>
      </c>
      <c r="D3761" s="31">
        <v>251.0</v>
      </c>
      <c r="E3761" s="31">
        <v>5.0</v>
      </c>
      <c r="F3761" s="32" t="str">
        <f t="array" ref="F3761">"https://www.google.com/maps/search/?api=1&amp;query=" &amp; A3761 &amp; "," &amp; B3761</f>
        <v>https://www.google.com/maps/search/?api=1&amp;query=-30.89662471066140,-55.55027897622390</v>
      </c>
      <c r="G3761" s="33" t="str">
        <f t="array" ref="G3761">"https://earth.google.com/web/search/" &amp; A3761 &amp; "," &amp; B3761</f>
        <v>https://earth.google.com/web/search/-30.89662471066140,-55.55027897622390</v>
      </c>
      <c r="H3761" s="12"/>
      <c r="I3761" s="12"/>
      <c r="J3761" s="12"/>
      <c r="K3761" s="12"/>
      <c r="L3761" s="12"/>
      <c r="M3761" s="12"/>
      <c r="N3761" s="12"/>
      <c r="O3761" s="12"/>
      <c r="P3761" s="12"/>
      <c r="Q3761" s="12"/>
      <c r="R3761" s="12"/>
      <c r="S3761" s="12"/>
      <c r="T3761" s="12"/>
      <c r="U3761" s="12"/>
      <c r="V3761" s="12"/>
      <c r="W3761" s="12"/>
      <c r="X3761" s="12"/>
      <c r="Y3761" s="12"/>
      <c r="Z3761" s="12"/>
      <c r="AA3761" s="12"/>
    </row>
    <row r="3762" ht="26.25" customHeight="1">
      <c r="A3762" s="34" t="s">
        <v>7534</v>
      </c>
      <c r="B3762" s="35" t="s">
        <v>7535</v>
      </c>
      <c r="C3762" s="36">
        <v>4.0</v>
      </c>
      <c r="D3762" s="37">
        <v>251.0</v>
      </c>
      <c r="E3762" s="37">
        <v>6.0</v>
      </c>
      <c r="F3762" s="24" t="str">
        <f t="array" ref="F3762">"https://www.google.com/maps/search/?api=1&amp;query=" &amp; A3762 &amp; "," &amp; B3762</f>
        <v>https://www.google.com/maps/search/?api=1&amp;query=-30.89633710433000,-55.55078001916200</v>
      </c>
      <c r="G3762" s="25" t="str">
        <f t="array" ref="G3762">"https://earth.google.com/web/search/" &amp; A3762 &amp; "," &amp; B3762</f>
        <v>https://earth.google.com/web/search/-30.89633710433000,-55.55078001916200</v>
      </c>
      <c r="H3762" s="12"/>
      <c r="I3762" s="12"/>
      <c r="J3762" s="12"/>
      <c r="K3762" s="12"/>
      <c r="L3762" s="12"/>
      <c r="M3762" s="12"/>
      <c r="N3762" s="12"/>
      <c r="O3762" s="12"/>
      <c r="P3762" s="12"/>
      <c r="Q3762" s="12"/>
      <c r="R3762" s="12"/>
      <c r="S3762" s="12"/>
      <c r="T3762" s="12"/>
      <c r="U3762" s="12"/>
      <c r="V3762" s="12"/>
      <c r="W3762" s="12"/>
      <c r="X3762" s="12"/>
      <c r="Y3762" s="12"/>
      <c r="Z3762" s="12"/>
      <c r="AA3762" s="12"/>
    </row>
    <row r="3763" ht="26.25" customHeight="1">
      <c r="A3763" s="28" t="s">
        <v>7536</v>
      </c>
      <c r="B3763" s="29" t="s">
        <v>7537</v>
      </c>
      <c r="C3763" s="30">
        <v>4.0</v>
      </c>
      <c r="D3763" s="31">
        <v>251.0</v>
      </c>
      <c r="E3763" s="31">
        <v>7.0</v>
      </c>
      <c r="F3763" s="32" t="str">
        <f t="array" ref="F3763">"https://www.google.com/maps/search/?api=1&amp;query=" &amp; A3763 &amp; "," &amp; B3763</f>
        <v>https://www.google.com/maps/search/?api=1&amp;query=-30.89629284287270,-55.55088669628740</v>
      </c>
      <c r="G3763" s="33" t="str">
        <f t="array" ref="G3763">"https://earth.google.com/web/search/" &amp; A3763 &amp; "," &amp; B3763</f>
        <v>https://earth.google.com/web/search/-30.89629284287270,-55.55088669628740</v>
      </c>
      <c r="H3763" s="12"/>
      <c r="I3763" s="12"/>
      <c r="J3763" s="12"/>
      <c r="K3763" s="12"/>
      <c r="L3763" s="12"/>
      <c r="M3763" s="12"/>
      <c r="N3763" s="12"/>
      <c r="O3763" s="12"/>
      <c r="P3763" s="12"/>
      <c r="Q3763" s="12"/>
      <c r="R3763" s="12"/>
      <c r="S3763" s="12"/>
      <c r="T3763" s="12"/>
      <c r="U3763" s="12"/>
      <c r="V3763" s="12"/>
      <c r="W3763" s="12"/>
      <c r="X3763" s="12"/>
      <c r="Y3763" s="12"/>
      <c r="Z3763" s="12"/>
      <c r="AA3763" s="12"/>
    </row>
    <row r="3764" ht="26.25" customHeight="1">
      <c r="A3764" s="34" t="s">
        <v>7538</v>
      </c>
      <c r="B3764" s="35" t="s">
        <v>7539</v>
      </c>
      <c r="C3764" s="36">
        <v>4.0</v>
      </c>
      <c r="D3764" s="37">
        <v>251.0</v>
      </c>
      <c r="E3764" s="37">
        <v>8.0</v>
      </c>
      <c r="F3764" s="24" t="str">
        <f t="array" ref="F3764">"https://www.google.com/maps/search/?api=1&amp;query=" &amp; A3764 &amp; "," &amp; B3764</f>
        <v>https://www.google.com/maps/search/?api=1&amp;query=-30.89650257418430,-55.55120594400820</v>
      </c>
      <c r="G3764" s="25" t="str">
        <f t="array" ref="G3764">"https://earth.google.com/web/search/" &amp; A3764 &amp; "," &amp; B3764</f>
        <v>https://earth.google.com/web/search/-30.89650257418430,-55.55120594400820</v>
      </c>
      <c r="H3764" s="12"/>
      <c r="I3764" s="12"/>
      <c r="J3764" s="12"/>
      <c r="K3764" s="12"/>
      <c r="L3764" s="12"/>
      <c r="M3764" s="12"/>
      <c r="N3764" s="12"/>
      <c r="O3764" s="12"/>
      <c r="P3764" s="12"/>
      <c r="Q3764" s="12"/>
      <c r="R3764" s="12"/>
      <c r="S3764" s="12"/>
      <c r="T3764" s="12"/>
      <c r="U3764" s="12"/>
      <c r="V3764" s="12"/>
      <c r="W3764" s="12"/>
      <c r="X3764" s="12"/>
      <c r="Y3764" s="12"/>
      <c r="Z3764" s="12"/>
      <c r="AA3764" s="12"/>
    </row>
    <row r="3765" ht="26.25" customHeight="1">
      <c r="A3765" s="28" t="s">
        <v>7540</v>
      </c>
      <c r="B3765" s="29" t="s">
        <v>7541</v>
      </c>
      <c r="C3765" s="30">
        <v>4.0</v>
      </c>
      <c r="D3765" s="31">
        <v>251.0</v>
      </c>
      <c r="E3765" s="31">
        <v>9.0</v>
      </c>
      <c r="F3765" s="32" t="str">
        <f t="array" ref="F3765">"https://www.google.com/maps/search/?api=1&amp;query=" &amp; A3765 &amp; "," &amp; B3765</f>
        <v>https://www.google.com/maps/search/?api=1&amp;query=-30.89659158189550,-55.55125100255260</v>
      </c>
      <c r="G3765" s="33" t="str">
        <f t="array" ref="G3765">"https://earth.google.com/web/search/" &amp; A3765 &amp; "," &amp; B3765</f>
        <v>https://earth.google.com/web/search/-30.89659158189550,-55.55125100255260</v>
      </c>
      <c r="H3765" s="12"/>
      <c r="I3765" s="12"/>
      <c r="J3765" s="12"/>
      <c r="K3765" s="12"/>
      <c r="L3765" s="12"/>
      <c r="M3765" s="12"/>
      <c r="N3765" s="12"/>
      <c r="O3765" s="12"/>
      <c r="P3765" s="12"/>
      <c r="Q3765" s="12"/>
      <c r="R3765" s="12"/>
      <c r="S3765" s="12"/>
      <c r="T3765" s="12"/>
      <c r="U3765" s="12"/>
      <c r="V3765" s="12"/>
      <c r="W3765" s="12"/>
      <c r="X3765" s="12"/>
      <c r="Y3765" s="12"/>
      <c r="Z3765" s="12"/>
      <c r="AA3765" s="12"/>
    </row>
    <row r="3766" ht="26.25" customHeight="1">
      <c r="A3766" s="34" t="s">
        <v>7542</v>
      </c>
      <c r="B3766" s="35" t="s">
        <v>7543</v>
      </c>
      <c r="C3766" s="36">
        <v>4.0</v>
      </c>
      <c r="D3766" s="37">
        <v>251.0</v>
      </c>
      <c r="E3766" s="37">
        <v>10.0</v>
      </c>
      <c r="F3766" s="24" t="str">
        <f t="array" ref="F3766">"https://www.google.com/maps/search/?api=1&amp;query=" &amp; A3766 &amp; "," &amp; B3766</f>
        <v>https://www.google.com/maps/search/?api=1&amp;query=-30.89667518537270,-5.55513052021871</v>
      </c>
      <c r="G3766" s="25" t="str">
        <f t="array" ref="G3766">"https://earth.google.com/web/search/" &amp; A3766 &amp; "," &amp; B3766</f>
        <v>https://earth.google.com/web/search/-30.89667518537270,-5.55513052021871</v>
      </c>
      <c r="H3766" s="12"/>
      <c r="I3766" s="12"/>
      <c r="J3766" s="12"/>
      <c r="K3766" s="12"/>
      <c r="L3766" s="12"/>
      <c r="M3766" s="12"/>
      <c r="N3766" s="12"/>
      <c r="O3766" s="12"/>
      <c r="P3766" s="12"/>
      <c r="Q3766" s="12"/>
      <c r="R3766" s="12"/>
      <c r="S3766" s="12"/>
      <c r="T3766" s="12"/>
      <c r="U3766" s="12"/>
      <c r="V3766" s="12"/>
      <c r="W3766" s="12"/>
      <c r="X3766" s="12"/>
      <c r="Y3766" s="12"/>
      <c r="Z3766" s="12"/>
      <c r="AA3766" s="12"/>
    </row>
    <row r="3767" ht="26.25" customHeight="1">
      <c r="A3767" s="28" t="s">
        <v>7544</v>
      </c>
      <c r="B3767" s="29" t="s">
        <v>7545</v>
      </c>
      <c r="C3767" s="30">
        <v>4.0</v>
      </c>
      <c r="D3767" s="31">
        <v>252.0</v>
      </c>
      <c r="E3767" s="31">
        <v>1.0</v>
      </c>
      <c r="F3767" s="32" t="str">
        <f t="array" ref="F3767">"https://www.google.com/maps/search/?api=1&amp;query=" &amp; A3767 &amp; "," &amp; B3767</f>
        <v>https://www.google.com/maps/search/?api=1&amp;query=-30.89656453092950,-55.55220800606250</v>
      </c>
      <c r="G3767" s="33" t="str">
        <f t="array" ref="G3767">"https://earth.google.com/web/search/" &amp; A3767 &amp; "," &amp; B3767</f>
        <v>https://earth.google.com/web/search/-30.89656453092950,-55.55220800606250</v>
      </c>
      <c r="H3767" s="12"/>
      <c r="I3767" s="12"/>
      <c r="J3767" s="12"/>
      <c r="K3767" s="12"/>
      <c r="L3767" s="12"/>
      <c r="M3767" s="12"/>
      <c r="N3767" s="12"/>
      <c r="O3767" s="12"/>
      <c r="P3767" s="12"/>
      <c r="Q3767" s="12"/>
      <c r="R3767" s="12"/>
      <c r="S3767" s="12"/>
      <c r="T3767" s="12"/>
      <c r="U3767" s="12"/>
      <c r="V3767" s="12"/>
      <c r="W3767" s="12"/>
      <c r="X3767" s="12"/>
      <c r="Y3767" s="12"/>
      <c r="Z3767" s="12"/>
      <c r="AA3767" s="12"/>
    </row>
    <row r="3768" ht="26.25" customHeight="1">
      <c r="A3768" s="34" t="s">
        <v>7546</v>
      </c>
      <c r="B3768" s="35" t="s">
        <v>7547</v>
      </c>
      <c r="C3768" s="36">
        <v>4.0</v>
      </c>
      <c r="D3768" s="37">
        <v>252.0</v>
      </c>
      <c r="E3768" s="37">
        <v>2.0</v>
      </c>
      <c r="F3768" s="24" t="str">
        <f t="array" ref="F3768">"https://www.google.com/maps/search/?api=1&amp;query=" &amp; A3768 &amp; "," &amp; B3768</f>
        <v>https://www.google.com/maps/search/?api=1&amp;query=-30.89585516598410,-55.55197155289220</v>
      </c>
      <c r="G3768" s="25" t="str">
        <f t="array" ref="G3768">"https://earth.google.com/web/search/" &amp; A3768 &amp; "," &amp; B3768</f>
        <v>https://earth.google.com/web/search/-30.89585516598410,-55.55197155289220</v>
      </c>
      <c r="H3768" s="12"/>
      <c r="I3768" s="12"/>
      <c r="J3768" s="12"/>
      <c r="K3768" s="12"/>
      <c r="L3768" s="12"/>
      <c r="M3768" s="12"/>
      <c r="N3768" s="12"/>
      <c r="O3768" s="12"/>
      <c r="P3768" s="12"/>
      <c r="Q3768" s="12"/>
      <c r="R3768" s="12"/>
      <c r="S3768" s="12"/>
      <c r="T3768" s="12"/>
      <c r="U3768" s="12"/>
      <c r="V3768" s="12"/>
      <c r="W3768" s="12"/>
      <c r="X3768" s="12"/>
      <c r="Y3768" s="12"/>
      <c r="Z3768" s="12"/>
      <c r="AA3768" s="12"/>
    </row>
    <row r="3769" ht="26.25" customHeight="1">
      <c r="A3769" s="28" t="s">
        <v>7548</v>
      </c>
      <c r="B3769" s="29" t="s">
        <v>7549</v>
      </c>
      <c r="C3769" s="30">
        <v>4.0</v>
      </c>
      <c r="D3769" s="31">
        <v>252.0</v>
      </c>
      <c r="E3769" s="31">
        <v>3.0</v>
      </c>
      <c r="F3769" s="32" t="str">
        <f t="array" ref="F3769">"https://www.google.com/maps/search/?api=1&amp;query=" &amp; A3769 &amp; "," &amp; B3769</f>
        <v>https://www.google.com/maps/search/?api=1&amp;query=-30.89595523316640,-5.55520377240796</v>
      </c>
      <c r="G3769" s="33" t="str">
        <f t="array" ref="G3769">"https://earth.google.com/web/search/" &amp; A3769 &amp; "," &amp; B3769</f>
        <v>https://earth.google.com/web/search/-30.89595523316640,-5.55520377240796</v>
      </c>
      <c r="H3769" s="12"/>
      <c r="I3769" s="12"/>
      <c r="J3769" s="12"/>
      <c r="K3769" s="12"/>
      <c r="L3769" s="12"/>
      <c r="M3769" s="12"/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/>
      <c r="AA3769" s="12"/>
    </row>
    <row r="3770" ht="26.25" customHeight="1">
      <c r="A3770" s="34" t="s">
        <v>7550</v>
      </c>
      <c r="B3770" s="35" t="s">
        <v>7551</v>
      </c>
      <c r="C3770" s="36">
        <v>4.0</v>
      </c>
      <c r="D3770" s="37">
        <v>253.0</v>
      </c>
      <c r="E3770" s="37">
        <v>1.0</v>
      </c>
      <c r="F3770" s="24" t="str">
        <f t="array" ref="F3770">"https://www.google.com/maps/search/?api=1&amp;query=" &amp; A3770 &amp; "," &amp; B3770</f>
        <v>https://www.google.com/maps/search/?api=1&amp;query=-30.89589312673860,-55.55212255979400</v>
      </c>
      <c r="G3770" s="25" t="str">
        <f t="array" ref="G3770">"https://earth.google.com/web/search/" &amp; A3770 &amp; "," &amp; B3770</f>
        <v>https://earth.google.com/web/search/-30.89589312673860,-55.55212255979400</v>
      </c>
      <c r="H3770" s="12"/>
      <c r="I3770" s="12"/>
      <c r="J3770" s="12"/>
      <c r="K3770" s="12"/>
      <c r="L3770" s="12"/>
      <c r="M3770" s="12"/>
      <c r="N3770" s="12"/>
      <c r="O3770" s="12"/>
      <c r="P3770" s="12"/>
      <c r="Q3770" s="12"/>
      <c r="R3770" s="12"/>
      <c r="S3770" s="12"/>
      <c r="T3770" s="12"/>
      <c r="U3770" s="12"/>
      <c r="V3770" s="12"/>
      <c r="W3770" s="12"/>
      <c r="X3770" s="12"/>
      <c r="Y3770" s="12"/>
      <c r="Z3770" s="12"/>
      <c r="AA3770" s="12"/>
    </row>
    <row r="3771" ht="26.25" customHeight="1">
      <c r="A3771" s="28" t="s">
        <v>7552</v>
      </c>
      <c r="B3771" s="29" t="s">
        <v>7553</v>
      </c>
      <c r="C3771" s="30">
        <v>4.0</v>
      </c>
      <c r="D3771" s="31">
        <v>253.0</v>
      </c>
      <c r="E3771" s="31">
        <v>2.0</v>
      </c>
      <c r="F3771" s="32" t="str">
        <f t="array" ref="F3771">"https://www.google.com/maps/search/?api=1&amp;query=" &amp; A3771 &amp; "," &amp; B3771</f>
        <v>https://www.google.com/maps/search/?api=1&amp;query=-3.08957459574475,-55.55314820566680</v>
      </c>
      <c r="G3771" s="33" t="str">
        <f t="array" ref="G3771">"https://earth.google.com/web/search/" &amp; A3771 &amp; "," &amp; B3771</f>
        <v>https://earth.google.com/web/search/-3.08957459574475,-55.55314820566680</v>
      </c>
      <c r="H3771" s="12"/>
      <c r="I3771" s="12"/>
      <c r="J3771" s="12"/>
      <c r="K3771" s="12"/>
      <c r="L3771" s="12"/>
      <c r="M3771" s="12"/>
      <c r="N3771" s="12"/>
      <c r="O3771" s="12"/>
      <c r="P3771" s="12"/>
      <c r="Q3771" s="12"/>
      <c r="R3771" s="12"/>
      <c r="S3771" s="12"/>
      <c r="T3771" s="12"/>
      <c r="U3771" s="12"/>
      <c r="V3771" s="12"/>
      <c r="W3771" s="12"/>
      <c r="X3771" s="12"/>
      <c r="Y3771" s="12"/>
      <c r="Z3771" s="12"/>
      <c r="AA3771" s="12"/>
    </row>
    <row r="3772" ht="26.25" customHeight="1">
      <c r="A3772" s="34" t="s">
        <v>7554</v>
      </c>
      <c r="B3772" s="35" t="s">
        <v>7555</v>
      </c>
      <c r="C3772" s="36">
        <v>4.0</v>
      </c>
      <c r="D3772" s="37">
        <v>254.0</v>
      </c>
      <c r="E3772" s="37">
        <v>1.0</v>
      </c>
      <c r="F3772" s="24" t="str">
        <f t="array" ref="F3772">"https://www.google.com/maps/search/?api=1&amp;query=" &amp; A3772 &amp; "," &amp; B3772</f>
        <v>https://www.google.com/maps/search/?api=1&amp;query=-30.89565052419510,-55.55399508448150</v>
      </c>
      <c r="G3772" s="25" t="str">
        <f t="array" ref="G3772">"https://earth.google.com/web/search/" &amp; A3772 &amp; "," &amp; B3772</f>
        <v>https://earth.google.com/web/search/-30.89565052419510,-55.55399508448150</v>
      </c>
      <c r="H3772" s="12"/>
      <c r="I3772" s="12"/>
      <c r="J3772" s="12"/>
      <c r="K3772" s="12"/>
      <c r="L3772" s="12"/>
      <c r="M3772" s="12"/>
      <c r="N3772" s="12"/>
      <c r="O3772" s="12"/>
      <c r="P3772" s="12"/>
      <c r="Q3772" s="12"/>
      <c r="R3772" s="12"/>
      <c r="S3772" s="12"/>
      <c r="T3772" s="12"/>
      <c r="U3772" s="12"/>
      <c r="V3772" s="12"/>
      <c r="W3772" s="12"/>
      <c r="X3772" s="12"/>
      <c r="Y3772" s="12"/>
      <c r="Z3772" s="12"/>
      <c r="AA3772" s="12"/>
    </row>
    <row r="3773" ht="26.25" customHeight="1">
      <c r="A3773" s="28" t="s">
        <v>7556</v>
      </c>
      <c r="B3773" s="29" t="s">
        <v>7557</v>
      </c>
      <c r="C3773" s="30">
        <v>4.0</v>
      </c>
      <c r="D3773" s="31">
        <v>254.0</v>
      </c>
      <c r="E3773" s="31">
        <v>2.0</v>
      </c>
      <c r="F3773" s="32" t="str">
        <f t="array" ref="F3773">"https://www.google.com/maps/search/?api=1&amp;query=" &amp; A3773 &amp; "," &amp; B3773</f>
        <v>https://www.google.com/maps/search/?api=1&amp;query=-30.89569922666740,-55.55388225881150</v>
      </c>
      <c r="G3773" s="33" t="str">
        <f t="array" ref="G3773">"https://earth.google.com/web/search/" &amp; A3773 &amp; "," &amp; B3773</f>
        <v>https://earth.google.com/web/search/-30.89569922666740,-55.55388225881150</v>
      </c>
      <c r="H3773" s="12"/>
      <c r="I3773" s="12"/>
      <c r="J3773" s="12"/>
      <c r="K3773" s="12"/>
      <c r="L3773" s="12"/>
      <c r="M3773" s="12"/>
      <c r="N3773" s="12"/>
      <c r="O3773" s="12"/>
      <c r="P3773" s="12"/>
      <c r="Q3773" s="12"/>
      <c r="R3773" s="12"/>
      <c r="S3773" s="12"/>
      <c r="T3773" s="12"/>
      <c r="U3773" s="12"/>
      <c r="V3773" s="12"/>
      <c r="W3773" s="12"/>
      <c r="X3773" s="12"/>
      <c r="Y3773" s="12"/>
      <c r="Z3773" s="12"/>
      <c r="AA3773" s="12"/>
    </row>
    <row r="3774" ht="26.25" customHeight="1">
      <c r="A3774" s="34" t="s">
        <v>7558</v>
      </c>
      <c r="B3774" s="35" t="s">
        <v>7559</v>
      </c>
      <c r="C3774" s="36">
        <v>4.0</v>
      </c>
      <c r="D3774" s="37">
        <v>254.0</v>
      </c>
      <c r="E3774" s="37">
        <v>3.0</v>
      </c>
      <c r="F3774" s="24" t="str">
        <f t="array" ref="F3774">"https://www.google.com/maps/search/?api=1&amp;query=" &amp; A3774 &amp; "," &amp; B3774</f>
        <v>https://www.google.com/maps/search/?api=1&amp;query=-30.89575224212200,-55.55379291767410</v>
      </c>
      <c r="G3774" s="25" t="str">
        <f t="array" ref="G3774">"https://earth.google.com/web/search/" &amp; A3774 &amp; "," &amp; B3774</f>
        <v>https://earth.google.com/web/search/-30.89575224212200,-55.55379291767410</v>
      </c>
      <c r="H3774" s="12"/>
      <c r="I3774" s="12"/>
      <c r="J3774" s="12"/>
      <c r="K3774" s="12"/>
      <c r="L3774" s="12"/>
      <c r="M3774" s="12"/>
      <c r="N3774" s="12"/>
      <c r="O3774" s="12"/>
      <c r="P3774" s="12"/>
      <c r="Q3774" s="12"/>
      <c r="R3774" s="12"/>
      <c r="S3774" s="12"/>
      <c r="T3774" s="12"/>
      <c r="U3774" s="12"/>
      <c r="V3774" s="12"/>
      <c r="W3774" s="12"/>
      <c r="X3774" s="12"/>
      <c r="Y3774" s="12"/>
      <c r="Z3774" s="12"/>
      <c r="AA3774" s="12"/>
    </row>
    <row r="3775" ht="26.25" customHeight="1">
      <c r="A3775" s="28" t="s">
        <v>7560</v>
      </c>
      <c r="B3775" s="29" t="s">
        <v>7561</v>
      </c>
      <c r="C3775" s="30">
        <v>4.0</v>
      </c>
      <c r="D3775" s="31">
        <v>254.0</v>
      </c>
      <c r="E3775" s="31">
        <v>4.0</v>
      </c>
      <c r="F3775" s="32" t="str">
        <f t="array" ref="F3775">"https://www.google.com/maps/search/?api=1&amp;query=" &amp; A3775 &amp; "," &amp; B3775</f>
        <v>https://www.google.com/maps/search/?api=1&amp;query=-3.08957777639829,-55.55370686793390</v>
      </c>
      <c r="G3775" s="33" t="str">
        <f t="array" ref="G3775">"https://earth.google.com/web/search/" &amp; A3775 &amp; "," &amp; B3775</f>
        <v>https://earth.google.com/web/search/-3.08957777639829,-55.55370686793390</v>
      </c>
      <c r="H3775" s="12"/>
      <c r="I3775" s="12"/>
      <c r="J3775" s="12"/>
      <c r="K3775" s="12"/>
      <c r="L3775" s="12"/>
      <c r="M3775" s="12"/>
      <c r="N3775" s="12"/>
      <c r="O3775" s="12"/>
      <c r="P3775" s="12"/>
      <c r="Q3775" s="12"/>
      <c r="R3775" s="12"/>
      <c r="S3775" s="12"/>
      <c r="T3775" s="12"/>
      <c r="U3775" s="12"/>
      <c r="V3775" s="12"/>
      <c r="W3775" s="12"/>
      <c r="X3775" s="12"/>
      <c r="Y3775" s="12"/>
      <c r="Z3775" s="12"/>
      <c r="AA3775" s="12"/>
    </row>
    <row r="3776" ht="26.25" customHeight="1">
      <c r="A3776" s="34" t="s">
        <v>7562</v>
      </c>
      <c r="B3776" s="35" t="s">
        <v>7563</v>
      </c>
      <c r="C3776" s="36">
        <v>4.0</v>
      </c>
      <c r="D3776" s="37">
        <v>254.0</v>
      </c>
      <c r="E3776" s="37">
        <v>5.0</v>
      </c>
      <c r="F3776" s="24" t="str">
        <f t="array" ref="F3776">"https://www.google.com/maps/search/?api=1&amp;query=" &amp; A3776 &amp; "," &amp; B3776</f>
        <v>https://www.google.com/maps/search/?api=1&amp;query=-30.89582183631520,-55.55363037284900</v>
      </c>
      <c r="G3776" s="25" t="str">
        <f t="array" ref="G3776">"https://earth.google.com/web/search/" &amp; A3776 &amp; "," &amp; B3776</f>
        <v>https://earth.google.com/web/search/-30.89582183631520,-55.55363037284900</v>
      </c>
      <c r="H3776" s="12"/>
      <c r="I3776" s="12"/>
      <c r="J3776" s="12"/>
      <c r="K3776" s="12"/>
      <c r="L3776" s="12"/>
      <c r="M3776" s="12"/>
      <c r="N3776" s="12"/>
      <c r="O3776" s="12"/>
      <c r="P3776" s="12"/>
      <c r="Q3776" s="12"/>
      <c r="R3776" s="12"/>
      <c r="S3776" s="12"/>
      <c r="T3776" s="12"/>
      <c r="U3776" s="12"/>
      <c r="V3776" s="12"/>
      <c r="W3776" s="12"/>
      <c r="X3776" s="12"/>
      <c r="Y3776" s="12"/>
      <c r="Z3776" s="12"/>
      <c r="AA3776" s="12"/>
    </row>
    <row r="3777" ht="26.25" customHeight="1">
      <c r="A3777" s="28" t="s">
        <v>7564</v>
      </c>
      <c r="B3777" s="29" t="s">
        <v>7565</v>
      </c>
      <c r="C3777" s="30">
        <v>4.0</v>
      </c>
      <c r="D3777" s="31">
        <v>254.0</v>
      </c>
      <c r="E3777" s="31">
        <v>6.0</v>
      </c>
      <c r="F3777" s="32" t="str">
        <f t="array" ref="F3777">"https://www.google.com/maps/search/?api=1&amp;query=" &amp; A3777 &amp; "," &amp; B3777</f>
        <v>https://www.google.com/maps/search/?api=1&amp;query=-30.89591106202840,-55.55349345291800</v>
      </c>
      <c r="G3777" s="33" t="str">
        <f t="array" ref="G3777">"https://earth.google.com/web/search/" &amp; A3777 &amp; "," &amp; B3777</f>
        <v>https://earth.google.com/web/search/-30.89591106202840,-55.55349345291800</v>
      </c>
      <c r="H3777" s="12"/>
      <c r="I3777" s="12"/>
      <c r="J3777" s="12"/>
      <c r="K3777" s="12"/>
      <c r="L3777" s="12"/>
      <c r="M3777" s="12"/>
      <c r="N3777" s="12"/>
      <c r="O3777" s="12"/>
      <c r="P3777" s="12"/>
      <c r="Q3777" s="12"/>
      <c r="R3777" s="12"/>
      <c r="S3777" s="12"/>
      <c r="T3777" s="12"/>
      <c r="U3777" s="12"/>
      <c r="V3777" s="12"/>
      <c r="W3777" s="12"/>
      <c r="X3777" s="12"/>
      <c r="Y3777" s="12"/>
      <c r="Z3777" s="12"/>
      <c r="AA3777" s="12"/>
    </row>
    <row r="3778" ht="26.25" customHeight="1">
      <c r="A3778" s="34" t="s">
        <v>7566</v>
      </c>
      <c r="B3778" s="35" t="s">
        <v>7567</v>
      </c>
      <c r="C3778" s="36">
        <v>4.0</v>
      </c>
      <c r="D3778" s="37">
        <v>254.0</v>
      </c>
      <c r="E3778" s="37">
        <v>7.0</v>
      </c>
      <c r="F3778" s="24" t="str">
        <f t="array" ref="F3778">"https://www.google.com/maps/search/?api=1&amp;query=" &amp; A3778 &amp; "," &amp; B3778</f>
        <v>https://www.google.com/maps/search/?api=1&amp;query=-30.89492461627070,-55.55381748767230</v>
      </c>
      <c r="G3778" s="25" t="str">
        <f t="array" ref="G3778">"https://earth.google.com/web/search/" &amp; A3778 &amp; "," &amp; B3778</f>
        <v>https://earth.google.com/web/search/-30.89492461627070,-55.55381748767230</v>
      </c>
      <c r="H3778" s="12"/>
      <c r="I3778" s="12"/>
      <c r="J3778" s="12"/>
      <c r="K3778" s="12"/>
      <c r="L3778" s="12"/>
      <c r="M3778" s="12"/>
      <c r="N3778" s="12"/>
      <c r="O3778" s="12"/>
      <c r="P3778" s="12"/>
      <c r="Q3778" s="12"/>
      <c r="R3778" s="12"/>
      <c r="S3778" s="12"/>
      <c r="T3778" s="12"/>
      <c r="U3778" s="12"/>
      <c r="V3778" s="12"/>
      <c r="W3778" s="12"/>
      <c r="X3778" s="12"/>
      <c r="Y3778" s="12"/>
      <c r="Z3778" s="12"/>
      <c r="AA3778" s="12"/>
    </row>
    <row r="3779" ht="26.25" customHeight="1">
      <c r="A3779" s="28" t="s">
        <v>7568</v>
      </c>
      <c r="B3779" s="29" t="s">
        <v>7569</v>
      </c>
      <c r="C3779" s="30">
        <v>4.0</v>
      </c>
      <c r="D3779" s="31">
        <v>254.0</v>
      </c>
      <c r="E3779" s="31">
        <v>8.0</v>
      </c>
      <c r="F3779" s="32" t="str">
        <f t="array" ref="F3779">"https://www.google.com/maps/search/?api=1&amp;query=" &amp; A3779 &amp; "," &amp; B3779</f>
        <v>https://www.google.com/maps/search/?api=1&amp;query=-30.89504257302290,-55.55390941166190</v>
      </c>
      <c r="G3779" s="33" t="str">
        <f t="array" ref="G3779">"https://earth.google.com/web/search/" &amp; A3779 &amp; "," &amp; B3779</f>
        <v>https://earth.google.com/web/search/-30.89504257302290,-55.55390941166190</v>
      </c>
      <c r="H3779" s="12"/>
      <c r="I3779" s="12"/>
      <c r="J3779" s="12"/>
      <c r="K3779" s="12"/>
      <c r="L3779" s="12"/>
      <c r="M3779" s="12"/>
      <c r="N3779" s="12"/>
      <c r="O3779" s="12"/>
      <c r="P3779" s="12"/>
      <c r="Q3779" s="12"/>
      <c r="R3779" s="12"/>
      <c r="S3779" s="12"/>
      <c r="T3779" s="12"/>
      <c r="U3779" s="12"/>
      <c r="V3779" s="12"/>
      <c r="W3779" s="12"/>
      <c r="X3779" s="12"/>
      <c r="Y3779" s="12"/>
      <c r="Z3779" s="12"/>
      <c r="AA3779" s="12"/>
    </row>
    <row r="3780" ht="26.25" customHeight="1">
      <c r="A3780" s="34" t="s">
        <v>7570</v>
      </c>
      <c r="B3780" s="35" t="s">
        <v>7571</v>
      </c>
      <c r="C3780" s="36">
        <v>4.0</v>
      </c>
      <c r="D3780" s="37">
        <v>255.0</v>
      </c>
      <c r="E3780" s="37">
        <v>1.0</v>
      </c>
      <c r="F3780" s="24" t="str">
        <f t="array" ref="F3780">"https://www.google.com/maps/search/?api=1&amp;query=" &amp; A3780 &amp; "," &amp; B3780</f>
        <v>https://www.google.com/maps/search/?api=1&amp;query=-30.89518856581860,-55.55483015164350</v>
      </c>
      <c r="G3780" s="25" t="str">
        <f t="array" ref="G3780">"https://earth.google.com/web/search/" &amp; A3780 &amp; "," &amp; B3780</f>
        <v>https://earth.google.com/web/search/-30.89518856581860,-55.55483015164350</v>
      </c>
      <c r="H3780" s="12"/>
      <c r="I3780" s="12"/>
      <c r="J3780" s="12"/>
      <c r="K3780" s="12"/>
      <c r="L3780" s="12"/>
      <c r="M3780" s="12"/>
      <c r="N3780" s="12"/>
      <c r="O3780" s="12"/>
      <c r="P3780" s="12"/>
      <c r="Q3780" s="12"/>
      <c r="R3780" s="12"/>
      <c r="S3780" s="12"/>
      <c r="T3780" s="12"/>
      <c r="U3780" s="12"/>
      <c r="V3780" s="12"/>
      <c r="W3780" s="12"/>
      <c r="X3780" s="12"/>
      <c r="Y3780" s="12"/>
      <c r="Z3780" s="12"/>
      <c r="AA3780" s="12"/>
    </row>
    <row r="3781" ht="26.25" customHeight="1">
      <c r="A3781" s="28" t="s">
        <v>7572</v>
      </c>
      <c r="B3781" s="29" t="s">
        <v>7573</v>
      </c>
      <c r="C3781" s="30">
        <v>4.0</v>
      </c>
      <c r="D3781" s="31">
        <v>255.0</v>
      </c>
      <c r="E3781" s="31">
        <v>2.0</v>
      </c>
      <c r="F3781" s="32" t="str">
        <f t="array" ref="F3781">"https://www.google.com/maps/search/?api=1&amp;query=" &amp; A3781 &amp; "," &amp; B3781</f>
        <v>https://www.google.com/maps/search/?api=1&amp;query=-30.89544130696850,-55.55439154644660</v>
      </c>
      <c r="G3781" s="33" t="str">
        <f t="array" ref="G3781">"https://earth.google.com/web/search/" &amp; A3781 &amp; "," &amp; B3781</f>
        <v>https://earth.google.com/web/search/-30.89544130696850,-55.55439154644660</v>
      </c>
      <c r="H3781" s="12"/>
      <c r="I3781" s="12"/>
      <c r="J3781" s="12"/>
      <c r="K3781" s="12"/>
      <c r="L3781" s="12"/>
      <c r="M3781" s="12"/>
      <c r="N3781" s="12"/>
      <c r="O3781" s="12"/>
      <c r="P3781" s="12"/>
      <c r="Q3781" s="12"/>
      <c r="R3781" s="12"/>
      <c r="S3781" s="12"/>
      <c r="T3781" s="12"/>
      <c r="U3781" s="12"/>
      <c r="V3781" s="12"/>
      <c r="W3781" s="12"/>
      <c r="X3781" s="12"/>
      <c r="Y3781" s="12"/>
      <c r="Z3781" s="12"/>
      <c r="AA3781" s="12"/>
    </row>
    <row r="3782" ht="26.25" customHeight="1">
      <c r="A3782" s="34" t="s">
        <v>7574</v>
      </c>
      <c r="B3782" s="35" t="s">
        <v>7575</v>
      </c>
      <c r="C3782" s="36">
        <v>4.0</v>
      </c>
      <c r="D3782" s="37">
        <v>255.0</v>
      </c>
      <c r="E3782" s="37">
        <v>3.0</v>
      </c>
      <c r="F3782" s="24" t="str">
        <f t="array" ref="F3782">"https://www.google.com/maps/search/?api=1&amp;query=" &amp; A3782 &amp; "," &amp; B3782</f>
        <v>https://www.google.com/maps/search/?api=1&amp;query=-30.89523864682100,-55.55415428495430</v>
      </c>
      <c r="G3782" s="25" t="str">
        <f t="array" ref="G3782">"https://earth.google.com/web/search/" &amp; A3782 &amp; "," &amp; B3782</f>
        <v>https://earth.google.com/web/search/-30.89523864682100,-55.55415428495430</v>
      </c>
      <c r="H3782" s="12"/>
      <c r="I3782" s="12"/>
      <c r="J3782" s="12"/>
      <c r="K3782" s="12"/>
      <c r="L3782" s="12"/>
      <c r="M3782" s="12"/>
      <c r="N3782" s="12"/>
      <c r="O3782" s="12"/>
      <c r="P3782" s="12"/>
      <c r="Q3782" s="12"/>
      <c r="R3782" s="12"/>
      <c r="S3782" s="12"/>
      <c r="T3782" s="12"/>
      <c r="U3782" s="12"/>
      <c r="V3782" s="12"/>
      <c r="W3782" s="12"/>
      <c r="X3782" s="12"/>
      <c r="Y3782" s="12"/>
      <c r="Z3782" s="12"/>
      <c r="AA3782" s="12"/>
    </row>
    <row r="3783" ht="26.25" customHeight="1">
      <c r="A3783" s="28" t="s">
        <v>7576</v>
      </c>
      <c r="B3783" s="29" t="s">
        <v>7577</v>
      </c>
      <c r="C3783" s="30">
        <v>4.0</v>
      </c>
      <c r="D3783" s="31">
        <v>255.0</v>
      </c>
      <c r="E3783" s="31">
        <v>4.0</v>
      </c>
      <c r="F3783" s="32" t="str">
        <f t="array" ref="F3783">"https://www.google.com/maps/search/?api=1&amp;query=" &amp; A3783 &amp; "," &amp; B3783</f>
        <v>https://www.google.com/maps/search/?api=1&amp;query=-30.89461104333550,-55.55483066390810</v>
      </c>
      <c r="G3783" s="33" t="str">
        <f t="array" ref="G3783">"https://earth.google.com/web/search/" &amp; A3783 &amp; "," &amp; B3783</f>
        <v>https://earth.google.com/web/search/-30.89461104333550,-55.55483066390810</v>
      </c>
      <c r="H3783" s="12"/>
      <c r="I3783" s="12"/>
      <c r="J3783" s="12"/>
      <c r="K3783" s="12"/>
      <c r="L3783" s="12"/>
      <c r="M3783" s="12"/>
      <c r="N3783" s="12"/>
      <c r="O3783" s="12"/>
      <c r="P3783" s="12"/>
      <c r="Q3783" s="12"/>
      <c r="R3783" s="12"/>
      <c r="S3783" s="12"/>
      <c r="T3783" s="12"/>
      <c r="U3783" s="12"/>
      <c r="V3783" s="12"/>
      <c r="W3783" s="12"/>
      <c r="X3783" s="12"/>
      <c r="Y3783" s="12"/>
      <c r="Z3783" s="12"/>
      <c r="AA3783" s="12"/>
    </row>
    <row r="3784" ht="26.25" customHeight="1">
      <c r="A3784" s="34" t="s">
        <v>7578</v>
      </c>
      <c r="B3784" s="35" t="s">
        <v>7579</v>
      </c>
      <c r="C3784" s="36">
        <v>4.0</v>
      </c>
      <c r="D3784" s="37">
        <v>255.0</v>
      </c>
      <c r="E3784" s="37">
        <v>5.0</v>
      </c>
      <c r="F3784" s="24" t="str">
        <f t="array" ref="F3784">"https://www.google.com/maps/search/?api=1&amp;query=" &amp; A3784 &amp; "," &amp; B3784</f>
        <v>https://www.google.com/maps/search/?api=1&amp;query=-30.89469576586030,-55.55489497633900</v>
      </c>
      <c r="G3784" s="25" t="str">
        <f t="array" ref="G3784">"https://earth.google.com/web/search/" &amp; A3784 &amp; "," &amp; B3784</f>
        <v>https://earth.google.com/web/search/-30.89469576586030,-55.55489497633900</v>
      </c>
      <c r="H3784" s="12"/>
      <c r="I3784" s="12"/>
      <c r="J3784" s="12"/>
      <c r="K3784" s="12"/>
      <c r="L3784" s="12"/>
      <c r="M3784" s="12"/>
      <c r="N3784" s="12"/>
      <c r="O3784" s="12"/>
      <c r="P3784" s="12"/>
      <c r="Q3784" s="12"/>
      <c r="R3784" s="12"/>
      <c r="S3784" s="12"/>
      <c r="T3784" s="12"/>
      <c r="U3784" s="12"/>
      <c r="V3784" s="12"/>
      <c r="W3784" s="12"/>
      <c r="X3784" s="12"/>
      <c r="Y3784" s="12"/>
      <c r="Z3784" s="12"/>
      <c r="AA3784" s="12"/>
    </row>
    <row r="3785" ht="26.25" customHeight="1">
      <c r="A3785" s="28" t="s">
        <v>7580</v>
      </c>
      <c r="B3785" s="29" t="s">
        <v>7581</v>
      </c>
      <c r="C3785" s="30">
        <v>4.0</v>
      </c>
      <c r="D3785" s="31">
        <v>255.0</v>
      </c>
      <c r="E3785" s="31">
        <v>6.0</v>
      </c>
      <c r="F3785" s="32" t="str">
        <f t="array" ref="F3785">"https://www.google.com/maps/search/?api=1&amp;query=" &amp; A3785 &amp; "," &amp; B3785</f>
        <v>https://www.google.com/maps/search/?api=1&amp;query=-30.89478089005040,-55.55493475923260</v>
      </c>
      <c r="G3785" s="33" t="str">
        <f t="array" ref="G3785">"https://earth.google.com/web/search/" &amp; A3785 &amp; "," &amp; B3785</f>
        <v>https://earth.google.com/web/search/-30.89478089005040,-55.55493475923260</v>
      </c>
      <c r="H3785" s="12"/>
      <c r="I3785" s="12"/>
      <c r="J3785" s="12"/>
      <c r="K3785" s="12"/>
      <c r="L3785" s="12"/>
      <c r="M3785" s="12"/>
      <c r="N3785" s="12"/>
      <c r="O3785" s="12"/>
      <c r="P3785" s="12"/>
      <c r="Q3785" s="12"/>
      <c r="R3785" s="12"/>
      <c r="S3785" s="12"/>
      <c r="T3785" s="12"/>
      <c r="U3785" s="12"/>
      <c r="V3785" s="12"/>
      <c r="W3785" s="12"/>
      <c r="X3785" s="12"/>
      <c r="Y3785" s="12"/>
      <c r="Z3785" s="12"/>
      <c r="AA3785" s="12"/>
    </row>
    <row r="3786" ht="26.25" customHeight="1">
      <c r="A3786" s="34" t="s">
        <v>7582</v>
      </c>
      <c r="B3786" s="35" t="s">
        <v>7583</v>
      </c>
      <c r="C3786" s="36">
        <v>4.0</v>
      </c>
      <c r="D3786" s="37">
        <v>255.0</v>
      </c>
      <c r="E3786" s="37">
        <v>7.0</v>
      </c>
      <c r="F3786" s="24" t="str">
        <f t="array" ref="F3786">"https://www.google.com/maps/search/?api=1&amp;query=" &amp; A3786 &amp; "," &amp; B3786</f>
        <v>https://www.google.com/maps/search/?api=1&amp;query=-30.89490231770030,-55.55504571730230</v>
      </c>
      <c r="G3786" s="25" t="str">
        <f t="array" ref="G3786">"https://earth.google.com/web/search/" &amp; A3786 &amp; "," &amp; B3786</f>
        <v>https://earth.google.com/web/search/-30.89490231770030,-55.55504571730230</v>
      </c>
      <c r="H3786" s="12"/>
      <c r="I3786" s="12"/>
      <c r="J3786" s="12"/>
      <c r="K3786" s="12"/>
      <c r="L3786" s="12"/>
      <c r="M3786" s="12"/>
      <c r="N3786" s="12"/>
      <c r="O3786" s="12"/>
      <c r="P3786" s="12"/>
      <c r="Q3786" s="12"/>
      <c r="R3786" s="12"/>
      <c r="S3786" s="12"/>
      <c r="T3786" s="12"/>
      <c r="U3786" s="12"/>
      <c r="V3786" s="12"/>
      <c r="W3786" s="12"/>
      <c r="X3786" s="12"/>
      <c r="Y3786" s="12"/>
      <c r="Z3786" s="12"/>
      <c r="AA3786" s="12"/>
    </row>
    <row r="3787" ht="26.25" customHeight="1">
      <c r="A3787" s="28" t="s">
        <v>7584</v>
      </c>
      <c r="B3787" s="29" t="s">
        <v>7585</v>
      </c>
      <c r="C3787" s="30">
        <v>4.0</v>
      </c>
      <c r="D3787" s="31">
        <v>256.0</v>
      </c>
      <c r="E3787" s="31">
        <v>1.0</v>
      </c>
      <c r="F3787" s="32" t="str">
        <f t="array" ref="F3787">"https://www.google.com/maps/search/?api=1&amp;query=" &amp; A3787 &amp; "," &amp; B3787</f>
        <v>https://www.google.com/maps/search/?api=1&amp;query=-3.08945845446189,-55.55593827712640</v>
      </c>
      <c r="G3787" s="33" t="str">
        <f t="array" ref="G3787">"https://earth.google.com/web/search/" &amp; A3787 &amp; "," &amp; B3787</f>
        <v>https://earth.google.com/web/search/-3.08945845446189,-55.55593827712640</v>
      </c>
      <c r="H3787" s="12"/>
      <c r="I3787" s="12"/>
      <c r="J3787" s="12"/>
      <c r="K3787" s="12"/>
      <c r="L3787" s="12"/>
      <c r="M3787" s="12"/>
      <c r="N3787" s="12"/>
      <c r="O3787" s="12"/>
      <c r="P3787" s="12"/>
      <c r="Q3787" s="12"/>
      <c r="R3787" s="12"/>
      <c r="S3787" s="12"/>
      <c r="T3787" s="12"/>
      <c r="U3787" s="12"/>
      <c r="V3787" s="12"/>
      <c r="W3787" s="12"/>
      <c r="X3787" s="12"/>
      <c r="Y3787" s="12"/>
      <c r="Z3787" s="12"/>
      <c r="AA3787" s="12"/>
    </row>
    <row r="3788" ht="26.25" customHeight="1">
      <c r="A3788" s="34" t="s">
        <v>7586</v>
      </c>
      <c r="B3788" s="35" t="s">
        <v>7587</v>
      </c>
      <c r="C3788" s="36">
        <v>4.0</v>
      </c>
      <c r="D3788" s="37">
        <v>256.0</v>
      </c>
      <c r="E3788" s="37">
        <v>2.0</v>
      </c>
      <c r="F3788" s="24" t="str">
        <f t="array" ref="F3788">"https://www.google.com/maps/search/?api=1&amp;query=" &amp; A3788 &amp; "," &amp; B3788</f>
        <v>https://www.google.com/maps/search/?api=1&amp;query=-30.89465619170210,-55.55583666537630</v>
      </c>
      <c r="G3788" s="25" t="str">
        <f t="array" ref="G3788">"https://earth.google.com/web/search/" &amp; A3788 &amp; "," &amp; B3788</f>
        <v>https://earth.google.com/web/search/-30.89465619170210,-55.55583666537630</v>
      </c>
      <c r="H3788" s="12"/>
      <c r="I3788" s="12"/>
      <c r="J3788" s="12"/>
      <c r="K3788" s="12"/>
      <c r="L3788" s="12"/>
      <c r="M3788" s="12"/>
      <c r="N3788" s="12"/>
      <c r="O3788" s="12"/>
      <c r="P3788" s="12"/>
      <c r="Q3788" s="12"/>
      <c r="R3788" s="12"/>
      <c r="S3788" s="12"/>
      <c r="T3788" s="12"/>
      <c r="U3788" s="12"/>
      <c r="V3788" s="12"/>
      <c r="W3788" s="12"/>
      <c r="X3788" s="12"/>
      <c r="Y3788" s="12"/>
      <c r="Z3788" s="12"/>
      <c r="AA3788" s="12"/>
    </row>
    <row r="3789" ht="26.25" customHeight="1">
      <c r="A3789" s="28" t="s">
        <v>7588</v>
      </c>
      <c r="B3789" s="29" t="s">
        <v>7589</v>
      </c>
      <c r="C3789" s="30">
        <v>4.0</v>
      </c>
      <c r="D3789" s="31">
        <v>256.0</v>
      </c>
      <c r="E3789" s="31">
        <v>3.0</v>
      </c>
      <c r="F3789" s="32" t="str">
        <f t="array" ref="F3789">"https://www.google.com/maps/search/?api=1&amp;query=" &amp; A3789 &amp; "," &amp; B3789</f>
        <v>https://www.google.com/maps/search/?api=1&amp;query=-30.89495917749610,-55.55526097313610</v>
      </c>
      <c r="G3789" s="33" t="str">
        <f t="array" ref="G3789">"https://earth.google.com/web/search/" &amp; A3789 &amp; "," &amp; B3789</f>
        <v>https://earth.google.com/web/search/-30.89495917749610,-55.55526097313610</v>
      </c>
      <c r="H3789" s="12"/>
      <c r="I3789" s="12"/>
      <c r="J3789" s="12"/>
      <c r="K3789" s="12"/>
      <c r="L3789" s="12"/>
      <c r="M3789" s="12"/>
      <c r="N3789" s="12"/>
      <c r="O3789" s="12"/>
      <c r="P3789" s="12"/>
      <c r="Q3789" s="12"/>
      <c r="R3789" s="12"/>
      <c r="S3789" s="12"/>
      <c r="T3789" s="12"/>
      <c r="U3789" s="12"/>
      <c r="V3789" s="12"/>
      <c r="W3789" s="12"/>
      <c r="X3789" s="12"/>
      <c r="Y3789" s="12"/>
      <c r="Z3789" s="12"/>
      <c r="AA3789" s="12"/>
    </row>
    <row r="3790" ht="26.25" customHeight="1">
      <c r="A3790" s="34" t="s">
        <v>7590</v>
      </c>
      <c r="B3790" s="35" t="s">
        <v>7591</v>
      </c>
      <c r="C3790" s="36">
        <v>4.0</v>
      </c>
      <c r="D3790" s="37">
        <v>256.0</v>
      </c>
      <c r="E3790" s="37">
        <v>4.0</v>
      </c>
      <c r="F3790" s="24" t="str">
        <f t="array" ref="F3790">"https://www.google.com/maps/search/?api=1&amp;query=" &amp; A3790 &amp; "," &amp; B3790</f>
        <v>https://www.google.com/maps/search/?api=1&amp;query=-30.89476777060730,-55.55507412111490</v>
      </c>
      <c r="G3790" s="25" t="str">
        <f t="array" ref="G3790">"https://earth.google.com/web/search/" &amp; A3790 &amp; "," &amp; B3790</f>
        <v>https://earth.google.com/web/search/-30.89476777060730,-55.55507412111490</v>
      </c>
      <c r="H3790" s="12"/>
      <c r="I3790" s="12"/>
      <c r="J3790" s="12"/>
      <c r="K3790" s="12"/>
      <c r="L3790" s="12"/>
      <c r="M3790" s="12"/>
      <c r="N3790" s="12"/>
      <c r="O3790" s="12"/>
      <c r="P3790" s="12"/>
      <c r="Q3790" s="12"/>
      <c r="R3790" s="12"/>
      <c r="S3790" s="12"/>
      <c r="T3790" s="12"/>
      <c r="U3790" s="12"/>
      <c r="V3790" s="12"/>
      <c r="W3790" s="12"/>
      <c r="X3790" s="12"/>
      <c r="Y3790" s="12"/>
      <c r="Z3790" s="12"/>
      <c r="AA3790" s="12"/>
    </row>
    <row r="3791" ht="26.25" customHeight="1">
      <c r="A3791" s="28" t="s">
        <v>7592</v>
      </c>
      <c r="B3791" s="29" t="s">
        <v>7593</v>
      </c>
      <c r="C3791" s="30">
        <v>4.0</v>
      </c>
      <c r="D3791" s="31">
        <v>256.0</v>
      </c>
      <c r="E3791" s="31">
        <v>5.0</v>
      </c>
      <c r="F3791" s="32" t="str">
        <f t="array" ref="F3791">"https://www.google.com/maps/search/?api=1&amp;query=" &amp; A3791 &amp; "," &amp; B3791</f>
        <v>https://www.google.com/maps/search/?api=1&amp;query=-30.89400017526080,-5.55556383972317</v>
      </c>
      <c r="G3791" s="33" t="str">
        <f t="array" ref="G3791">"https://earth.google.com/web/search/" &amp; A3791 &amp; "," &amp; B3791</f>
        <v>https://earth.google.com/web/search/-30.89400017526080,-5.55556383972317</v>
      </c>
      <c r="H3791" s="12"/>
      <c r="I3791" s="12"/>
      <c r="J3791" s="12"/>
      <c r="K3791" s="12"/>
      <c r="L3791" s="12"/>
      <c r="M3791" s="12"/>
      <c r="N3791" s="12"/>
      <c r="O3791" s="12"/>
      <c r="P3791" s="12"/>
      <c r="Q3791" s="12"/>
      <c r="R3791" s="12"/>
      <c r="S3791" s="12"/>
      <c r="T3791" s="12"/>
      <c r="U3791" s="12"/>
      <c r="V3791" s="12"/>
      <c r="W3791" s="12"/>
      <c r="X3791" s="12"/>
      <c r="Y3791" s="12"/>
      <c r="Z3791" s="12"/>
      <c r="AA3791" s="12"/>
    </row>
    <row r="3792" ht="26.25" customHeight="1">
      <c r="A3792" s="34" t="s">
        <v>7594</v>
      </c>
      <c r="B3792" s="35" t="s">
        <v>7595</v>
      </c>
      <c r="C3792" s="36">
        <v>4.0</v>
      </c>
      <c r="D3792" s="37">
        <v>256.0</v>
      </c>
      <c r="E3792" s="37">
        <v>6.0</v>
      </c>
      <c r="F3792" s="24" t="str">
        <f t="array" ref="F3792">"https://www.google.com/maps/search/?api=1&amp;query=" &amp; A3792 &amp; "," &amp; B3792</f>
        <v>https://www.google.com/maps/search/?api=1&amp;query=-3.08941663742198,-55.55575720741600</v>
      </c>
      <c r="G3792" s="25" t="str">
        <f t="array" ref="G3792">"https://earth.google.com/web/search/" &amp; A3792 &amp; "," &amp; B3792</f>
        <v>https://earth.google.com/web/search/-3.08941663742198,-55.55575720741600</v>
      </c>
      <c r="H3792" s="12"/>
      <c r="I3792" s="12"/>
      <c r="J3792" s="12"/>
      <c r="K3792" s="12"/>
      <c r="L3792" s="12"/>
      <c r="M3792" s="12"/>
      <c r="N3792" s="12"/>
      <c r="O3792" s="12"/>
      <c r="P3792" s="12"/>
      <c r="Q3792" s="12"/>
      <c r="R3792" s="12"/>
      <c r="S3792" s="12"/>
      <c r="T3792" s="12"/>
      <c r="U3792" s="12"/>
      <c r="V3792" s="12"/>
      <c r="W3792" s="12"/>
      <c r="X3792" s="12"/>
      <c r="Y3792" s="12"/>
      <c r="Z3792" s="12"/>
      <c r="AA3792" s="12"/>
    </row>
    <row r="3793" ht="26.25" customHeight="1">
      <c r="A3793" s="28" t="s">
        <v>7596</v>
      </c>
      <c r="B3793" s="29" t="s">
        <v>7597</v>
      </c>
      <c r="C3793" s="30">
        <v>4.0</v>
      </c>
      <c r="D3793" s="31">
        <v>256.0</v>
      </c>
      <c r="E3793" s="31">
        <v>7.0</v>
      </c>
      <c r="F3793" s="32" t="str">
        <f t="array" ref="F3793">"https://www.google.com/maps/search/?api=1&amp;query=" &amp; A3793 &amp; "," &amp; B3793</f>
        <v>https://www.google.com/maps/search/?api=1&amp;query=-30.89423350899240,-55.55579875591160</v>
      </c>
      <c r="G3793" s="33" t="str">
        <f t="array" ref="G3793">"https://earth.google.com/web/search/" &amp; A3793 &amp; "," &amp; B3793</f>
        <v>https://earth.google.com/web/search/-30.89423350899240,-55.55579875591160</v>
      </c>
      <c r="H3793" s="12"/>
      <c r="I3793" s="12"/>
      <c r="J3793" s="12"/>
      <c r="K3793" s="12"/>
      <c r="L3793" s="12"/>
      <c r="M3793" s="12"/>
      <c r="N3793" s="12"/>
      <c r="O3793" s="12"/>
      <c r="P3793" s="12"/>
      <c r="Q3793" s="12"/>
      <c r="R3793" s="12"/>
      <c r="S3793" s="12"/>
      <c r="T3793" s="12"/>
      <c r="U3793" s="12"/>
      <c r="V3793" s="12"/>
      <c r="W3793" s="12"/>
      <c r="X3793" s="12"/>
      <c r="Y3793" s="12"/>
      <c r="Z3793" s="12"/>
      <c r="AA3793" s="12"/>
    </row>
    <row r="3794" ht="26.25" customHeight="1">
      <c r="A3794" s="34" t="s">
        <v>7598</v>
      </c>
      <c r="B3794" s="35" t="s">
        <v>7599</v>
      </c>
      <c r="C3794" s="36">
        <v>4.0</v>
      </c>
      <c r="D3794" s="37">
        <v>256.0</v>
      </c>
      <c r="E3794" s="37">
        <v>8.0</v>
      </c>
      <c r="F3794" s="24" t="str">
        <f t="array" ref="F3794">"https://www.google.com/maps/search/?api=1&amp;query=" &amp; A3794 &amp; "," &amp; B3794</f>
        <v>https://www.google.com/maps/search/?api=1&amp;query=-30.89429699649480,-55.55585501854930</v>
      </c>
      <c r="G3794" s="25" t="str">
        <f t="array" ref="G3794">"https://earth.google.com/web/search/" &amp; A3794 &amp; "," &amp; B3794</f>
        <v>https://earth.google.com/web/search/-30.89429699649480,-55.55585501854930</v>
      </c>
      <c r="H3794" s="12"/>
      <c r="I3794" s="12"/>
      <c r="J3794" s="12"/>
      <c r="K3794" s="12"/>
      <c r="L3794" s="12"/>
      <c r="M3794" s="12"/>
      <c r="N3794" s="12"/>
      <c r="O3794" s="12"/>
      <c r="P3794" s="12"/>
      <c r="Q3794" s="12"/>
      <c r="R3794" s="12"/>
      <c r="S3794" s="12"/>
      <c r="T3794" s="12"/>
      <c r="U3794" s="12"/>
      <c r="V3794" s="12"/>
      <c r="W3794" s="12"/>
      <c r="X3794" s="12"/>
      <c r="Y3794" s="12"/>
      <c r="Z3794" s="12"/>
      <c r="AA3794" s="12"/>
    </row>
    <row r="3795" ht="26.25" customHeight="1">
      <c r="A3795" s="28" t="s">
        <v>7600</v>
      </c>
      <c r="B3795" s="29" t="s">
        <v>7601</v>
      </c>
      <c r="C3795" s="30">
        <v>4.0</v>
      </c>
      <c r="D3795" s="31">
        <v>256.0</v>
      </c>
      <c r="E3795" s="31">
        <v>9.0</v>
      </c>
      <c r="F3795" s="32" t="str">
        <f t="array" ref="F3795">"https://www.google.com/maps/search/?api=1&amp;query=" &amp; A3795 &amp; "," &amp; B3795</f>
        <v>https://www.google.com/maps/search/?api=1&amp;query=-30.89443410965320,-55.55597246078610</v>
      </c>
      <c r="G3795" s="33" t="str">
        <f t="array" ref="G3795">"https://earth.google.com/web/search/" &amp; A3795 &amp; "," &amp; B3795</f>
        <v>https://earth.google.com/web/search/-30.89443410965320,-55.55597246078610</v>
      </c>
      <c r="H3795" s="12"/>
      <c r="I3795" s="12"/>
      <c r="J3795" s="12"/>
      <c r="K3795" s="12"/>
      <c r="L3795" s="12"/>
      <c r="M3795" s="12"/>
      <c r="N3795" s="12"/>
      <c r="O3795" s="12"/>
      <c r="P3795" s="12"/>
      <c r="Q3795" s="12"/>
      <c r="R3795" s="12"/>
      <c r="S3795" s="12"/>
      <c r="T3795" s="12"/>
      <c r="U3795" s="12"/>
      <c r="V3795" s="12"/>
      <c r="W3795" s="12"/>
      <c r="X3795" s="12"/>
      <c r="Y3795" s="12"/>
      <c r="Z3795" s="12"/>
      <c r="AA3795" s="12"/>
    </row>
    <row r="3796" ht="26.25" customHeight="1">
      <c r="A3796" s="34" t="s">
        <v>7602</v>
      </c>
      <c r="B3796" s="35" t="s">
        <v>7603</v>
      </c>
      <c r="C3796" s="36">
        <v>4.0</v>
      </c>
      <c r="D3796" s="37">
        <v>257.0</v>
      </c>
      <c r="E3796" s="37">
        <v>1.0</v>
      </c>
      <c r="F3796" s="24" t="str">
        <f t="array" ref="F3796">"https://www.google.com/maps/search/?api=1&amp;query=" &amp; A3796 &amp; "," &amp; B3796</f>
        <v>https://www.google.com/maps/search/?api=1&amp;query=-3.08942480749495,-55.55655500961710</v>
      </c>
      <c r="G3796" s="25" t="str">
        <f t="array" ref="G3796">"https://earth.google.com/web/search/" &amp; A3796 &amp; "," &amp; B3796</f>
        <v>https://earth.google.com/web/search/-3.08942480749495,-55.55655500961710</v>
      </c>
      <c r="H3796" s="12"/>
      <c r="I3796" s="12"/>
      <c r="J3796" s="12"/>
      <c r="K3796" s="12"/>
      <c r="L3796" s="12"/>
      <c r="M3796" s="12"/>
      <c r="N3796" s="12"/>
      <c r="O3796" s="12"/>
      <c r="P3796" s="12"/>
      <c r="Q3796" s="12"/>
      <c r="R3796" s="12"/>
      <c r="S3796" s="12"/>
      <c r="T3796" s="12"/>
      <c r="U3796" s="12"/>
      <c r="V3796" s="12"/>
      <c r="W3796" s="12"/>
      <c r="X3796" s="12"/>
      <c r="Y3796" s="12"/>
      <c r="Z3796" s="12"/>
      <c r="AA3796" s="12"/>
    </row>
    <row r="3797" ht="26.25" customHeight="1">
      <c r="A3797" s="28" t="s">
        <v>7604</v>
      </c>
      <c r="B3797" s="29" t="s">
        <v>7605</v>
      </c>
      <c r="C3797" s="30">
        <v>4.0</v>
      </c>
      <c r="D3797" s="31">
        <v>257.0</v>
      </c>
      <c r="E3797" s="31">
        <v>2.0</v>
      </c>
      <c r="F3797" s="32" t="str">
        <f t="array" ref="F3797">"https://www.google.com/maps/search/?api=1&amp;query=" &amp; A3797 &amp; "," &amp; B3797</f>
        <v>https://www.google.com/maps/search/?api=1&amp;query=-30.89442754379910,-55.55622296059400</v>
      </c>
      <c r="G3797" s="33" t="str">
        <f t="array" ref="G3797">"https://earth.google.com/web/search/" &amp; A3797 &amp; "," &amp; B3797</f>
        <v>https://earth.google.com/web/search/-30.89442754379910,-55.55622296059400</v>
      </c>
      <c r="H3797" s="12"/>
      <c r="I3797" s="12"/>
      <c r="J3797" s="12"/>
      <c r="K3797" s="12"/>
      <c r="L3797" s="12"/>
      <c r="M3797" s="12"/>
      <c r="N3797" s="12"/>
      <c r="O3797" s="12"/>
      <c r="P3797" s="12"/>
      <c r="Q3797" s="12"/>
      <c r="R3797" s="12"/>
      <c r="S3797" s="12"/>
      <c r="T3797" s="12"/>
      <c r="U3797" s="12"/>
      <c r="V3797" s="12"/>
      <c r="W3797" s="12"/>
      <c r="X3797" s="12"/>
      <c r="Y3797" s="12"/>
      <c r="Z3797" s="12"/>
      <c r="AA3797" s="12"/>
    </row>
    <row r="3798" ht="26.25" customHeight="1">
      <c r="A3798" s="34" t="s">
        <v>7606</v>
      </c>
      <c r="B3798" s="35" t="s">
        <v>7607</v>
      </c>
      <c r="C3798" s="36">
        <v>4.0</v>
      </c>
      <c r="D3798" s="37">
        <v>257.0</v>
      </c>
      <c r="E3798" s="37">
        <v>3.0</v>
      </c>
      <c r="F3798" s="24" t="str">
        <f t="array" ref="F3798">"https://www.google.com/maps/search/?api=1&amp;query=" &amp; A3798 &amp; "," &amp; B3798</f>
        <v>https://www.google.com/maps/search/?api=1&amp;query=-30.89445557450640,-55.55611014519180</v>
      </c>
      <c r="G3798" s="25" t="str">
        <f t="array" ref="G3798">"https://earth.google.com/web/search/" &amp; A3798 &amp; "," &amp; B3798</f>
        <v>https://earth.google.com/web/search/-30.89445557450640,-55.55611014519180</v>
      </c>
      <c r="H3798" s="12"/>
      <c r="I3798" s="12"/>
      <c r="J3798" s="12"/>
      <c r="K3798" s="12"/>
      <c r="L3798" s="12"/>
      <c r="M3798" s="12"/>
      <c r="N3798" s="12"/>
      <c r="O3798" s="12"/>
      <c r="P3798" s="12"/>
      <c r="Q3798" s="12"/>
      <c r="R3798" s="12"/>
      <c r="S3798" s="12"/>
      <c r="T3798" s="12"/>
      <c r="U3798" s="12"/>
      <c r="V3798" s="12"/>
      <c r="W3798" s="12"/>
      <c r="X3798" s="12"/>
      <c r="Y3798" s="12"/>
      <c r="Z3798" s="12"/>
      <c r="AA3798" s="12"/>
    </row>
    <row r="3799" ht="26.25" customHeight="1">
      <c r="A3799" s="28" t="s">
        <v>7608</v>
      </c>
      <c r="B3799" s="29" t="s">
        <v>7609</v>
      </c>
      <c r="C3799" s="30">
        <v>4.0</v>
      </c>
      <c r="D3799" s="31">
        <v>257.0</v>
      </c>
      <c r="E3799" s="31">
        <v>4.0</v>
      </c>
      <c r="F3799" s="32" t="str">
        <f t="array" ref="F3799">"https://www.google.com/maps/search/?api=1&amp;query=" &amp; A3799 &amp; "," &amp; B3799</f>
        <v>https://www.google.com/maps/search/?api=1&amp;query=-30.89423109615260,-5.55559329544746</v>
      </c>
      <c r="G3799" s="33" t="str">
        <f t="array" ref="G3799">"https://earth.google.com/web/search/" &amp; A3799 &amp; "," &amp; B3799</f>
        <v>https://earth.google.com/web/search/-30.89423109615260,-5.55559329544746</v>
      </c>
      <c r="H3799" s="12"/>
      <c r="I3799" s="12"/>
      <c r="J3799" s="12"/>
      <c r="K3799" s="12"/>
      <c r="L3799" s="12"/>
      <c r="M3799" s="12"/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/>
      <c r="AA3799" s="12"/>
    </row>
    <row r="3800" ht="26.25" customHeight="1">
      <c r="A3800" s="34" t="s">
        <v>7610</v>
      </c>
      <c r="B3800" s="35" t="s">
        <v>7611</v>
      </c>
      <c r="C3800" s="36">
        <v>4.0</v>
      </c>
      <c r="D3800" s="37">
        <v>257.0</v>
      </c>
      <c r="E3800" s="37">
        <v>5.0</v>
      </c>
      <c r="F3800" s="24" t="str">
        <f t="array" ref="F3800">"https://www.google.com/maps/search/?api=1&amp;query=" &amp; A3800 &amp; "," &amp; B3800</f>
        <v>https://www.google.com/maps/search/?api=1&amp;query=-3.08939910698039,-55.55577686948670</v>
      </c>
      <c r="G3800" s="25" t="str">
        <f t="array" ref="G3800">"https://earth.google.com/web/search/" &amp; A3800 &amp; "," &amp; B3800</f>
        <v>https://earth.google.com/web/search/-3.08939910698039,-55.55577686948670</v>
      </c>
      <c r="H3800" s="12"/>
      <c r="I3800" s="12"/>
      <c r="J3800" s="12"/>
      <c r="K3800" s="12"/>
      <c r="L3800" s="12"/>
      <c r="M3800" s="12"/>
      <c r="N3800" s="12"/>
      <c r="O3800" s="12"/>
      <c r="P3800" s="12"/>
      <c r="Q3800" s="12"/>
      <c r="R3800" s="12"/>
      <c r="S3800" s="12"/>
      <c r="T3800" s="12"/>
      <c r="U3800" s="12"/>
      <c r="V3800" s="12"/>
      <c r="W3800" s="12"/>
      <c r="X3800" s="12"/>
      <c r="Y3800" s="12"/>
      <c r="Z3800" s="12"/>
      <c r="AA3800" s="12"/>
    </row>
    <row r="3801" ht="26.25" customHeight="1">
      <c r="A3801" s="28" t="s">
        <v>7612</v>
      </c>
      <c r="B3801" s="29" t="s">
        <v>7613</v>
      </c>
      <c r="C3801" s="30">
        <v>4.0</v>
      </c>
      <c r="D3801" s="31">
        <v>257.0</v>
      </c>
      <c r="E3801" s="31">
        <v>6.0</v>
      </c>
      <c r="F3801" s="32" t="str">
        <f t="array" ref="F3801">"https://www.google.com/maps/search/?api=1&amp;query=" &amp; A3801 &amp; "," &amp; B3801</f>
        <v>https://www.google.com/maps/search/?api=1&amp;query=-30.89388837145610,-55.55570501253520</v>
      </c>
      <c r="G3801" s="33" t="str">
        <f t="array" ref="G3801">"https://earth.google.com/web/search/" &amp; A3801 &amp; "," &amp; B3801</f>
        <v>https://earth.google.com/web/search/-30.89388837145610,-55.55570501253520</v>
      </c>
      <c r="H3801" s="12"/>
      <c r="I3801" s="12"/>
      <c r="J3801" s="12"/>
      <c r="K3801" s="12"/>
      <c r="L3801" s="12"/>
      <c r="M3801" s="12"/>
      <c r="N3801" s="12"/>
      <c r="O3801" s="12"/>
      <c r="P3801" s="12"/>
      <c r="Q3801" s="12"/>
      <c r="R3801" s="12"/>
      <c r="S3801" s="12"/>
      <c r="T3801" s="12"/>
      <c r="U3801" s="12"/>
      <c r="V3801" s="12"/>
      <c r="W3801" s="12"/>
      <c r="X3801" s="12"/>
      <c r="Y3801" s="12"/>
      <c r="Z3801" s="12"/>
      <c r="AA3801" s="12"/>
    </row>
    <row r="3802" ht="26.25" customHeight="1">
      <c r="A3802" s="34" t="s">
        <v>7614</v>
      </c>
      <c r="B3802" s="35" t="s">
        <v>7615</v>
      </c>
      <c r="C3802" s="36">
        <v>4.0</v>
      </c>
      <c r="D3802" s="37">
        <v>257.0</v>
      </c>
      <c r="E3802" s="37">
        <v>7.0</v>
      </c>
      <c r="F3802" s="24" t="str">
        <f t="array" ref="F3802">"https://www.google.com/maps/search/?api=1&amp;query=" &amp; A3802 &amp; "," &amp; B3802</f>
        <v>https://www.google.com/maps/search/?api=1&amp;query=-30.89372872110050,-55.55573765047680</v>
      </c>
      <c r="G3802" s="25" t="str">
        <f t="array" ref="G3802">"https://earth.google.com/web/search/" &amp; A3802 &amp; "," &amp; B3802</f>
        <v>https://earth.google.com/web/search/-30.89372872110050,-55.55573765047680</v>
      </c>
      <c r="H3802" s="12"/>
      <c r="I3802" s="12"/>
      <c r="J3802" s="12"/>
      <c r="K3802" s="12"/>
      <c r="L3802" s="12"/>
      <c r="M3802" s="12"/>
      <c r="N3802" s="12"/>
      <c r="O3802" s="12"/>
      <c r="P3802" s="12"/>
      <c r="Q3802" s="12"/>
      <c r="R3802" s="12"/>
      <c r="S3802" s="12"/>
      <c r="T3802" s="12"/>
      <c r="U3802" s="12"/>
      <c r="V3802" s="12"/>
      <c r="W3802" s="12"/>
      <c r="X3802" s="12"/>
      <c r="Y3802" s="12"/>
      <c r="Z3802" s="12"/>
      <c r="AA3802" s="12"/>
    </row>
    <row r="3803" ht="26.25" customHeight="1">
      <c r="A3803" s="28" t="s">
        <v>7616</v>
      </c>
      <c r="B3803" s="29" t="s">
        <v>7617</v>
      </c>
      <c r="C3803" s="30">
        <v>4.0</v>
      </c>
      <c r="D3803" s="31">
        <v>257.0</v>
      </c>
      <c r="E3803" s="31">
        <v>8.0</v>
      </c>
      <c r="F3803" s="32" t="str">
        <f t="array" ref="F3803">"https://www.google.com/maps/search/?api=1&amp;query=" &amp; A3803 &amp; "," &amp; B3803</f>
        <v>https://www.google.com/maps/search/?api=1&amp;query=-30.89359880445260,-55.55600081726410</v>
      </c>
      <c r="G3803" s="33" t="str">
        <f t="array" ref="G3803">"https://earth.google.com/web/search/" &amp; A3803 &amp; "," &amp; B3803</f>
        <v>https://earth.google.com/web/search/-30.89359880445260,-55.55600081726410</v>
      </c>
      <c r="H3803" s="12"/>
      <c r="I3803" s="12"/>
      <c r="J3803" s="12"/>
      <c r="K3803" s="12"/>
      <c r="L3803" s="12"/>
      <c r="M3803" s="12"/>
      <c r="N3803" s="12"/>
      <c r="O3803" s="12"/>
      <c r="P3803" s="12"/>
      <c r="Q3803" s="12"/>
      <c r="R3803" s="12"/>
      <c r="S3803" s="12"/>
      <c r="T3803" s="12"/>
      <c r="U3803" s="12"/>
      <c r="V3803" s="12"/>
      <c r="W3803" s="12"/>
      <c r="X3803" s="12"/>
      <c r="Y3803" s="12"/>
      <c r="Z3803" s="12"/>
      <c r="AA3803" s="12"/>
    </row>
    <row r="3804" ht="26.25" customHeight="1">
      <c r="A3804" s="34" t="s">
        <v>7618</v>
      </c>
      <c r="B3804" s="35" t="s">
        <v>7619</v>
      </c>
      <c r="C3804" s="36">
        <v>4.0</v>
      </c>
      <c r="D3804" s="37">
        <v>257.0</v>
      </c>
      <c r="E3804" s="37">
        <v>9.0</v>
      </c>
      <c r="F3804" s="24" t="str">
        <f t="array" ref="F3804">"https://www.google.com/maps/search/?api=1&amp;query=" &amp; A3804 &amp; "," &amp; B3804</f>
        <v>https://www.google.com/maps/search/?api=1&amp;query=-30.89353241255820,-55.55613726152410</v>
      </c>
      <c r="G3804" s="25" t="str">
        <f t="array" ref="G3804">"https://earth.google.com/web/search/" &amp; A3804 &amp; "," &amp; B3804</f>
        <v>https://earth.google.com/web/search/-30.89353241255820,-55.55613726152410</v>
      </c>
      <c r="H3804" s="12"/>
      <c r="I3804" s="12"/>
      <c r="J3804" s="12"/>
      <c r="K3804" s="12"/>
      <c r="L3804" s="12"/>
      <c r="M3804" s="12"/>
      <c r="N3804" s="12"/>
      <c r="O3804" s="12"/>
      <c r="P3804" s="12"/>
      <c r="Q3804" s="12"/>
      <c r="R3804" s="12"/>
      <c r="S3804" s="12"/>
      <c r="T3804" s="12"/>
      <c r="U3804" s="12"/>
      <c r="V3804" s="12"/>
      <c r="W3804" s="12"/>
      <c r="X3804" s="12"/>
      <c r="Y3804" s="12"/>
      <c r="Z3804" s="12"/>
      <c r="AA3804" s="12"/>
    </row>
    <row r="3805" ht="26.25" customHeight="1">
      <c r="A3805" s="28" t="s">
        <v>7620</v>
      </c>
      <c r="B3805" s="29" t="s">
        <v>7621</v>
      </c>
      <c r="C3805" s="30">
        <v>4.0</v>
      </c>
      <c r="D3805" s="31">
        <v>257.0</v>
      </c>
      <c r="E3805" s="31">
        <v>10.0</v>
      </c>
      <c r="F3805" s="32" t="str">
        <f t="array" ref="F3805">"https://www.google.com/maps/search/?api=1&amp;query=" &amp; A3805 &amp; "," &amp; B3805</f>
        <v>https://www.google.com/maps/search/?api=1&amp;query=-30.89348798153550,-55.55623007117280</v>
      </c>
      <c r="G3805" s="33" t="str">
        <f t="array" ref="G3805">"https://earth.google.com/web/search/" &amp; A3805 &amp; "," &amp; B3805</f>
        <v>https://earth.google.com/web/search/-30.89348798153550,-55.55623007117280</v>
      </c>
      <c r="H3805" s="12"/>
      <c r="I3805" s="12"/>
      <c r="J3805" s="12"/>
      <c r="K3805" s="12"/>
      <c r="L3805" s="12"/>
      <c r="M3805" s="12"/>
      <c r="N3805" s="12"/>
      <c r="O3805" s="12"/>
      <c r="P3805" s="12"/>
      <c r="Q3805" s="12"/>
      <c r="R3805" s="12"/>
      <c r="S3805" s="12"/>
      <c r="T3805" s="12"/>
      <c r="U3805" s="12"/>
      <c r="V3805" s="12"/>
      <c r="W3805" s="12"/>
      <c r="X3805" s="12"/>
      <c r="Y3805" s="12"/>
      <c r="Z3805" s="12"/>
      <c r="AA3805" s="12"/>
    </row>
    <row r="3806" ht="26.25" customHeight="1">
      <c r="A3806" s="34" t="s">
        <v>7622</v>
      </c>
      <c r="B3806" s="35" t="s">
        <v>7623</v>
      </c>
      <c r="C3806" s="36">
        <v>4.0</v>
      </c>
      <c r="D3806" s="37">
        <v>257.0</v>
      </c>
      <c r="E3806" s="37">
        <v>11.0</v>
      </c>
      <c r="F3806" s="24" t="str">
        <f t="array" ref="F3806">"https://www.google.com/maps/search/?api=1&amp;query=" &amp; A3806 &amp; "," &amp; B3806</f>
        <v>https://www.google.com/maps/search/?api=1&amp;query=-30.89341092732870,-55.55649683330990</v>
      </c>
      <c r="G3806" s="25" t="str">
        <f t="array" ref="G3806">"https://earth.google.com/web/search/" &amp; A3806 &amp; "," &amp; B3806</f>
        <v>https://earth.google.com/web/search/-30.89341092732870,-55.55649683330990</v>
      </c>
      <c r="H3806" s="12"/>
      <c r="I3806" s="12"/>
      <c r="J3806" s="12"/>
      <c r="K3806" s="12"/>
      <c r="L3806" s="12"/>
      <c r="M3806" s="12"/>
      <c r="N3806" s="12"/>
      <c r="O3806" s="12"/>
      <c r="P3806" s="12"/>
      <c r="Q3806" s="12"/>
      <c r="R3806" s="12"/>
      <c r="S3806" s="12"/>
      <c r="T3806" s="12"/>
      <c r="U3806" s="12"/>
      <c r="V3806" s="12"/>
      <c r="W3806" s="12"/>
      <c r="X3806" s="12"/>
      <c r="Y3806" s="12"/>
      <c r="Z3806" s="12"/>
      <c r="AA3806" s="12"/>
    </row>
    <row r="3807" ht="26.25" customHeight="1">
      <c r="A3807" s="28" t="s">
        <v>7624</v>
      </c>
      <c r="B3807" s="29" t="s">
        <v>7625</v>
      </c>
      <c r="C3807" s="30">
        <v>4.0</v>
      </c>
      <c r="D3807" s="31">
        <v>257.0</v>
      </c>
      <c r="E3807" s="31">
        <v>12.0</v>
      </c>
      <c r="F3807" s="32" t="str">
        <f t="array" ref="F3807">"https://www.google.com/maps/search/?api=1&amp;query=" &amp; A3807 &amp; "," &amp; B3807</f>
        <v>https://www.google.com/maps/search/?api=1&amp;query=-30.89357749180000,-55.55657543753950</v>
      </c>
      <c r="G3807" s="33" t="str">
        <f t="array" ref="G3807">"https://earth.google.com/web/search/" &amp; A3807 &amp; "," &amp; B3807</f>
        <v>https://earth.google.com/web/search/-30.89357749180000,-55.55657543753950</v>
      </c>
      <c r="H3807" s="12"/>
      <c r="I3807" s="12"/>
      <c r="J3807" s="12"/>
      <c r="K3807" s="12"/>
      <c r="L3807" s="12"/>
      <c r="M3807" s="12"/>
      <c r="N3807" s="12"/>
      <c r="O3807" s="12"/>
      <c r="P3807" s="12"/>
      <c r="Q3807" s="12"/>
      <c r="R3807" s="12"/>
      <c r="S3807" s="12"/>
      <c r="T3807" s="12"/>
      <c r="U3807" s="12"/>
      <c r="V3807" s="12"/>
      <c r="W3807" s="12"/>
      <c r="X3807" s="12"/>
      <c r="Y3807" s="12"/>
      <c r="Z3807" s="12"/>
      <c r="AA3807" s="12"/>
    </row>
    <row r="3808" ht="26.25" customHeight="1">
      <c r="A3808" s="34" t="s">
        <v>7626</v>
      </c>
      <c r="B3808" s="35" t="s">
        <v>7627</v>
      </c>
      <c r="C3808" s="36">
        <v>4.0</v>
      </c>
      <c r="D3808" s="37">
        <v>257.0</v>
      </c>
      <c r="E3808" s="37">
        <v>13.0</v>
      </c>
      <c r="F3808" s="24" t="str">
        <f t="array" ref="F3808">"https://www.google.com/maps/search/?api=1&amp;query=" &amp; A3808 &amp; "," &amp; B3808</f>
        <v>https://www.google.com/maps/search/?api=1&amp;query=-30.89369820692560,-55.55667328583170</v>
      </c>
      <c r="G3808" s="25" t="str">
        <f t="array" ref="G3808">"https://earth.google.com/web/search/" &amp; A3808 &amp; "," &amp; B3808</f>
        <v>https://earth.google.com/web/search/-30.89369820692560,-55.55667328583170</v>
      </c>
      <c r="H3808" s="12"/>
      <c r="I3808" s="12"/>
      <c r="J3808" s="12"/>
      <c r="K3808" s="12"/>
      <c r="L3808" s="12"/>
      <c r="M3808" s="12"/>
      <c r="N3808" s="12"/>
      <c r="O3808" s="12"/>
      <c r="P3808" s="12"/>
      <c r="Q3808" s="12"/>
      <c r="R3808" s="12"/>
      <c r="S3808" s="12"/>
      <c r="T3808" s="12"/>
      <c r="U3808" s="12"/>
      <c r="V3808" s="12"/>
      <c r="W3808" s="12"/>
      <c r="X3808" s="12"/>
      <c r="Y3808" s="12"/>
      <c r="Z3808" s="12"/>
      <c r="AA3808" s="12"/>
    </row>
    <row r="3809" ht="26.25" customHeight="1">
      <c r="A3809" s="28" t="s">
        <v>7628</v>
      </c>
      <c r="B3809" s="29" t="s">
        <v>7629</v>
      </c>
      <c r="C3809" s="30">
        <v>4.0</v>
      </c>
      <c r="D3809" s="31">
        <v>257.0</v>
      </c>
      <c r="E3809" s="31">
        <v>14.0</v>
      </c>
      <c r="F3809" s="32" t="str">
        <f t="array" ref="F3809">"https://www.google.com/maps/search/?api=1&amp;query=" &amp; A3809 &amp; "," &amp; B3809</f>
        <v>https://www.google.com/maps/search/?api=1&amp;query=-30.89394975205970,-55.55684090812650</v>
      </c>
      <c r="G3809" s="33" t="str">
        <f t="array" ref="G3809">"https://earth.google.com/web/search/" &amp; A3809 &amp; "," &amp; B3809</f>
        <v>https://earth.google.com/web/search/-30.89394975205970,-55.55684090812650</v>
      </c>
      <c r="H3809" s="12"/>
      <c r="I3809" s="12"/>
      <c r="J3809" s="12"/>
      <c r="K3809" s="12"/>
      <c r="L3809" s="12"/>
      <c r="M3809" s="12"/>
      <c r="N3809" s="12"/>
      <c r="O3809" s="12"/>
      <c r="P3809" s="12"/>
      <c r="Q3809" s="12"/>
      <c r="R3809" s="12"/>
      <c r="S3809" s="12"/>
      <c r="T3809" s="12"/>
      <c r="U3809" s="12"/>
      <c r="V3809" s="12"/>
      <c r="W3809" s="12"/>
      <c r="X3809" s="12"/>
      <c r="Y3809" s="12"/>
      <c r="Z3809" s="12"/>
      <c r="AA3809" s="12"/>
    </row>
    <row r="3810" ht="26.25" customHeight="1">
      <c r="A3810" s="34" t="s">
        <v>7630</v>
      </c>
      <c r="B3810" s="35" t="s">
        <v>7631</v>
      </c>
      <c r="C3810" s="36">
        <v>4.0</v>
      </c>
      <c r="D3810" s="37">
        <v>265.0</v>
      </c>
      <c r="E3810" s="37">
        <v>1.0</v>
      </c>
      <c r="F3810" s="24" t="str">
        <f t="array" ref="F3810">"https://www.google.com/maps/search/?api=1&amp;query=" &amp; A3810 &amp; "," &amp; B3810</f>
        <v>https://www.google.com/maps/search/?api=1&amp;query=-30.89487991308210,-55.55743628465250</v>
      </c>
      <c r="G3810" s="25" t="str">
        <f t="array" ref="G3810">"https://earth.google.com/web/search/" &amp; A3810 &amp; "," &amp; B3810</f>
        <v>https://earth.google.com/web/search/-30.89487991308210,-55.55743628465250</v>
      </c>
      <c r="H3810" s="12"/>
      <c r="I3810" s="12"/>
      <c r="J3810" s="12"/>
      <c r="K3810" s="12"/>
      <c r="L3810" s="12"/>
      <c r="M3810" s="12"/>
      <c r="N3810" s="12"/>
      <c r="O3810" s="12"/>
      <c r="P3810" s="12"/>
      <c r="Q3810" s="12"/>
      <c r="R3810" s="12"/>
      <c r="S3810" s="12"/>
      <c r="T3810" s="12"/>
      <c r="U3810" s="12"/>
      <c r="V3810" s="12"/>
      <c r="W3810" s="12"/>
      <c r="X3810" s="12"/>
      <c r="Y3810" s="12"/>
      <c r="Z3810" s="12"/>
      <c r="AA3810" s="12"/>
    </row>
    <row r="3811" ht="26.25" customHeight="1">
      <c r="A3811" s="28" t="s">
        <v>7632</v>
      </c>
      <c r="B3811" s="29" t="s">
        <v>7633</v>
      </c>
      <c r="C3811" s="30">
        <v>4.0</v>
      </c>
      <c r="D3811" s="31">
        <v>265.0</v>
      </c>
      <c r="E3811" s="31">
        <v>2.0</v>
      </c>
      <c r="F3811" s="32" t="str">
        <f t="array" ref="F3811">"https://www.google.com/maps/search/?api=1&amp;query=" &amp; A3811 &amp; "," &amp; B3811</f>
        <v>https://www.google.com/maps/search/?api=1&amp;query=-30.89498532163190,-0.55557244870756</v>
      </c>
      <c r="G3811" s="33" t="str">
        <f t="array" ref="G3811">"https://earth.google.com/web/search/" &amp; A3811 &amp; "," &amp; B3811</f>
        <v>https://earth.google.com/web/search/-30.89498532163190,-0.55557244870756</v>
      </c>
      <c r="H3811" s="12"/>
      <c r="I3811" s="12"/>
      <c r="J3811" s="12"/>
      <c r="K3811" s="12"/>
      <c r="L3811" s="12"/>
      <c r="M3811" s="12"/>
      <c r="N3811" s="12"/>
      <c r="O3811" s="12"/>
      <c r="P3811" s="12"/>
      <c r="Q3811" s="12"/>
      <c r="R3811" s="12"/>
      <c r="S3811" s="12"/>
      <c r="T3811" s="12"/>
      <c r="U3811" s="12"/>
      <c r="V3811" s="12"/>
      <c r="W3811" s="12"/>
      <c r="X3811" s="12"/>
      <c r="Y3811" s="12"/>
      <c r="Z3811" s="12"/>
      <c r="AA3811" s="12"/>
    </row>
    <row r="3812" ht="26.25" customHeight="1">
      <c r="A3812" s="34" t="s">
        <v>7634</v>
      </c>
      <c r="B3812" s="35" t="s">
        <v>7635</v>
      </c>
      <c r="C3812" s="36">
        <v>4.0</v>
      </c>
      <c r="D3812" s="37">
        <v>265.0</v>
      </c>
      <c r="E3812" s="37">
        <v>3.0</v>
      </c>
      <c r="F3812" s="24" t="str">
        <f t="array" ref="F3812">"https://www.google.com/maps/search/?api=1&amp;query=" &amp; A3812 &amp; "," &amp; B3812</f>
        <v>https://www.google.com/maps/search/?api=1&amp;query=-30.89513190836310,-55.55695009547270</v>
      </c>
      <c r="G3812" s="25" t="str">
        <f t="array" ref="G3812">"https://earth.google.com/web/search/" &amp; A3812 &amp; "," &amp; B3812</f>
        <v>https://earth.google.com/web/search/-30.89513190836310,-55.55695009547270</v>
      </c>
      <c r="H3812" s="12"/>
      <c r="I3812" s="12"/>
      <c r="J3812" s="12"/>
      <c r="K3812" s="12"/>
      <c r="L3812" s="12"/>
      <c r="M3812" s="12"/>
      <c r="N3812" s="12"/>
      <c r="O3812" s="12"/>
      <c r="P3812" s="12"/>
      <c r="Q3812" s="12"/>
      <c r="R3812" s="12"/>
      <c r="S3812" s="12"/>
      <c r="T3812" s="12"/>
      <c r="U3812" s="12"/>
      <c r="V3812" s="12"/>
      <c r="W3812" s="12"/>
      <c r="X3812" s="12"/>
      <c r="Y3812" s="12"/>
      <c r="Z3812" s="12"/>
      <c r="AA3812" s="12"/>
    </row>
    <row r="3813" ht="26.25" customHeight="1">
      <c r="A3813" s="28" t="s">
        <v>7636</v>
      </c>
      <c r="B3813" s="29" t="s">
        <v>7637</v>
      </c>
      <c r="C3813" s="30">
        <v>4.0</v>
      </c>
      <c r="D3813" s="31">
        <v>265.0</v>
      </c>
      <c r="E3813" s="31">
        <v>4.0</v>
      </c>
      <c r="F3813" s="32" t="str">
        <f t="array" ref="F3813">"https://www.google.com/maps/search/?api=1&amp;query=" &amp; A3813 &amp; "," &amp; B3813</f>
        <v>https://www.google.com/maps/search/?api=1&amp;query=-30.89521488047580,-55.55674655660630</v>
      </c>
      <c r="G3813" s="33" t="str">
        <f t="array" ref="G3813">"https://earth.google.com/web/search/" &amp; A3813 &amp; "," &amp; B3813</f>
        <v>https://earth.google.com/web/search/-30.89521488047580,-55.55674655660630</v>
      </c>
      <c r="H3813" s="12"/>
      <c r="I3813" s="12"/>
      <c r="J3813" s="12"/>
      <c r="K3813" s="12"/>
      <c r="L3813" s="12"/>
      <c r="M3813" s="12"/>
      <c r="N3813" s="12"/>
      <c r="O3813" s="12"/>
      <c r="P3813" s="12"/>
      <c r="Q3813" s="12"/>
      <c r="R3813" s="12"/>
      <c r="S3813" s="12"/>
      <c r="T3813" s="12"/>
      <c r="U3813" s="12"/>
      <c r="V3813" s="12"/>
      <c r="W3813" s="12"/>
      <c r="X3813" s="12"/>
      <c r="Y3813" s="12"/>
      <c r="Z3813" s="12"/>
      <c r="AA3813" s="12"/>
    </row>
    <row r="3814" ht="26.25" customHeight="1">
      <c r="A3814" s="34" t="s">
        <v>7638</v>
      </c>
      <c r="B3814" s="35" t="s">
        <v>7639</v>
      </c>
      <c r="C3814" s="36">
        <v>4.0</v>
      </c>
      <c r="D3814" s="37">
        <v>265.0</v>
      </c>
      <c r="E3814" s="37">
        <v>5.0</v>
      </c>
      <c r="F3814" s="24" t="str">
        <f t="array" ref="F3814">"https://www.google.com/maps/search/?api=1&amp;query=" &amp; A3814 &amp; "," &amp; B3814</f>
        <v>https://www.google.com/maps/search/?api=1&amp;query=-30.89504939178660,-5.55565572178356</v>
      </c>
      <c r="G3814" s="25" t="str">
        <f t="array" ref="G3814">"https://earth.google.com/web/search/" &amp; A3814 &amp; "," &amp; B3814</f>
        <v>https://earth.google.com/web/search/-30.89504939178660,-5.55565572178356</v>
      </c>
      <c r="H3814" s="12"/>
      <c r="I3814" s="12"/>
      <c r="J3814" s="12"/>
      <c r="K3814" s="12"/>
      <c r="L3814" s="12"/>
      <c r="M3814" s="12"/>
      <c r="N3814" s="12"/>
      <c r="O3814" s="12"/>
      <c r="P3814" s="12"/>
      <c r="Q3814" s="12"/>
      <c r="R3814" s="12"/>
      <c r="S3814" s="12"/>
      <c r="T3814" s="12"/>
      <c r="U3814" s="12"/>
      <c r="V3814" s="12"/>
      <c r="W3814" s="12"/>
      <c r="X3814" s="12"/>
      <c r="Y3814" s="12"/>
      <c r="Z3814" s="12"/>
      <c r="AA3814" s="12"/>
    </row>
    <row r="3815" ht="26.25" customHeight="1">
      <c r="A3815" s="28" t="s">
        <v>7640</v>
      </c>
      <c r="B3815" s="29" t="s">
        <v>7641</v>
      </c>
      <c r="C3815" s="30">
        <v>4.0</v>
      </c>
      <c r="D3815" s="31">
        <v>265.0</v>
      </c>
      <c r="E3815" s="31">
        <v>6.0</v>
      </c>
      <c r="F3815" s="32" t="str">
        <f t="array" ref="F3815">"https://www.google.com/maps/search/?api=1&amp;query=" &amp; A3815 &amp; "," &amp; B3815</f>
        <v>https://www.google.com/maps/search/?api=1&amp;query=-30.89456661846300,-55.55625945454320</v>
      </c>
      <c r="G3815" s="33" t="str">
        <f t="array" ref="G3815">"https://earth.google.com/web/search/" &amp; A3815 &amp; "," &amp; B3815</f>
        <v>https://earth.google.com/web/search/-30.89456661846300,-55.55625945454320</v>
      </c>
      <c r="H3815" s="12"/>
      <c r="I3815" s="12"/>
      <c r="J3815" s="12"/>
      <c r="K3815" s="12"/>
      <c r="L3815" s="12"/>
      <c r="M3815" s="12"/>
      <c r="N3815" s="12"/>
      <c r="O3815" s="12"/>
      <c r="P3815" s="12"/>
      <c r="Q3815" s="12"/>
      <c r="R3815" s="12"/>
      <c r="S3815" s="12"/>
      <c r="T3815" s="12"/>
      <c r="U3815" s="12"/>
      <c r="V3815" s="12"/>
      <c r="W3815" s="12"/>
      <c r="X3815" s="12"/>
      <c r="Y3815" s="12"/>
      <c r="Z3815" s="12"/>
      <c r="AA3815" s="12"/>
    </row>
    <row r="3816" ht="26.25" customHeight="1">
      <c r="A3816" s="34" t="s">
        <v>7642</v>
      </c>
      <c r="B3816" s="35" t="s">
        <v>7643</v>
      </c>
      <c r="C3816" s="36">
        <v>4.0</v>
      </c>
      <c r="D3816" s="37">
        <v>265.0</v>
      </c>
      <c r="E3816" s="37">
        <v>7.0</v>
      </c>
      <c r="F3816" s="24" t="str">
        <f t="array" ref="F3816">"https://www.google.com/maps/search/?api=1&amp;query=" &amp; A3816 &amp; "," &amp; B3816</f>
        <v>https://www.google.com/maps/search/?api=1&amp;query=-30.89447277289740,-55.55636781307220</v>
      </c>
      <c r="G3816" s="25" t="str">
        <f t="array" ref="G3816">"https://earth.google.com/web/search/" &amp; A3816 &amp; "," &amp; B3816</f>
        <v>https://earth.google.com/web/search/-30.89447277289740,-55.55636781307220</v>
      </c>
      <c r="H3816" s="12"/>
      <c r="I3816" s="12"/>
      <c r="J3816" s="12"/>
      <c r="K3816" s="12"/>
      <c r="L3816" s="12"/>
      <c r="M3816" s="12"/>
      <c r="N3816" s="12"/>
      <c r="O3816" s="12"/>
      <c r="P3816" s="12"/>
      <c r="Q3816" s="12"/>
      <c r="R3816" s="12"/>
      <c r="S3816" s="12"/>
      <c r="T3816" s="12"/>
      <c r="U3816" s="12"/>
      <c r="V3816" s="12"/>
      <c r="W3816" s="12"/>
      <c r="X3816" s="12"/>
      <c r="Y3816" s="12"/>
      <c r="Z3816" s="12"/>
      <c r="AA3816" s="12"/>
    </row>
    <row r="3817" ht="26.25" customHeight="1">
      <c r="A3817" s="28" t="s">
        <v>7644</v>
      </c>
      <c r="B3817" s="29" t="s">
        <v>7645</v>
      </c>
      <c r="C3817" s="30">
        <v>4.0</v>
      </c>
      <c r="D3817" s="31">
        <v>265.0</v>
      </c>
      <c r="E3817" s="31">
        <v>8.0</v>
      </c>
      <c r="F3817" s="32" t="str">
        <f t="array" ref="F3817">"https://www.google.com/maps/search/?api=1&amp;query=" &amp; A3817 &amp; "," &amp; B3817</f>
        <v>https://www.google.com/maps/search/?api=1&amp;query=-30.89430038523460,-55.55670967167270</v>
      </c>
      <c r="G3817" s="33" t="str">
        <f t="array" ref="G3817">"https://earth.google.com/web/search/" &amp; A3817 &amp; "," &amp; B3817</f>
        <v>https://earth.google.com/web/search/-30.89430038523460,-55.55670967167270</v>
      </c>
      <c r="H3817" s="12"/>
      <c r="I3817" s="12"/>
      <c r="J3817" s="12"/>
      <c r="K3817" s="12"/>
      <c r="L3817" s="12"/>
      <c r="M3817" s="12"/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/>
      <c r="AA3817" s="12"/>
    </row>
    <row r="3818" ht="26.25" customHeight="1">
      <c r="A3818" s="34" t="s">
        <v>7646</v>
      </c>
      <c r="B3818" s="35" t="s">
        <v>7647</v>
      </c>
      <c r="C3818" s="36">
        <v>4.0</v>
      </c>
      <c r="D3818" s="37">
        <v>266.0</v>
      </c>
      <c r="E3818" s="37">
        <v>1.0</v>
      </c>
      <c r="F3818" s="24" t="str">
        <f t="array" ref="F3818">"https://www.google.com/maps/search/?api=1&amp;query=" &amp; A3818 &amp; "," &amp; B3818</f>
        <v>https://www.google.com/maps/search/?api=1&amp;query=-30.89539745669800,-5.55564074384054</v>
      </c>
      <c r="G3818" s="25" t="str">
        <f t="array" ref="G3818">"https://earth.google.com/web/search/" &amp; A3818 &amp; "," &amp; B3818</f>
        <v>https://earth.google.com/web/search/-30.89539745669800,-5.55564074384054</v>
      </c>
      <c r="H3818" s="12"/>
      <c r="I3818" s="12"/>
      <c r="J3818" s="12"/>
      <c r="K3818" s="12"/>
      <c r="L3818" s="12"/>
      <c r="M3818" s="12"/>
      <c r="N3818" s="12"/>
      <c r="O3818" s="12"/>
      <c r="P3818" s="12"/>
      <c r="Q3818" s="12"/>
      <c r="R3818" s="12"/>
      <c r="S3818" s="12"/>
      <c r="T3818" s="12"/>
      <c r="U3818" s="12"/>
      <c r="V3818" s="12"/>
      <c r="W3818" s="12"/>
      <c r="X3818" s="12"/>
      <c r="Y3818" s="12"/>
      <c r="Z3818" s="12"/>
      <c r="AA3818" s="12"/>
    </row>
    <row r="3819" ht="26.25" customHeight="1">
      <c r="A3819" s="28" t="s">
        <v>7648</v>
      </c>
      <c r="B3819" s="29" t="s">
        <v>7649</v>
      </c>
      <c r="C3819" s="30">
        <v>4.0</v>
      </c>
      <c r="D3819" s="31">
        <v>266.0</v>
      </c>
      <c r="E3819" s="31">
        <v>2.0</v>
      </c>
      <c r="F3819" s="32" t="str">
        <f t="array" ref="F3819">"https://www.google.com/maps/search/?api=1&amp;query=" &amp; A3819 &amp; "," &amp; B3819</f>
        <v>https://www.google.com/maps/search/?api=1&amp;query=-30.89546048072110,-5.55563218725153</v>
      </c>
      <c r="G3819" s="33" t="str">
        <f t="array" ref="G3819">"https://earth.google.com/web/search/" &amp; A3819 &amp; "," &amp; B3819</f>
        <v>https://earth.google.com/web/search/-30.89546048072110,-5.55563218725153</v>
      </c>
      <c r="H3819" s="12"/>
      <c r="I3819" s="12"/>
      <c r="J3819" s="12"/>
      <c r="K3819" s="12"/>
      <c r="L3819" s="12"/>
      <c r="M3819" s="12"/>
      <c r="N3819" s="12"/>
      <c r="O3819" s="12"/>
      <c r="P3819" s="12"/>
      <c r="Q3819" s="12"/>
      <c r="R3819" s="12"/>
      <c r="S3819" s="12"/>
      <c r="T3819" s="12"/>
      <c r="U3819" s="12"/>
      <c r="V3819" s="12"/>
      <c r="W3819" s="12"/>
      <c r="X3819" s="12"/>
      <c r="Y3819" s="12"/>
      <c r="Z3819" s="12"/>
      <c r="AA3819" s="12"/>
    </row>
    <row r="3820" ht="26.25" customHeight="1">
      <c r="A3820" s="34" t="s">
        <v>7650</v>
      </c>
      <c r="B3820" s="35" t="s">
        <v>7651</v>
      </c>
      <c r="C3820" s="36">
        <v>4.0</v>
      </c>
      <c r="D3820" s="37">
        <v>266.0</v>
      </c>
      <c r="E3820" s="37">
        <v>3.0</v>
      </c>
      <c r="F3820" s="24" t="str">
        <f t="array" ref="F3820">"https://www.google.com/maps/search/?api=1&amp;query=" &amp; A3820 &amp; "," &amp; B3820</f>
        <v>https://www.google.com/maps/search/?api=1&amp;query=-30.89551661200660,-55.55624120520480</v>
      </c>
      <c r="G3820" s="25" t="str">
        <f t="array" ref="G3820">"https://earth.google.com/web/search/" &amp; A3820 &amp; "," &amp; B3820</f>
        <v>https://earth.google.com/web/search/-30.89551661200660,-55.55624120520480</v>
      </c>
      <c r="H3820" s="12"/>
      <c r="I3820" s="12"/>
      <c r="J3820" s="12"/>
      <c r="K3820" s="12"/>
      <c r="L3820" s="12"/>
      <c r="M3820" s="12"/>
      <c r="N3820" s="12"/>
      <c r="O3820" s="12"/>
      <c r="P3820" s="12"/>
      <c r="Q3820" s="12"/>
      <c r="R3820" s="12"/>
      <c r="S3820" s="12"/>
      <c r="T3820" s="12"/>
      <c r="U3820" s="12"/>
      <c r="V3820" s="12"/>
      <c r="W3820" s="12"/>
      <c r="X3820" s="12"/>
      <c r="Y3820" s="12"/>
      <c r="Z3820" s="12"/>
      <c r="AA3820" s="12"/>
    </row>
    <row r="3821" ht="26.25" customHeight="1">
      <c r="A3821" s="28" t="s">
        <v>7652</v>
      </c>
      <c r="B3821" s="29" t="s">
        <v>7653</v>
      </c>
      <c r="C3821" s="30">
        <v>4.0</v>
      </c>
      <c r="D3821" s="31">
        <v>266.0</v>
      </c>
      <c r="E3821" s="31">
        <v>4.0</v>
      </c>
      <c r="F3821" s="32" t="str">
        <f t="array" ref="F3821">"https://www.google.com/maps/search/?api=1&amp;query=" &amp; A3821 &amp; "," &amp; B3821</f>
        <v>https://www.google.com/maps/search/?api=1&amp;query=-30.89556107507200,-55.55615450437070</v>
      </c>
      <c r="G3821" s="33" t="str">
        <f t="array" ref="G3821">"https://earth.google.com/web/search/" &amp; A3821 &amp; "," &amp; B3821</f>
        <v>https://earth.google.com/web/search/-30.89556107507200,-55.55615450437070</v>
      </c>
      <c r="H3821" s="12"/>
      <c r="I3821" s="12"/>
      <c r="J3821" s="12"/>
      <c r="K3821" s="12"/>
      <c r="L3821" s="12"/>
      <c r="M3821" s="12"/>
      <c r="N3821" s="12"/>
      <c r="O3821" s="12"/>
      <c r="P3821" s="12"/>
      <c r="Q3821" s="12"/>
      <c r="R3821" s="12"/>
      <c r="S3821" s="12"/>
      <c r="T3821" s="12"/>
      <c r="U3821" s="12"/>
      <c r="V3821" s="12"/>
      <c r="W3821" s="12"/>
      <c r="X3821" s="12"/>
      <c r="Y3821" s="12"/>
      <c r="Z3821" s="12"/>
      <c r="AA3821" s="12"/>
    </row>
    <row r="3822" ht="26.25" customHeight="1">
      <c r="A3822" s="34" t="s">
        <v>7654</v>
      </c>
      <c r="B3822" s="35" t="s">
        <v>7655</v>
      </c>
      <c r="C3822" s="36">
        <v>4.0</v>
      </c>
      <c r="D3822" s="37">
        <v>266.0</v>
      </c>
      <c r="E3822" s="37">
        <v>5.0</v>
      </c>
      <c r="F3822" s="24" t="str">
        <f t="array" ref="F3822">"https://www.google.com/maps/search/?api=1&amp;query=" &amp; A3822 &amp; "," &amp; B3822</f>
        <v>https://www.google.com/maps/search/?api=1&amp;query=-30.89562107013520,-55.55602701024010</v>
      </c>
      <c r="G3822" s="25" t="str">
        <f t="array" ref="G3822">"https://earth.google.com/web/search/" &amp; A3822 &amp; "," &amp; B3822</f>
        <v>https://earth.google.com/web/search/-30.89562107013520,-55.55602701024010</v>
      </c>
      <c r="H3822" s="12"/>
      <c r="I3822" s="12"/>
      <c r="J3822" s="12"/>
      <c r="K3822" s="12"/>
      <c r="L3822" s="12"/>
      <c r="M3822" s="12"/>
      <c r="N3822" s="12"/>
      <c r="O3822" s="12"/>
      <c r="P3822" s="12"/>
      <c r="Q3822" s="12"/>
      <c r="R3822" s="12"/>
      <c r="S3822" s="12"/>
      <c r="T3822" s="12"/>
      <c r="U3822" s="12"/>
      <c r="V3822" s="12"/>
      <c r="W3822" s="12"/>
      <c r="X3822" s="12"/>
      <c r="Y3822" s="12"/>
      <c r="Z3822" s="12"/>
      <c r="AA3822" s="12"/>
    </row>
    <row r="3823" ht="26.25" customHeight="1">
      <c r="A3823" s="28" t="s">
        <v>7656</v>
      </c>
      <c r="B3823" s="29" t="s">
        <v>7657</v>
      </c>
      <c r="C3823" s="30">
        <v>4.0</v>
      </c>
      <c r="D3823" s="31">
        <v>266.0</v>
      </c>
      <c r="E3823" s="31">
        <v>6.0</v>
      </c>
      <c r="F3823" s="32" t="str">
        <f t="array" ref="F3823">"https://www.google.com/maps/search/?api=1&amp;query=" &amp; A3823 &amp; "," &amp; B3823</f>
        <v>https://www.google.com/maps/search/?api=1&amp;query=-30.89566669238330,-55.55592626098320</v>
      </c>
      <c r="G3823" s="33" t="str">
        <f t="array" ref="G3823">"https://earth.google.com/web/search/" &amp; A3823 &amp; "," &amp; B3823</f>
        <v>https://earth.google.com/web/search/-30.89566669238330,-55.55592626098320</v>
      </c>
      <c r="H3823" s="12"/>
      <c r="I3823" s="12"/>
      <c r="J3823" s="12"/>
      <c r="K3823" s="12"/>
      <c r="L3823" s="12"/>
      <c r="M3823" s="12"/>
      <c r="N3823" s="12"/>
      <c r="O3823" s="12"/>
      <c r="P3823" s="12"/>
      <c r="Q3823" s="12"/>
      <c r="R3823" s="12"/>
      <c r="S3823" s="12"/>
      <c r="T3823" s="12"/>
      <c r="U3823" s="12"/>
      <c r="V3823" s="12"/>
      <c r="W3823" s="12"/>
      <c r="X3823" s="12"/>
      <c r="Y3823" s="12"/>
      <c r="Z3823" s="12"/>
      <c r="AA3823" s="12"/>
    </row>
    <row r="3824" ht="26.25" customHeight="1">
      <c r="A3824" s="34" t="s">
        <v>7658</v>
      </c>
      <c r="B3824" s="35" t="s">
        <v>7659</v>
      </c>
      <c r="C3824" s="36">
        <v>4.0</v>
      </c>
      <c r="D3824" s="37">
        <v>266.0</v>
      </c>
      <c r="E3824" s="37">
        <v>7.0</v>
      </c>
      <c r="F3824" s="24" t="str">
        <f t="array" ref="F3824">"https://www.google.com/maps/search/?api=1&amp;query=" &amp; A3824 &amp; "," &amp; B3824</f>
        <v>https://www.google.com/maps/search/?api=1&amp;query=-30.89507913644130,-55.55529142369890</v>
      </c>
      <c r="G3824" s="25" t="str">
        <f t="array" ref="G3824">"https://earth.google.com/web/search/" &amp; A3824 &amp; "," &amp; B3824</f>
        <v>https://earth.google.com/web/search/-30.89507913644130,-55.55529142369890</v>
      </c>
      <c r="H3824" s="12"/>
      <c r="I3824" s="12"/>
      <c r="J3824" s="12"/>
      <c r="K3824" s="12"/>
      <c r="L3824" s="12"/>
      <c r="M3824" s="12"/>
      <c r="N3824" s="12"/>
      <c r="O3824" s="12"/>
      <c r="P3824" s="12"/>
      <c r="Q3824" s="12"/>
      <c r="R3824" s="12"/>
      <c r="S3824" s="12"/>
      <c r="T3824" s="12"/>
      <c r="U3824" s="12"/>
      <c r="V3824" s="12"/>
      <c r="W3824" s="12"/>
      <c r="X3824" s="12"/>
      <c r="Y3824" s="12"/>
      <c r="Z3824" s="12"/>
      <c r="AA3824" s="12"/>
    </row>
    <row r="3825" ht="26.25" customHeight="1">
      <c r="A3825" s="28" t="s">
        <v>7660</v>
      </c>
      <c r="B3825" s="29" t="s">
        <v>7661</v>
      </c>
      <c r="C3825" s="30">
        <v>4.0</v>
      </c>
      <c r="D3825" s="31">
        <v>266.0</v>
      </c>
      <c r="E3825" s="31">
        <v>8.0</v>
      </c>
      <c r="F3825" s="32" t="str">
        <f t="array" ref="F3825">"https://www.google.com/maps/search/?api=1&amp;query=" &amp; A3825 &amp; "," &amp; B3825</f>
        <v>https://www.google.com/maps/search/?api=1&amp;query=-30.89488563084570,-55.55559205096220</v>
      </c>
      <c r="G3825" s="33" t="str">
        <f t="array" ref="G3825">"https://earth.google.com/web/search/" &amp; A3825 &amp; "," &amp; B3825</f>
        <v>https://earth.google.com/web/search/-30.89488563084570,-55.55559205096220</v>
      </c>
      <c r="H3825" s="12"/>
      <c r="I3825" s="12"/>
      <c r="J3825" s="12"/>
      <c r="K3825" s="12"/>
      <c r="L3825" s="12"/>
      <c r="M3825" s="12"/>
      <c r="N3825" s="12"/>
      <c r="O3825" s="12"/>
      <c r="P3825" s="12"/>
      <c r="Q3825" s="12"/>
      <c r="R3825" s="12"/>
      <c r="S3825" s="12"/>
      <c r="T3825" s="12"/>
      <c r="U3825" s="12"/>
      <c r="V3825" s="12"/>
      <c r="W3825" s="12"/>
      <c r="X3825" s="12"/>
      <c r="Y3825" s="12"/>
      <c r="Z3825" s="12"/>
      <c r="AA3825" s="12"/>
    </row>
    <row r="3826" ht="26.25" customHeight="1">
      <c r="A3826" s="34" t="s">
        <v>7662</v>
      </c>
      <c r="B3826" s="35" t="s">
        <v>7663</v>
      </c>
      <c r="C3826" s="36">
        <v>4.0</v>
      </c>
      <c r="D3826" s="37">
        <v>266.0</v>
      </c>
      <c r="E3826" s="37">
        <v>9.0</v>
      </c>
      <c r="F3826" s="24" t="str">
        <f t="array" ref="F3826">"https://www.google.com/maps/search/?api=1&amp;query=" &amp; A3826 &amp; "," &amp; B3826</f>
        <v>https://www.google.com/maps/search/?api=1&amp;query=-30.89473116333180,-55.55589137854510</v>
      </c>
      <c r="G3826" s="25" t="str">
        <f t="array" ref="G3826">"https://earth.google.com/web/search/" &amp; A3826 &amp; "," &amp; B3826</f>
        <v>https://earth.google.com/web/search/-30.89473116333180,-55.55589137854510</v>
      </c>
      <c r="H3826" s="12"/>
      <c r="I3826" s="12"/>
      <c r="J3826" s="12"/>
      <c r="K3826" s="12"/>
      <c r="L3826" s="12"/>
      <c r="M3826" s="12"/>
      <c r="N3826" s="12"/>
      <c r="O3826" s="12"/>
      <c r="P3826" s="12"/>
      <c r="Q3826" s="12"/>
      <c r="R3826" s="12"/>
      <c r="S3826" s="12"/>
      <c r="T3826" s="12"/>
      <c r="U3826" s="12"/>
      <c r="V3826" s="12"/>
      <c r="W3826" s="12"/>
      <c r="X3826" s="12"/>
      <c r="Y3826" s="12"/>
      <c r="Z3826" s="12"/>
      <c r="AA3826" s="12"/>
    </row>
    <row r="3827" ht="26.25" customHeight="1">
      <c r="A3827" s="28" t="s">
        <v>7664</v>
      </c>
      <c r="B3827" s="29" t="s">
        <v>7665</v>
      </c>
      <c r="C3827" s="30">
        <v>4.0</v>
      </c>
      <c r="D3827" s="31">
        <v>266.0</v>
      </c>
      <c r="E3827" s="31">
        <v>10.0</v>
      </c>
      <c r="F3827" s="32" t="str">
        <f t="array" ref="F3827">"https://www.google.com/maps/search/?api=1&amp;query=" &amp; A3827 &amp; "," &amp; B3827</f>
        <v>https://www.google.com/maps/search/?api=1&amp;query=-30.89465013514650,-55.55599855612470</v>
      </c>
      <c r="G3827" s="33" t="str">
        <f t="array" ref="G3827">"https://earth.google.com/web/search/" &amp; A3827 &amp; "," &amp; B3827</f>
        <v>https://earth.google.com/web/search/-30.89465013514650,-55.55599855612470</v>
      </c>
      <c r="H3827" s="12"/>
      <c r="I3827" s="12"/>
      <c r="J3827" s="12"/>
      <c r="K3827" s="12"/>
      <c r="L3827" s="12"/>
      <c r="M3827" s="12"/>
      <c r="N3827" s="12"/>
      <c r="O3827" s="12"/>
      <c r="P3827" s="12"/>
      <c r="Q3827" s="12"/>
      <c r="R3827" s="12"/>
      <c r="S3827" s="12"/>
      <c r="T3827" s="12"/>
      <c r="U3827" s="12"/>
      <c r="V3827" s="12"/>
      <c r="W3827" s="12"/>
      <c r="X3827" s="12"/>
      <c r="Y3827" s="12"/>
      <c r="Z3827" s="12"/>
      <c r="AA3827" s="12"/>
    </row>
    <row r="3828" ht="26.25" customHeight="1">
      <c r="A3828" s="34" t="s">
        <v>7666</v>
      </c>
      <c r="B3828" s="35" t="s">
        <v>7667</v>
      </c>
      <c r="C3828" s="36">
        <v>4.0</v>
      </c>
      <c r="D3828" s="37">
        <v>266.0</v>
      </c>
      <c r="E3828" s="37">
        <v>11.0</v>
      </c>
      <c r="F3828" s="24" t="str">
        <f t="array" ref="F3828">"https://www.google.com/maps/search/?api=1&amp;query=" &amp; A3828 &amp; "," &amp; B3828</f>
        <v>https://www.google.com/maps/search/?api=1&amp;query=-30.89470416459800,-55.55615961935090</v>
      </c>
      <c r="G3828" s="25" t="str">
        <f t="array" ref="G3828">"https://earth.google.com/web/search/" &amp; A3828 &amp; "," &amp; B3828</f>
        <v>https://earth.google.com/web/search/-30.89470416459800,-55.55615961935090</v>
      </c>
      <c r="H3828" s="12"/>
      <c r="I3828" s="12"/>
      <c r="J3828" s="12"/>
      <c r="K3828" s="12"/>
      <c r="L3828" s="12"/>
      <c r="M3828" s="12"/>
      <c r="N3828" s="12"/>
      <c r="O3828" s="12"/>
      <c r="P3828" s="12"/>
      <c r="Q3828" s="12"/>
      <c r="R3828" s="12"/>
      <c r="S3828" s="12"/>
      <c r="T3828" s="12"/>
      <c r="U3828" s="12"/>
      <c r="V3828" s="12"/>
      <c r="W3828" s="12"/>
      <c r="X3828" s="12"/>
      <c r="Y3828" s="12"/>
      <c r="Z3828" s="12"/>
      <c r="AA3828" s="12"/>
    </row>
    <row r="3829" ht="26.25" customHeight="1">
      <c r="A3829" s="28" t="s">
        <v>7668</v>
      </c>
      <c r="B3829" s="29" t="s">
        <v>7669</v>
      </c>
      <c r="C3829" s="30">
        <v>4.0</v>
      </c>
      <c r="D3829" s="31">
        <v>266.0</v>
      </c>
      <c r="E3829" s="31">
        <v>12.0</v>
      </c>
      <c r="F3829" s="32" t="str">
        <f t="array" ref="F3829">"https://www.google.com/maps/search/?api=1&amp;query=" &amp; A3829 &amp; "," &amp; B3829</f>
        <v>https://www.google.com/maps/search/?api=1&amp;query=-3.08949874159019,-55.55635392950070</v>
      </c>
      <c r="G3829" s="33" t="str">
        <f t="array" ref="G3829">"https://earth.google.com/web/search/" &amp; A3829 &amp; "," &amp; B3829</f>
        <v>https://earth.google.com/web/search/-3.08949874159019,-55.55635392950070</v>
      </c>
      <c r="H3829" s="12"/>
      <c r="I3829" s="12"/>
      <c r="J3829" s="12"/>
      <c r="K3829" s="12"/>
      <c r="L3829" s="12"/>
      <c r="M3829" s="12"/>
      <c r="N3829" s="12"/>
      <c r="O3829" s="12"/>
      <c r="P3829" s="12"/>
      <c r="Q3829" s="12"/>
      <c r="R3829" s="12"/>
      <c r="S3829" s="12"/>
      <c r="T3829" s="12"/>
      <c r="U3829" s="12"/>
      <c r="V3829" s="12"/>
      <c r="W3829" s="12"/>
      <c r="X3829" s="12"/>
      <c r="Y3829" s="12"/>
      <c r="Z3829" s="12"/>
      <c r="AA3829" s="12"/>
    </row>
    <row r="3830" ht="26.25" customHeight="1">
      <c r="A3830" s="34" t="s">
        <v>7670</v>
      </c>
      <c r="B3830" s="35" t="s">
        <v>7671</v>
      </c>
      <c r="C3830" s="36">
        <v>4.0</v>
      </c>
      <c r="D3830" s="37">
        <v>266.0</v>
      </c>
      <c r="E3830" s="37">
        <v>13.0</v>
      </c>
      <c r="F3830" s="24" t="str">
        <f t="array" ref="F3830">"https://www.google.com/maps/search/?api=1&amp;query=" &amp; A3830 &amp; "," &amp; B3830</f>
        <v>https://www.google.com/maps/search/?api=1&amp;query=-30.89504879360510,-55.55640351067750</v>
      </c>
      <c r="G3830" s="25" t="str">
        <f t="array" ref="G3830">"https://earth.google.com/web/search/" &amp; A3830 &amp; "," &amp; B3830</f>
        <v>https://earth.google.com/web/search/-30.89504879360510,-55.55640351067750</v>
      </c>
      <c r="H3830" s="12"/>
      <c r="I3830" s="12"/>
      <c r="J3830" s="12"/>
      <c r="K3830" s="12"/>
      <c r="L3830" s="12"/>
      <c r="M3830" s="12"/>
      <c r="N3830" s="12"/>
      <c r="O3830" s="12"/>
      <c r="P3830" s="12"/>
      <c r="Q3830" s="12"/>
      <c r="R3830" s="12"/>
      <c r="S3830" s="12"/>
      <c r="T3830" s="12"/>
      <c r="U3830" s="12"/>
      <c r="V3830" s="12"/>
      <c r="W3830" s="12"/>
      <c r="X3830" s="12"/>
      <c r="Y3830" s="12"/>
      <c r="Z3830" s="12"/>
      <c r="AA3830" s="12"/>
    </row>
    <row r="3831" ht="26.25" customHeight="1">
      <c r="A3831" s="28" t="s">
        <v>7672</v>
      </c>
      <c r="B3831" s="29" t="s">
        <v>7673</v>
      </c>
      <c r="C3831" s="30">
        <v>4.0</v>
      </c>
      <c r="D3831" s="31">
        <v>266.0</v>
      </c>
      <c r="E3831" s="31">
        <v>14.0</v>
      </c>
      <c r="F3831" s="32" t="str">
        <f t="array" ref="F3831">"https://www.google.com/maps/search/?api=1&amp;query=" &amp; A3831 &amp; "," &amp; B3831</f>
        <v>https://www.google.com/maps/search/?api=1&amp;query=-30.89512892543080,-55.55646447485920</v>
      </c>
      <c r="G3831" s="33" t="str">
        <f t="array" ref="G3831">"https://earth.google.com/web/search/" &amp; A3831 &amp; "," &amp; B3831</f>
        <v>https://earth.google.com/web/search/-30.89512892543080,-55.55646447485920</v>
      </c>
      <c r="H3831" s="12"/>
      <c r="I3831" s="12"/>
      <c r="J3831" s="12"/>
      <c r="K3831" s="12"/>
      <c r="L3831" s="12"/>
      <c r="M3831" s="12"/>
      <c r="N3831" s="12"/>
      <c r="O3831" s="12"/>
      <c r="P3831" s="12"/>
      <c r="Q3831" s="12"/>
      <c r="R3831" s="12"/>
      <c r="S3831" s="12"/>
      <c r="T3831" s="12"/>
      <c r="U3831" s="12"/>
      <c r="V3831" s="12"/>
      <c r="W3831" s="12"/>
      <c r="X3831" s="12"/>
      <c r="Y3831" s="12"/>
      <c r="Z3831" s="12"/>
      <c r="AA3831" s="12"/>
    </row>
    <row r="3832" ht="26.25" customHeight="1">
      <c r="A3832" s="34" t="s">
        <v>7674</v>
      </c>
      <c r="B3832" s="35" t="s">
        <v>7675</v>
      </c>
      <c r="C3832" s="36">
        <v>4.0</v>
      </c>
      <c r="D3832" s="37">
        <v>267.0</v>
      </c>
      <c r="E3832" s="37">
        <v>1.0</v>
      </c>
      <c r="F3832" s="24" t="str">
        <f t="array" ref="F3832">"https://www.google.com/maps/search/?api=1&amp;query=" &amp; A3832 &amp; "," &amp; B3832</f>
        <v>https://www.google.com/maps/search/?api=1&amp;query=-30.89584317463530,-55.55560309685330</v>
      </c>
      <c r="G3832" s="25" t="str">
        <f t="array" ref="G3832">"https://earth.google.com/web/search/" &amp; A3832 &amp; "," &amp; B3832</f>
        <v>https://earth.google.com/web/search/-30.89584317463530,-55.55560309685330</v>
      </c>
      <c r="H3832" s="12"/>
      <c r="I3832" s="12"/>
      <c r="J3832" s="12"/>
      <c r="K3832" s="12"/>
      <c r="L3832" s="12"/>
      <c r="M3832" s="12"/>
      <c r="N3832" s="12"/>
      <c r="O3832" s="12"/>
      <c r="P3832" s="12"/>
      <c r="Q3832" s="12"/>
      <c r="R3832" s="12"/>
      <c r="S3832" s="12"/>
      <c r="T3832" s="12"/>
      <c r="U3832" s="12"/>
      <c r="V3832" s="12"/>
      <c r="W3832" s="12"/>
      <c r="X3832" s="12"/>
      <c r="Y3832" s="12"/>
      <c r="Z3832" s="12"/>
      <c r="AA3832" s="12"/>
    </row>
    <row r="3833" ht="26.25" customHeight="1">
      <c r="A3833" s="28" t="s">
        <v>7676</v>
      </c>
      <c r="B3833" s="29" t="s">
        <v>7677</v>
      </c>
      <c r="C3833" s="30">
        <v>4.0</v>
      </c>
      <c r="D3833" s="31">
        <v>267.0</v>
      </c>
      <c r="E3833" s="31">
        <v>2.0</v>
      </c>
      <c r="F3833" s="32" t="str">
        <f t="array" ref="F3833">"https://www.google.com/maps/search/?api=1&amp;query=" &amp; A3833 &amp; "," &amp; B3833</f>
        <v>https://www.google.com/maps/search/?api=1&amp;query=-30.89588896628210,-55.55552977709550</v>
      </c>
      <c r="G3833" s="33" t="str">
        <f t="array" ref="G3833">"https://earth.google.com/web/search/" &amp; A3833 &amp; "," &amp; B3833</f>
        <v>https://earth.google.com/web/search/-30.89588896628210,-55.55552977709550</v>
      </c>
      <c r="H3833" s="12"/>
      <c r="I3833" s="12"/>
      <c r="J3833" s="12"/>
      <c r="K3833" s="12"/>
      <c r="L3833" s="12"/>
      <c r="M3833" s="12"/>
      <c r="N3833" s="12"/>
      <c r="O3833" s="12"/>
      <c r="P3833" s="12"/>
      <c r="Q3833" s="12"/>
      <c r="R3833" s="12"/>
      <c r="S3833" s="12"/>
      <c r="T3833" s="12"/>
      <c r="U3833" s="12"/>
      <c r="V3833" s="12"/>
      <c r="W3833" s="12"/>
      <c r="X3833" s="12"/>
      <c r="Y3833" s="12"/>
      <c r="Z3833" s="12"/>
      <c r="AA3833" s="12"/>
    </row>
    <row r="3834" ht="26.25" customHeight="1">
      <c r="A3834" s="34" t="s">
        <v>7678</v>
      </c>
      <c r="B3834" s="35" t="s">
        <v>7679</v>
      </c>
      <c r="C3834" s="36">
        <v>4.0</v>
      </c>
      <c r="D3834" s="37">
        <v>267.0</v>
      </c>
      <c r="E3834" s="37">
        <v>3.0</v>
      </c>
      <c r="F3834" s="24" t="str">
        <f t="array" ref="F3834">"https://www.google.com/maps/search/?api=1&amp;query=" &amp; A3834 &amp; "," &amp; B3834</f>
        <v>https://www.google.com/maps/search/?api=1&amp;query=-30.89598017860020,-55.55536797266770</v>
      </c>
      <c r="G3834" s="25" t="str">
        <f t="array" ref="G3834">"https://earth.google.com/web/search/" &amp; A3834 &amp; "," &amp; B3834</f>
        <v>https://earth.google.com/web/search/-30.89598017860020,-55.55536797266770</v>
      </c>
      <c r="H3834" s="12"/>
      <c r="I3834" s="12"/>
      <c r="J3834" s="12"/>
      <c r="K3834" s="12"/>
      <c r="L3834" s="12"/>
      <c r="M3834" s="12"/>
      <c r="N3834" s="12"/>
      <c r="O3834" s="12"/>
      <c r="P3834" s="12"/>
      <c r="Q3834" s="12"/>
      <c r="R3834" s="12"/>
      <c r="S3834" s="12"/>
      <c r="T3834" s="12"/>
      <c r="U3834" s="12"/>
      <c r="V3834" s="12"/>
      <c r="W3834" s="12"/>
      <c r="X3834" s="12"/>
      <c r="Y3834" s="12"/>
      <c r="Z3834" s="12"/>
      <c r="AA3834" s="12"/>
    </row>
    <row r="3835" ht="26.25" customHeight="1">
      <c r="A3835" s="28" t="s">
        <v>7680</v>
      </c>
      <c r="B3835" s="29" t="s">
        <v>7681</v>
      </c>
      <c r="C3835" s="30">
        <v>4.0</v>
      </c>
      <c r="D3835" s="31">
        <v>267.0</v>
      </c>
      <c r="E3835" s="31">
        <v>4.0</v>
      </c>
      <c r="F3835" s="32" t="str">
        <f t="array" ref="F3835">"https://www.google.com/maps/search/?api=1&amp;query=" &amp; A3835 &amp; "," &amp; B3835</f>
        <v>https://www.google.com/maps/search/?api=1&amp;query=-30.89601431734060,-55.55526877198120</v>
      </c>
      <c r="G3835" s="33" t="str">
        <f t="array" ref="G3835">"https://earth.google.com/web/search/" &amp; A3835 &amp; "," &amp; B3835</f>
        <v>https://earth.google.com/web/search/-30.89601431734060,-55.55526877198120</v>
      </c>
      <c r="H3835" s="12"/>
      <c r="I3835" s="12"/>
      <c r="J3835" s="12"/>
      <c r="K3835" s="12"/>
      <c r="L3835" s="12"/>
      <c r="M3835" s="12"/>
      <c r="N3835" s="12"/>
      <c r="O3835" s="12"/>
      <c r="P3835" s="12"/>
      <c r="Q3835" s="12"/>
      <c r="R3835" s="12"/>
      <c r="S3835" s="12"/>
      <c r="T3835" s="12"/>
      <c r="U3835" s="12"/>
      <c r="V3835" s="12"/>
      <c r="W3835" s="12"/>
      <c r="X3835" s="12"/>
      <c r="Y3835" s="12"/>
      <c r="Z3835" s="12"/>
      <c r="AA3835" s="12"/>
    </row>
    <row r="3836" ht="26.25" customHeight="1">
      <c r="A3836" s="34" t="s">
        <v>7682</v>
      </c>
      <c r="B3836" s="35" t="s">
        <v>7683</v>
      </c>
      <c r="C3836" s="36">
        <v>4.0</v>
      </c>
      <c r="D3836" s="37">
        <v>267.0</v>
      </c>
      <c r="E3836" s="37">
        <v>5.0</v>
      </c>
      <c r="F3836" s="24" t="str">
        <f t="array" ref="F3836">"https://www.google.com/maps/search/?api=1&amp;query=" &amp; A3836 &amp; "," &amp; B3836</f>
        <v>https://www.google.com/maps/search/?api=1&amp;query=-30.89605915084810,-55.55519723473430</v>
      </c>
      <c r="G3836" s="25" t="str">
        <f t="array" ref="G3836">"https://earth.google.com/web/search/" &amp; A3836 &amp; "," &amp; B3836</f>
        <v>https://earth.google.com/web/search/-30.89605915084810,-55.55519723473430</v>
      </c>
      <c r="H3836" s="12"/>
      <c r="I3836" s="12"/>
      <c r="J3836" s="12"/>
      <c r="K3836" s="12"/>
      <c r="L3836" s="12"/>
      <c r="M3836" s="12"/>
      <c r="N3836" s="12"/>
      <c r="O3836" s="12"/>
      <c r="P3836" s="12"/>
      <c r="Q3836" s="12"/>
      <c r="R3836" s="12"/>
      <c r="S3836" s="12"/>
      <c r="T3836" s="12"/>
      <c r="U3836" s="12"/>
      <c r="V3836" s="12"/>
      <c r="W3836" s="12"/>
      <c r="X3836" s="12"/>
      <c r="Y3836" s="12"/>
      <c r="Z3836" s="12"/>
      <c r="AA3836" s="12"/>
    </row>
    <row r="3837" ht="26.25" customHeight="1">
      <c r="A3837" s="28" t="s">
        <v>7684</v>
      </c>
      <c r="B3837" s="29" t="s">
        <v>7685</v>
      </c>
      <c r="C3837" s="30">
        <v>4.0</v>
      </c>
      <c r="D3837" s="31">
        <v>267.0</v>
      </c>
      <c r="E3837" s="31">
        <v>6.0</v>
      </c>
      <c r="F3837" s="32" t="str">
        <f t="array" ref="F3837">"https://www.google.com/maps/search/?api=1&amp;query=" &amp; A3837 &amp; "," &amp; B3837</f>
        <v>https://www.google.com/maps/search/?api=1&amp;query=-30.89610917695040,-55.55509225218750</v>
      </c>
      <c r="G3837" s="33" t="str">
        <f t="array" ref="G3837">"https://earth.google.com/web/search/" &amp; A3837 &amp; "," &amp; B3837</f>
        <v>https://earth.google.com/web/search/-30.89610917695040,-55.55509225218750</v>
      </c>
      <c r="H3837" s="12"/>
      <c r="I3837" s="12"/>
      <c r="J3837" s="12"/>
      <c r="K3837" s="12"/>
      <c r="L3837" s="12"/>
      <c r="M3837" s="12"/>
      <c r="N3837" s="12"/>
      <c r="O3837" s="12"/>
      <c r="P3837" s="12"/>
      <c r="Q3837" s="12"/>
      <c r="R3837" s="12"/>
      <c r="S3837" s="12"/>
      <c r="T3837" s="12"/>
      <c r="U3837" s="12"/>
      <c r="V3837" s="12"/>
      <c r="W3837" s="12"/>
      <c r="X3837" s="12"/>
      <c r="Y3837" s="12"/>
      <c r="Z3837" s="12"/>
      <c r="AA3837" s="12"/>
    </row>
    <row r="3838" ht="26.25" customHeight="1">
      <c r="A3838" s="34" t="s">
        <v>7686</v>
      </c>
      <c r="B3838" s="35" t="s">
        <v>7687</v>
      </c>
      <c r="C3838" s="36">
        <v>4.0</v>
      </c>
      <c r="D3838" s="37">
        <v>267.0</v>
      </c>
      <c r="E3838" s="37">
        <v>7.0</v>
      </c>
      <c r="F3838" s="24" t="str">
        <f t="array" ref="F3838">"https://www.google.com/maps/search/?api=1&amp;query=" &amp; A3838 &amp; "," &amp; B3838</f>
        <v>https://www.google.com/maps/search/?api=1&amp;query=-30.89620114685080,-55.55494092803960</v>
      </c>
      <c r="G3838" s="25" t="str">
        <f t="array" ref="G3838">"https://earth.google.com/web/search/" &amp; A3838 &amp; "," &amp; B3838</f>
        <v>https://earth.google.com/web/search/-30.89620114685080,-55.55494092803960</v>
      </c>
      <c r="H3838" s="12"/>
      <c r="I3838" s="12"/>
      <c r="J3838" s="12"/>
      <c r="K3838" s="12"/>
      <c r="L3838" s="12"/>
      <c r="M3838" s="12"/>
      <c r="N3838" s="12"/>
      <c r="O3838" s="12"/>
      <c r="P3838" s="12"/>
      <c r="Q3838" s="12"/>
      <c r="R3838" s="12"/>
      <c r="S3838" s="12"/>
      <c r="T3838" s="12"/>
      <c r="U3838" s="12"/>
      <c r="V3838" s="12"/>
      <c r="W3838" s="12"/>
      <c r="X3838" s="12"/>
      <c r="Y3838" s="12"/>
      <c r="Z3838" s="12"/>
      <c r="AA3838" s="12"/>
    </row>
    <row r="3839" ht="26.25" customHeight="1">
      <c r="A3839" s="28" t="s">
        <v>7688</v>
      </c>
      <c r="B3839" s="29" t="s">
        <v>7689</v>
      </c>
      <c r="C3839" s="30">
        <v>4.0</v>
      </c>
      <c r="D3839" s="31">
        <v>267.0</v>
      </c>
      <c r="E3839" s="31">
        <v>8.0</v>
      </c>
      <c r="F3839" s="32" t="str">
        <f t="array" ref="F3839">"https://www.google.com/maps/search/?api=1&amp;query=" &amp; A3839 &amp; "," &amp; B3839</f>
        <v>https://www.google.com/maps/search/?api=1&amp;query=-30.89596519849990,-55.55469426251410</v>
      </c>
      <c r="G3839" s="33" t="str">
        <f t="array" ref="G3839">"https://earth.google.com/web/search/" &amp; A3839 &amp; "," &amp; B3839</f>
        <v>https://earth.google.com/web/search/-30.89596519849990,-55.55469426251410</v>
      </c>
      <c r="H3839" s="12"/>
      <c r="I3839" s="12"/>
      <c r="J3839" s="12"/>
      <c r="K3839" s="12"/>
      <c r="L3839" s="12"/>
      <c r="M3839" s="12"/>
      <c r="N3839" s="12"/>
      <c r="O3839" s="12"/>
      <c r="P3839" s="12"/>
      <c r="Q3839" s="12"/>
      <c r="R3839" s="12"/>
      <c r="S3839" s="12"/>
      <c r="T3839" s="12"/>
      <c r="U3839" s="12"/>
      <c r="V3839" s="12"/>
      <c r="W3839" s="12"/>
      <c r="X3839" s="12"/>
      <c r="Y3839" s="12"/>
      <c r="Z3839" s="12"/>
      <c r="AA3839" s="12"/>
    </row>
    <row r="3840" ht="26.25" customHeight="1">
      <c r="A3840" s="34" t="s">
        <v>7690</v>
      </c>
      <c r="B3840" s="35" t="s">
        <v>7691</v>
      </c>
      <c r="C3840" s="36">
        <v>4.0</v>
      </c>
      <c r="D3840" s="37">
        <v>267.0</v>
      </c>
      <c r="E3840" s="37">
        <v>9.0</v>
      </c>
      <c r="F3840" s="24" t="str">
        <f t="array" ref="F3840">"https://www.google.com/maps/search/?api=1&amp;query=" &amp; A3840 &amp; "," &amp; B3840</f>
        <v>https://www.google.com/maps/search/?api=1&amp;query=-30.89586038445570,-55.55462769828840</v>
      </c>
      <c r="G3840" s="25" t="str">
        <f t="array" ref="G3840">"https://earth.google.com/web/search/" &amp; A3840 &amp; "," &amp; B3840</f>
        <v>https://earth.google.com/web/search/-30.89586038445570,-55.55462769828840</v>
      </c>
      <c r="H3840" s="12"/>
      <c r="I3840" s="12"/>
      <c r="J3840" s="12"/>
      <c r="K3840" s="12"/>
      <c r="L3840" s="12"/>
      <c r="M3840" s="12"/>
      <c r="N3840" s="12"/>
      <c r="O3840" s="12"/>
      <c r="P3840" s="12"/>
      <c r="Q3840" s="12"/>
      <c r="R3840" s="12"/>
      <c r="S3840" s="12"/>
      <c r="T3840" s="12"/>
      <c r="U3840" s="12"/>
      <c r="V3840" s="12"/>
      <c r="W3840" s="12"/>
      <c r="X3840" s="12"/>
      <c r="Y3840" s="12"/>
      <c r="Z3840" s="12"/>
      <c r="AA3840" s="12"/>
    </row>
    <row r="3841" ht="26.25" customHeight="1">
      <c r="A3841" s="28" t="s">
        <v>7692</v>
      </c>
      <c r="B3841" s="29" t="s">
        <v>7693</v>
      </c>
      <c r="C3841" s="30">
        <v>4.0</v>
      </c>
      <c r="D3841" s="31">
        <v>267.0</v>
      </c>
      <c r="E3841" s="31">
        <v>10.0</v>
      </c>
      <c r="F3841" s="32" t="str">
        <f t="array" ref="F3841">"https://www.google.com/maps/search/?api=1&amp;query=" &amp; A3841 &amp; "," &amp; B3841</f>
        <v>https://www.google.com/maps/search/?api=1&amp;query=-30.89518271843700,-55.55510713396250</v>
      </c>
      <c r="G3841" s="33" t="str">
        <f t="array" ref="G3841">"https://earth.google.com/web/search/" &amp; A3841 &amp; "," &amp; B3841</f>
        <v>https://earth.google.com/web/search/-30.89518271843700,-55.55510713396250</v>
      </c>
      <c r="H3841" s="12"/>
      <c r="I3841" s="12"/>
      <c r="J3841" s="12"/>
      <c r="K3841" s="12"/>
      <c r="L3841" s="12"/>
      <c r="M3841" s="12"/>
      <c r="N3841" s="12"/>
      <c r="O3841" s="12"/>
      <c r="P3841" s="12"/>
      <c r="Q3841" s="12"/>
      <c r="R3841" s="12"/>
      <c r="S3841" s="12"/>
      <c r="T3841" s="12"/>
      <c r="U3841" s="12"/>
      <c r="V3841" s="12"/>
      <c r="W3841" s="12"/>
      <c r="X3841" s="12"/>
      <c r="Y3841" s="12"/>
      <c r="Z3841" s="12"/>
      <c r="AA3841" s="12"/>
    </row>
    <row r="3842" ht="26.25" customHeight="1">
      <c r="A3842" s="34" t="s">
        <v>7694</v>
      </c>
      <c r="B3842" s="35" t="s">
        <v>7695</v>
      </c>
      <c r="C3842" s="36">
        <v>4.0</v>
      </c>
      <c r="D3842" s="37">
        <v>267.0</v>
      </c>
      <c r="E3842" s="37">
        <v>11.0</v>
      </c>
      <c r="F3842" s="24" t="str">
        <f t="array" ref="F3842">"https://www.google.com/maps/search/?api=1&amp;query=" &amp; A3842 &amp; "," &amp; B3842</f>
        <v>https://www.google.com/maps/search/?api=1&amp;query=-30.89567066878540,-55.55562211099030</v>
      </c>
      <c r="G3842" s="25" t="str">
        <f t="array" ref="G3842">"https://earth.google.com/web/search/" &amp; A3842 &amp; "," &amp; B3842</f>
        <v>https://earth.google.com/web/search/-30.89567066878540,-55.55562211099030</v>
      </c>
      <c r="H3842" s="12"/>
      <c r="I3842" s="12"/>
      <c r="J3842" s="12"/>
      <c r="K3842" s="12"/>
      <c r="L3842" s="12"/>
      <c r="M3842" s="12"/>
      <c r="N3842" s="12"/>
      <c r="O3842" s="12"/>
      <c r="P3842" s="12"/>
      <c r="Q3842" s="12"/>
      <c r="R3842" s="12"/>
      <c r="S3842" s="12"/>
      <c r="T3842" s="12"/>
      <c r="U3842" s="12"/>
      <c r="V3842" s="12"/>
      <c r="W3842" s="12"/>
      <c r="X3842" s="12"/>
      <c r="Y3842" s="12"/>
      <c r="Z3842" s="12"/>
      <c r="AA3842" s="12"/>
    </row>
    <row r="3843" ht="26.25" customHeight="1">
      <c r="A3843" s="28" t="s">
        <v>7696</v>
      </c>
      <c r="B3843" s="29" t="s">
        <v>7697</v>
      </c>
      <c r="C3843" s="30">
        <v>4.0</v>
      </c>
      <c r="D3843" s="31">
        <v>267.0</v>
      </c>
      <c r="E3843" s="31">
        <v>12.0</v>
      </c>
      <c r="F3843" s="32" t="str">
        <f t="array" ref="F3843">"https://www.google.com/maps/search/?api=1&amp;query=" &amp; A3843 &amp; "," &amp; B3843</f>
        <v>https://www.google.com/maps/search/?api=1&amp;query=-30.89577070650150,-55.55567774383960</v>
      </c>
      <c r="G3843" s="33" t="str">
        <f t="array" ref="G3843">"https://earth.google.com/web/search/" &amp; A3843 &amp; "," &amp; B3843</f>
        <v>https://earth.google.com/web/search/-30.89577070650150,-55.55567774383960</v>
      </c>
      <c r="H3843" s="12"/>
      <c r="I3843" s="12"/>
      <c r="J3843" s="12"/>
      <c r="K3843" s="12"/>
      <c r="L3843" s="12"/>
      <c r="M3843" s="12"/>
      <c r="N3843" s="12"/>
      <c r="O3843" s="12"/>
      <c r="P3843" s="12"/>
      <c r="Q3843" s="12"/>
      <c r="R3843" s="12"/>
      <c r="S3843" s="12"/>
      <c r="T3843" s="12"/>
      <c r="U3843" s="12"/>
      <c r="V3843" s="12"/>
      <c r="W3843" s="12"/>
      <c r="X3843" s="12"/>
      <c r="Y3843" s="12"/>
      <c r="Z3843" s="12"/>
      <c r="AA3843" s="12"/>
    </row>
    <row r="3844" ht="26.25" customHeight="1">
      <c r="A3844" s="34" t="s">
        <v>7698</v>
      </c>
      <c r="B3844" s="35" t="s">
        <v>7699</v>
      </c>
      <c r="C3844" s="36">
        <v>4.0</v>
      </c>
      <c r="D3844" s="37">
        <v>268.0</v>
      </c>
      <c r="E3844" s="37">
        <v>1.0</v>
      </c>
      <c r="F3844" s="24" t="str">
        <f t="array" ref="F3844">"https://www.google.com/maps/search/?api=1&amp;query=" &amp; A3844 &amp; "," &amp; B3844</f>
        <v>https://www.google.com/maps/search/?api=1&amp;query=-30.89633203701550,-5.55546646390757</v>
      </c>
      <c r="G3844" s="25" t="str">
        <f t="array" ref="G3844">"https://earth.google.com/web/search/" &amp; A3844 &amp; "," &amp; B3844</f>
        <v>https://earth.google.com/web/search/-30.89633203701550,-5.55546646390757</v>
      </c>
      <c r="H3844" s="12"/>
      <c r="I3844" s="12"/>
      <c r="J3844" s="12"/>
      <c r="K3844" s="12"/>
      <c r="L3844" s="12"/>
      <c r="M3844" s="12"/>
      <c r="N3844" s="12"/>
      <c r="O3844" s="12"/>
      <c r="P3844" s="12"/>
      <c r="Q3844" s="12"/>
      <c r="R3844" s="12"/>
      <c r="S3844" s="12"/>
      <c r="T3844" s="12"/>
      <c r="U3844" s="12"/>
      <c r="V3844" s="12"/>
      <c r="W3844" s="12"/>
      <c r="X3844" s="12"/>
      <c r="Y3844" s="12"/>
      <c r="Z3844" s="12"/>
      <c r="AA3844" s="12"/>
    </row>
    <row r="3845" ht="26.25" customHeight="1">
      <c r="A3845" s="28" t="s">
        <v>7700</v>
      </c>
      <c r="B3845" s="29" t="s">
        <v>7701</v>
      </c>
      <c r="C3845" s="30">
        <v>4.0</v>
      </c>
      <c r="D3845" s="31">
        <v>268.0</v>
      </c>
      <c r="E3845" s="31">
        <v>2.0</v>
      </c>
      <c r="F3845" s="32" t="str">
        <f t="array" ref="F3845">"https://www.google.com/maps/search/?api=1&amp;query=" &amp; A3845 &amp; "," &amp; B3845</f>
        <v>https://www.google.com/maps/search/?api=1&amp;query=-30.89638729332360,-55.55455728749220</v>
      </c>
      <c r="G3845" s="33" t="str">
        <f t="array" ref="G3845">"https://earth.google.com/web/search/" &amp; A3845 &amp; "," &amp; B3845</f>
        <v>https://earth.google.com/web/search/-30.89638729332360,-55.55455728749220</v>
      </c>
      <c r="H3845" s="12"/>
      <c r="I3845" s="12"/>
      <c r="J3845" s="12"/>
      <c r="K3845" s="12"/>
      <c r="L3845" s="12"/>
      <c r="M3845" s="12"/>
      <c r="N3845" s="12"/>
      <c r="O3845" s="12"/>
      <c r="P3845" s="12"/>
      <c r="Q3845" s="12"/>
      <c r="R3845" s="12"/>
      <c r="S3845" s="12"/>
      <c r="T3845" s="12"/>
      <c r="U3845" s="12"/>
      <c r="V3845" s="12"/>
      <c r="W3845" s="12"/>
      <c r="X3845" s="12"/>
      <c r="Y3845" s="12"/>
      <c r="Z3845" s="12"/>
      <c r="AA3845" s="12"/>
    </row>
    <row r="3846" ht="26.25" customHeight="1">
      <c r="A3846" s="34" t="s">
        <v>7702</v>
      </c>
      <c r="B3846" s="35" t="s">
        <v>7703</v>
      </c>
      <c r="C3846" s="36">
        <v>4.0</v>
      </c>
      <c r="D3846" s="37">
        <v>268.0</v>
      </c>
      <c r="E3846" s="37">
        <v>3.0</v>
      </c>
      <c r="F3846" s="24" t="str">
        <f t="array" ref="F3846">"https://www.google.com/maps/search/?api=1&amp;query=" &amp; A3846 &amp; "," &amp; B3846</f>
        <v>https://www.google.com/maps/search/?api=1&amp;query=-30.89644692016470,-55.55445050801770</v>
      </c>
      <c r="G3846" s="25" t="str">
        <f t="array" ref="G3846">"https://earth.google.com/web/search/" &amp; A3846 &amp; "," &amp; B3846</f>
        <v>https://earth.google.com/web/search/-30.89644692016470,-55.55445050801770</v>
      </c>
      <c r="H3846" s="12"/>
      <c r="I3846" s="12"/>
      <c r="J3846" s="12"/>
      <c r="K3846" s="12"/>
      <c r="L3846" s="12"/>
      <c r="M3846" s="12"/>
      <c r="N3846" s="12"/>
      <c r="O3846" s="12"/>
      <c r="P3846" s="12"/>
      <c r="Q3846" s="12"/>
      <c r="R3846" s="12"/>
      <c r="S3846" s="12"/>
      <c r="T3846" s="12"/>
      <c r="U3846" s="12"/>
      <c r="V3846" s="12"/>
      <c r="W3846" s="12"/>
      <c r="X3846" s="12"/>
      <c r="Y3846" s="12"/>
      <c r="Z3846" s="12"/>
      <c r="AA3846" s="12"/>
    </row>
    <row r="3847" ht="26.25" customHeight="1">
      <c r="A3847" s="28" t="s">
        <v>7704</v>
      </c>
      <c r="B3847" s="29" t="s">
        <v>7705</v>
      </c>
      <c r="C3847" s="30">
        <v>4.0</v>
      </c>
      <c r="D3847" s="31">
        <v>268.0</v>
      </c>
      <c r="E3847" s="31">
        <v>4.0</v>
      </c>
      <c r="F3847" s="32" t="str">
        <f t="array" ref="F3847">"https://www.google.com/maps/search/?api=1&amp;query=" &amp; A3847 &amp; "," &amp; B3847</f>
        <v>https://www.google.com/maps/search/?api=1&amp;query=-30.89650266961520,-55.55436933594750</v>
      </c>
      <c r="G3847" s="33" t="str">
        <f t="array" ref="G3847">"https://earth.google.com/web/search/" &amp; A3847 &amp; "," &amp; B3847</f>
        <v>https://earth.google.com/web/search/-30.89650266961520,-55.55436933594750</v>
      </c>
      <c r="H3847" s="12"/>
      <c r="I3847" s="12"/>
      <c r="J3847" s="12"/>
      <c r="K3847" s="12"/>
      <c r="L3847" s="12"/>
      <c r="M3847" s="12"/>
      <c r="N3847" s="12"/>
      <c r="O3847" s="12"/>
      <c r="P3847" s="12"/>
      <c r="Q3847" s="12"/>
      <c r="R3847" s="12"/>
      <c r="S3847" s="12"/>
      <c r="T3847" s="12"/>
      <c r="U3847" s="12"/>
      <c r="V3847" s="12"/>
      <c r="W3847" s="12"/>
      <c r="X3847" s="12"/>
      <c r="Y3847" s="12"/>
      <c r="Z3847" s="12"/>
      <c r="AA3847" s="12"/>
    </row>
    <row r="3848" ht="26.25" customHeight="1">
      <c r="A3848" s="34" t="s">
        <v>7706</v>
      </c>
      <c r="B3848" s="35" t="s">
        <v>7707</v>
      </c>
      <c r="C3848" s="36">
        <v>4.0</v>
      </c>
      <c r="D3848" s="37">
        <v>268.0</v>
      </c>
      <c r="E3848" s="37">
        <v>5.0</v>
      </c>
      <c r="F3848" s="24" t="str">
        <f t="array" ref="F3848">"https://www.google.com/maps/search/?api=1&amp;query=" &amp; A3848 &amp; "," &amp; B3848</f>
        <v>https://www.google.com/maps/search/?api=1&amp;query=-30.89655544282040,-55.55424872415290</v>
      </c>
      <c r="G3848" s="25" t="str">
        <f t="array" ref="G3848">"https://earth.google.com/web/search/" &amp; A3848 &amp; "," &amp; B3848</f>
        <v>https://earth.google.com/web/search/-30.89655544282040,-55.55424872415290</v>
      </c>
      <c r="H3848" s="12"/>
      <c r="I3848" s="12"/>
      <c r="J3848" s="12"/>
      <c r="K3848" s="12"/>
      <c r="L3848" s="12"/>
      <c r="M3848" s="12"/>
      <c r="N3848" s="12"/>
      <c r="O3848" s="12"/>
      <c r="P3848" s="12"/>
      <c r="Q3848" s="12"/>
      <c r="R3848" s="12"/>
      <c r="S3848" s="12"/>
      <c r="T3848" s="12"/>
      <c r="U3848" s="12"/>
      <c r="V3848" s="12"/>
      <c r="W3848" s="12"/>
      <c r="X3848" s="12"/>
      <c r="Y3848" s="12"/>
      <c r="Z3848" s="12"/>
      <c r="AA3848" s="12"/>
    </row>
    <row r="3849" ht="26.25" customHeight="1">
      <c r="A3849" s="28" t="s">
        <v>7708</v>
      </c>
      <c r="B3849" s="29" t="s">
        <v>7709</v>
      </c>
      <c r="C3849" s="30">
        <v>4.0</v>
      </c>
      <c r="D3849" s="31">
        <v>268.0</v>
      </c>
      <c r="E3849" s="31">
        <v>6.0</v>
      </c>
      <c r="F3849" s="32" t="str">
        <f t="array" ref="F3849">"https://www.google.com/maps/search/?api=1&amp;query=" &amp; A3849 &amp; "," &amp; B3849</f>
        <v>https://www.google.com/maps/search/?api=1&amp;query=-30.89663136576260,-55.55409216489670</v>
      </c>
      <c r="G3849" s="33" t="str">
        <f t="array" ref="G3849">"https://earth.google.com/web/search/" &amp; A3849 &amp; "," &amp; B3849</f>
        <v>https://earth.google.com/web/search/-30.89663136576260,-55.55409216489670</v>
      </c>
      <c r="H3849" s="12"/>
      <c r="I3849" s="12"/>
      <c r="J3849" s="12"/>
      <c r="K3849" s="12"/>
      <c r="L3849" s="12"/>
      <c r="M3849" s="12"/>
      <c r="N3849" s="12"/>
      <c r="O3849" s="12"/>
      <c r="P3849" s="12"/>
      <c r="Q3849" s="12"/>
      <c r="R3849" s="12"/>
      <c r="S3849" s="12"/>
      <c r="T3849" s="12"/>
      <c r="U3849" s="12"/>
      <c r="V3849" s="12"/>
      <c r="W3849" s="12"/>
      <c r="X3849" s="12"/>
      <c r="Y3849" s="12"/>
      <c r="Z3849" s="12"/>
      <c r="AA3849" s="12"/>
    </row>
    <row r="3850" ht="26.25" customHeight="1">
      <c r="A3850" s="34" t="s">
        <v>7710</v>
      </c>
      <c r="B3850" s="35" t="s">
        <v>7711</v>
      </c>
      <c r="C3850" s="36">
        <v>4.0</v>
      </c>
      <c r="D3850" s="37">
        <v>268.0</v>
      </c>
      <c r="E3850" s="37">
        <v>7.0</v>
      </c>
      <c r="F3850" s="24" t="str">
        <f t="array" ref="F3850">"https://www.google.com/maps/search/?api=1&amp;query=" &amp; A3850 &amp; "," &amp; B3850</f>
        <v>https://www.google.com/maps/search/?api=1&amp;query=-30.89670650982400,-55.55402286196370</v>
      </c>
      <c r="G3850" s="25" t="str">
        <f t="array" ref="G3850">"https://earth.google.com/web/search/" &amp; A3850 &amp; "," &amp; B3850</f>
        <v>https://earth.google.com/web/search/-30.89670650982400,-55.55402286196370</v>
      </c>
      <c r="H3850" s="12"/>
      <c r="I3850" s="12"/>
      <c r="J3850" s="12"/>
      <c r="K3850" s="12"/>
      <c r="L3850" s="12"/>
      <c r="M3850" s="12"/>
      <c r="N3850" s="12"/>
      <c r="O3850" s="12"/>
      <c r="P3850" s="12"/>
      <c r="Q3850" s="12"/>
      <c r="R3850" s="12"/>
      <c r="S3850" s="12"/>
      <c r="T3850" s="12"/>
      <c r="U3850" s="12"/>
      <c r="V3850" s="12"/>
      <c r="W3850" s="12"/>
      <c r="X3850" s="12"/>
      <c r="Y3850" s="12"/>
      <c r="Z3850" s="12"/>
      <c r="AA3850" s="12"/>
    </row>
    <row r="3851" ht="26.25" customHeight="1">
      <c r="A3851" s="28" t="s">
        <v>7712</v>
      </c>
      <c r="B3851" s="29" t="s">
        <v>7713</v>
      </c>
      <c r="C3851" s="30">
        <v>4.0</v>
      </c>
      <c r="D3851" s="31">
        <v>268.0</v>
      </c>
      <c r="E3851" s="31">
        <v>8.0</v>
      </c>
      <c r="F3851" s="32" t="str">
        <f t="array" ref="F3851">"https://www.google.com/maps/search/?api=1&amp;query=" &amp; A3851 &amp; "," &amp; B3851</f>
        <v>https://www.google.com/maps/search/?api=1&amp;query=-30.89630769067280,-5.55536736254376</v>
      </c>
      <c r="G3851" s="33" t="str">
        <f t="array" ref="G3851">"https://earth.google.com/web/search/" &amp; A3851 &amp; "," &amp; B3851</f>
        <v>https://earth.google.com/web/search/-30.89630769067280,-5.55536736254376</v>
      </c>
      <c r="H3851" s="12"/>
      <c r="I3851" s="12"/>
      <c r="J3851" s="12"/>
      <c r="K3851" s="12"/>
      <c r="L3851" s="12"/>
      <c r="M3851" s="12"/>
      <c r="N3851" s="12"/>
      <c r="O3851" s="12"/>
      <c r="P3851" s="12"/>
      <c r="Q3851" s="12"/>
      <c r="R3851" s="12"/>
      <c r="S3851" s="12"/>
      <c r="T3851" s="12"/>
      <c r="U3851" s="12"/>
      <c r="V3851" s="12"/>
      <c r="W3851" s="12"/>
      <c r="X3851" s="12"/>
      <c r="Y3851" s="12"/>
      <c r="Z3851" s="12"/>
      <c r="AA3851" s="12"/>
    </row>
    <row r="3852" ht="26.25" customHeight="1">
      <c r="A3852" s="34" t="s">
        <v>7714</v>
      </c>
      <c r="B3852" s="35" t="s">
        <v>7715</v>
      </c>
      <c r="C3852" s="36">
        <v>4.0</v>
      </c>
      <c r="D3852" s="37">
        <v>268.0</v>
      </c>
      <c r="E3852" s="37">
        <v>9.0</v>
      </c>
      <c r="F3852" s="24" t="str">
        <f t="array" ref="F3852">"https://www.google.com/maps/search/?api=1&amp;query=" &amp; A3852 &amp; "," &amp; B3852</f>
        <v>https://www.google.com/maps/search/?api=1&amp;query=-30.89615239180710,-55.55356295936250</v>
      </c>
      <c r="G3852" s="25" t="str">
        <f t="array" ref="G3852">"https://earth.google.com/web/search/" &amp; A3852 &amp; "," &amp; B3852</f>
        <v>https://earth.google.com/web/search/-30.89615239180710,-55.55356295936250</v>
      </c>
      <c r="H3852" s="12"/>
      <c r="I3852" s="12"/>
      <c r="J3852" s="12"/>
      <c r="K3852" s="12"/>
      <c r="L3852" s="12"/>
      <c r="M3852" s="12"/>
      <c r="N3852" s="12"/>
      <c r="O3852" s="12"/>
      <c r="P3852" s="12"/>
      <c r="Q3852" s="12"/>
      <c r="R3852" s="12"/>
      <c r="S3852" s="12"/>
      <c r="T3852" s="12"/>
      <c r="U3852" s="12"/>
      <c r="V3852" s="12"/>
      <c r="W3852" s="12"/>
      <c r="X3852" s="12"/>
      <c r="Y3852" s="12"/>
      <c r="Z3852" s="12"/>
      <c r="AA3852" s="12"/>
    </row>
    <row r="3853" ht="26.25" customHeight="1">
      <c r="A3853" s="28" t="s">
        <v>7716</v>
      </c>
      <c r="B3853" s="29" t="s">
        <v>7717</v>
      </c>
      <c r="C3853" s="30">
        <v>4.0</v>
      </c>
      <c r="D3853" s="31">
        <v>268.0</v>
      </c>
      <c r="E3853" s="31">
        <v>10.0</v>
      </c>
      <c r="F3853" s="32" t="str">
        <f t="array" ref="F3853">"https://www.google.com/maps/search/?api=1&amp;query=" &amp; A3853 &amp; "," &amp; B3853</f>
        <v>https://www.google.com/maps/search/?api=1&amp;query=-3.08958462307355,-55.55382617456240</v>
      </c>
      <c r="G3853" s="33" t="str">
        <f t="array" ref="G3853">"https://earth.google.com/web/search/" &amp; A3853 &amp; "," &amp; B3853</f>
        <v>https://earth.google.com/web/search/-3.08958462307355,-55.55382617456240</v>
      </c>
      <c r="H3853" s="12"/>
      <c r="I3853" s="12"/>
      <c r="J3853" s="12"/>
      <c r="K3853" s="12"/>
      <c r="L3853" s="12"/>
      <c r="M3853" s="12"/>
      <c r="N3853" s="12"/>
      <c r="O3853" s="12"/>
      <c r="P3853" s="12"/>
      <c r="Q3853" s="12"/>
      <c r="R3853" s="12"/>
      <c r="S3853" s="12"/>
      <c r="T3853" s="12"/>
      <c r="U3853" s="12"/>
      <c r="V3853" s="12"/>
      <c r="W3853" s="12"/>
      <c r="X3853" s="12"/>
      <c r="Y3853" s="12"/>
      <c r="Z3853" s="12"/>
      <c r="AA3853" s="12"/>
    </row>
    <row r="3854" ht="26.25" customHeight="1">
      <c r="A3854" s="34" t="s">
        <v>7718</v>
      </c>
      <c r="B3854" s="35" t="s">
        <v>7719</v>
      </c>
      <c r="C3854" s="36">
        <v>4.0</v>
      </c>
      <c r="D3854" s="37">
        <v>269.0</v>
      </c>
      <c r="E3854" s="37">
        <v>1.0</v>
      </c>
      <c r="F3854" s="24" t="str">
        <f t="array" ref="F3854">"https://www.google.com/maps/search/?api=1&amp;query=" &amp; A3854 &amp; "," &amp; B3854</f>
        <v>https://www.google.com/maps/search/?api=1&amp;query=-30.89678100578850,-55.55380079761650</v>
      </c>
      <c r="G3854" s="25" t="str">
        <f t="array" ref="G3854">"https://earth.google.com/web/search/" &amp; A3854 &amp; "," &amp; B3854</f>
        <v>https://earth.google.com/web/search/-30.89678100578850,-55.55380079761650</v>
      </c>
      <c r="H3854" s="12"/>
      <c r="I3854" s="12"/>
      <c r="J3854" s="12"/>
      <c r="K3854" s="12"/>
      <c r="L3854" s="12"/>
      <c r="M3854" s="12"/>
      <c r="N3854" s="12"/>
      <c r="O3854" s="12"/>
      <c r="P3854" s="12"/>
      <c r="Q3854" s="12"/>
      <c r="R3854" s="12"/>
      <c r="S3854" s="12"/>
      <c r="T3854" s="12"/>
      <c r="U3854" s="12"/>
      <c r="V3854" s="12"/>
      <c r="W3854" s="12"/>
      <c r="X3854" s="12"/>
      <c r="Y3854" s="12"/>
      <c r="Z3854" s="12"/>
      <c r="AA3854" s="12"/>
    </row>
    <row r="3855" ht="26.25" customHeight="1">
      <c r="A3855" s="28" t="s">
        <v>7720</v>
      </c>
      <c r="B3855" s="29" t="s">
        <v>7721</v>
      </c>
      <c r="C3855" s="30">
        <v>4.0</v>
      </c>
      <c r="D3855" s="31">
        <v>269.0</v>
      </c>
      <c r="E3855" s="31">
        <v>2.0</v>
      </c>
      <c r="F3855" s="32" t="str">
        <f t="array" ref="F3855">"https://www.google.com/maps/search/?api=1&amp;query=" &amp; A3855 &amp; "," &amp; B3855</f>
        <v>https://www.google.com/maps/search/?api=1&amp;query=-3.08968548706233,-55.55372095690080</v>
      </c>
      <c r="G3855" s="33" t="str">
        <f t="array" ref="G3855">"https://earth.google.com/web/search/" &amp; A3855 &amp; "," &amp; B3855</f>
        <v>https://earth.google.com/web/search/-3.08968548706233,-55.55372095690080</v>
      </c>
      <c r="H3855" s="12"/>
      <c r="I3855" s="12"/>
      <c r="J3855" s="12"/>
      <c r="K3855" s="12"/>
      <c r="L3855" s="12"/>
      <c r="M3855" s="12"/>
      <c r="N3855" s="12"/>
      <c r="O3855" s="12"/>
      <c r="P3855" s="12"/>
      <c r="Q3855" s="12"/>
      <c r="R3855" s="12"/>
      <c r="S3855" s="12"/>
      <c r="T3855" s="12"/>
      <c r="U3855" s="12"/>
      <c r="V3855" s="12"/>
      <c r="W3855" s="12"/>
      <c r="X3855" s="12"/>
      <c r="Y3855" s="12"/>
      <c r="Z3855" s="12"/>
      <c r="AA3855" s="12"/>
    </row>
    <row r="3856" ht="26.25" customHeight="1">
      <c r="A3856" s="34" t="s">
        <v>7722</v>
      </c>
      <c r="B3856" s="35" t="s">
        <v>7723</v>
      </c>
      <c r="C3856" s="36">
        <v>4.0</v>
      </c>
      <c r="D3856" s="37">
        <v>269.0</v>
      </c>
      <c r="E3856" s="37">
        <v>3.0</v>
      </c>
      <c r="F3856" s="24" t="str">
        <f t="array" ref="F3856">"https://www.google.com/maps/search/?api=1&amp;query=" &amp; A3856 &amp; "," &amp; B3856</f>
        <v>https://www.google.com/maps/search/?api=1&amp;query=-3.08969152848363,-55.55359119714090</v>
      </c>
      <c r="G3856" s="25" t="str">
        <f t="array" ref="G3856">"https://earth.google.com/web/search/" &amp; A3856 &amp; "," &amp; B3856</f>
        <v>https://earth.google.com/web/search/-3.08969152848363,-55.55359119714090</v>
      </c>
      <c r="H3856" s="12"/>
      <c r="I3856" s="12"/>
      <c r="J3856" s="12"/>
      <c r="K3856" s="12"/>
      <c r="L3856" s="12"/>
      <c r="M3856" s="12"/>
      <c r="N3856" s="12"/>
      <c r="O3856" s="12"/>
      <c r="P3856" s="12"/>
      <c r="Q3856" s="12"/>
      <c r="R3856" s="12"/>
      <c r="S3856" s="12"/>
      <c r="T3856" s="12"/>
      <c r="U3856" s="12"/>
      <c r="V3856" s="12"/>
      <c r="W3856" s="12"/>
      <c r="X3856" s="12"/>
      <c r="Y3856" s="12"/>
      <c r="Z3856" s="12"/>
      <c r="AA3856" s="12"/>
    </row>
    <row r="3857" ht="26.25" customHeight="1">
      <c r="A3857" s="28" t="s">
        <v>7724</v>
      </c>
      <c r="B3857" s="29" t="s">
        <v>7725</v>
      </c>
      <c r="C3857" s="30">
        <v>4.0</v>
      </c>
      <c r="D3857" s="31">
        <v>269.0</v>
      </c>
      <c r="E3857" s="31">
        <v>4.0</v>
      </c>
      <c r="F3857" s="32" t="str">
        <f t="array" ref="F3857">"https://www.google.com/maps/search/?api=1&amp;query=" &amp; A3857 &amp; "," &amp; B3857</f>
        <v>https://www.google.com/maps/search/?api=1&amp;query=-30.89702320710320,-55.55332571079530</v>
      </c>
      <c r="G3857" s="33" t="str">
        <f t="array" ref="G3857">"https://earth.google.com/web/search/" &amp; A3857 &amp; "," &amp; B3857</f>
        <v>https://earth.google.com/web/search/-30.89702320710320,-55.55332571079530</v>
      </c>
      <c r="H3857" s="12"/>
      <c r="I3857" s="12"/>
      <c r="J3857" s="12"/>
      <c r="K3857" s="12"/>
      <c r="L3857" s="12"/>
      <c r="M3857" s="12"/>
      <c r="N3857" s="12"/>
      <c r="O3857" s="12"/>
      <c r="P3857" s="12"/>
      <c r="Q3857" s="12"/>
      <c r="R3857" s="12"/>
      <c r="S3857" s="12"/>
      <c r="T3857" s="12"/>
      <c r="U3857" s="12"/>
      <c r="V3857" s="12"/>
      <c r="W3857" s="12"/>
      <c r="X3857" s="12"/>
      <c r="Y3857" s="12"/>
      <c r="Z3857" s="12"/>
      <c r="AA3857" s="12"/>
    </row>
    <row r="3858" ht="26.25" customHeight="1">
      <c r="A3858" s="34" t="s">
        <v>7726</v>
      </c>
      <c r="B3858" s="35" t="s">
        <v>7727</v>
      </c>
      <c r="C3858" s="36">
        <v>4.0</v>
      </c>
      <c r="D3858" s="37">
        <v>269.0</v>
      </c>
      <c r="E3858" s="37">
        <v>5.0</v>
      </c>
      <c r="F3858" s="24" t="str">
        <f t="array" ref="F3858">"https://www.google.com/maps/search/?api=1&amp;query=" &amp; A3858 &amp; "," &amp; B3858</f>
        <v>https://www.google.com/maps/search/?api=1&amp;query=-30.89713689074920,-55.55311725289290</v>
      </c>
      <c r="G3858" s="25" t="str">
        <f t="array" ref="G3858">"https://earth.google.com/web/search/" &amp; A3858 &amp; "," &amp; B3858</f>
        <v>https://earth.google.com/web/search/-30.89713689074920,-55.55311725289290</v>
      </c>
      <c r="H3858" s="12"/>
      <c r="I3858" s="12"/>
      <c r="J3858" s="12"/>
      <c r="K3858" s="12"/>
      <c r="L3858" s="12"/>
      <c r="M3858" s="12"/>
      <c r="N3858" s="12"/>
      <c r="O3858" s="12"/>
      <c r="P3858" s="12"/>
      <c r="Q3858" s="12"/>
      <c r="R3858" s="12"/>
      <c r="S3858" s="12"/>
      <c r="T3858" s="12"/>
      <c r="U3858" s="12"/>
      <c r="V3858" s="12"/>
      <c r="W3858" s="12"/>
      <c r="X3858" s="12"/>
      <c r="Y3858" s="12"/>
      <c r="Z3858" s="12"/>
      <c r="AA3858" s="12"/>
    </row>
    <row r="3859" ht="26.25" customHeight="1">
      <c r="A3859" s="28" t="s">
        <v>7728</v>
      </c>
      <c r="B3859" s="29" t="s">
        <v>7729</v>
      </c>
      <c r="C3859" s="30">
        <v>4.0</v>
      </c>
      <c r="D3859" s="31">
        <v>269.0</v>
      </c>
      <c r="E3859" s="31">
        <v>6.0</v>
      </c>
      <c r="F3859" s="32" t="str">
        <f t="array" ref="F3859">"https://www.google.com/maps/search/?api=1&amp;query=" &amp; A3859 &amp; "," &amp; B3859</f>
        <v>https://www.google.com/maps/search/?api=1&amp;query=-30.89619804979770,-55.55345769734580</v>
      </c>
      <c r="G3859" s="33" t="str">
        <f t="array" ref="G3859">"https://earth.google.com/web/search/" &amp; A3859 &amp; "," &amp; B3859</f>
        <v>https://earth.google.com/web/search/-30.89619804979770,-55.55345769734580</v>
      </c>
      <c r="H3859" s="12"/>
      <c r="I3859" s="12"/>
      <c r="J3859" s="12"/>
      <c r="K3859" s="12"/>
      <c r="L3859" s="12"/>
      <c r="M3859" s="12"/>
      <c r="N3859" s="12"/>
      <c r="O3859" s="12"/>
      <c r="P3859" s="12"/>
      <c r="Q3859" s="12"/>
      <c r="R3859" s="12"/>
      <c r="S3859" s="12"/>
      <c r="T3859" s="12"/>
      <c r="U3859" s="12"/>
      <c r="V3859" s="12"/>
      <c r="W3859" s="12"/>
      <c r="X3859" s="12"/>
      <c r="Y3859" s="12"/>
      <c r="Z3859" s="12"/>
      <c r="AA3859" s="12"/>
    </row>
    <row r="3860" ht="26.25" customHeight="1">
      <c r="A3860" s="34" t="s">
        <v>7730</v>
      </c>
      <c r="B3860" s="35" t="s">
        <v>7731</v>
      </c>
      <c r="C3860" s="36">
        <v>4.0</v>
      </c>
      <c r="D3860" s="37">
        <v>269.0</v>
      </c>
      <c r="E3860" s="37">
        <v>7.0</v>
      </c>
      <c r="F3860" s="24" t="str">
        <f t="array" ref="F3860">"https://www.google.com/maps/search/?api=1&amp;query=" &amp; A3860 &amp; "," &amp; B3860</f>
        <v>https://www.google.com/maps/search/?api=1&amp;query=-30.89628418187160,-55.55353301078070</v>
      </c>
      <c r="G3860" s="25" t="str">
        <f t="array" ref="G3860">"https://earth.google.com/web/search/" &amp; A3860 &amp; "," &amp; B3860</f>
        <v>https://earth.google.com/web/search/-30.89628418187160,-55.55353301078070</v>
      </c>
      <c r="H3860" s="12"/>
      <c r="I3860" s="12"/>
      <c r="J3860" s="12"/>
      <c r="K3860" s="12"/>
      <c r="L3860" s="12"/>
      <c r="M3860" s="12"/>
      <c r="N3860" s="12"/>
      <c r="O3860" s="12"/>
      <c r="P3860" s="12"/>
      <c r="Q3860" s="12"/>
      <c r="R3860" s="12"/>
      <c r="S3860" s="12"/>
      <c r="T3860" s="12"/>
      <c r="U3860" s="12"/>
      <c r="V3860" s="12"/>
      <c r="W3860" s="12"/>
      <c r="X3860" s="12"/>
      <c r="Y3860" s="12"/>
      <c r="Z3860" s="12"/>
      <c r="AA3860" s="12"/>
    </row>
    <row r="3861" ht="26.25" customHeight="1">
      <c r="A3861" s="28" t="s">
        <v>7732</v>
      </c>
      <c r="B3861" s="29" t="s">
        <v>7733</v>
      </c>
      <c r="C3861" s="30">
        <v>4.0</v>
      </c>
      <c r="D3861" s="31">
        <v>269.0</v>
      </c>
      <c r="E3861" s="31">
        <v>8.0</v>
      </c>
      <c r="F3861" s="32" t="str">
        <f t="array" ref="F3861">"https://www.google.com/maps/search/?api=1&amp;query=" &amp; A3861 &amp; "," &amp; B3861</f>
        <v>https://www.google.com/maps/search/?api=1&amp;query=-30.89670216130810,-55.55379374805520</v>
      </c>
      <c r="G3861" s="33" t="str">
        <f t="array" ref="G3861">"https://earth.google.com/web/search/" &amp; A3861 &amp; "," &amp; B3861</f>
        <v>https://earth.google.com/web/search/-30.89670216130810,-55.55379374805520</v>
      </c>
      <c r="H3861" s="12"/>
      <c r="I3861" s="12"/>
      <c r="J3861" s="12"/>
      <c r="K3861" s="12"/>
      <c r="L3861" s="12"/>
      <c r="M3861" s="12"/>
      <c r="N3861" s="12"/>
      <c r="O3861" s="12"/>
      <c r="P3861" s="12"/>
      <c r="Q3861" s="12"/>
      <c r="R3861" s="12"/>
      <c r="S3861" s="12"/>
      <c r="T3861" s="12"/>
      <c r="U3861" s="12"/>
      <c r="V3861" s="12"/>
      <c r="W3861" s="12"/>
      <c r="X3861" s="12"/>
      <c r="Y3861" s="12"/>
      <c r="Z3861" s="12"/>
      <c r="AA3861" s="12"/>
    </row>
    <row r="3862" ht="26.25" customHeight="1">
      <c r="A3862" s="34" t="s">
        <v>7734</v>
      </c>
      <c r="B3862" s="35" t="s">
        <v>7735</v>
      </c>
      <c r="C3862" s="36">
        <v>4.0</v>
      </c>
      <c r="D3862" s="37">
        <v>270.0</v>
      </c>
      <c r="E3862" s="37">
        <v>1.0</v>
      </c>
      <c r="F3862" s="24" t="str">
        <f t="array" ref="F3862">"https://www.google.com/maps/search/?api=1&amp;query=" &amp; A3862 &amp; "," &amp; B3862</f>
        <v>https://www.google.com/maps/search/?api=1&amp;query=-30.89732575880840,-55.55275965219470</v>
      </c>
      <c r="G3862" s="25" t="str">
        <f t="array" ref="G3862">"https://earth.google.com/web/search/" &amp; A3862 &amp; "," &amp; B3862</f>
        <v>https://earth.google.com/web/search/-30.89732575880840,-55.55275965219470</v>
      </c>
      <c r="H3862" s="12"/>
      <c r="I3862" s="12"/>
      <c r="J3862" s="12"/>
      <c r="K3862" s="12"/>
      <c r="L3862" s="12"/>
      <c r="M3862" s="12"/>
      <c r="N3862" s="12"/>
      <c r="O3862" s="12"/>
      <c r="P3862" s="12"/>
      <c r="Q3862" s="12"/>
      <c r="R3862" s="12"/>
      <c r="S3862" s="12"/>
      <c r="T3862" s="12"/>
      <c r="U3862" s="12"/>
      <c r="V3862" s="12"/>
      <c r="W3862" s="12"/>
      <c r="X3862" s="12"/>
      <c r="Y3862" s="12"/>
      <c r="Z3862" s="12"/>
      <c r="AA3862" s="12"/>
    </row>
    <row r="3863" ht="26.25" customHeight="1">
      <c r="A3863" s="28" t="s">
        <v>7736</v>
      </c>
      <c r="B3863" s="29" t="s">
        <v>7737</v>
      </c>
      <c r="C3863" s="30">
        <v>4.0</v>
      </c>
      <c r="D3863" s="31">
        <v>270.0</v>
      </c>
      <c r="E3863" s="31">
        <v>2.0</v>
      </c>
      <c r="F3863" s="32" t="str">
        <f t="array" ref="F3863">"https://www.google.com/maps/search/?api=1&amp;query=" &amp; A3863 &amp; "," &amp; B3863</f>
        <v>https://www.google.com/maps/search/?api=1&amp;query=-30.89738923138440,-55.55266231824640</v>
      </c>
      <c r="G3863" s="33" t="str">
        <f t="array" ref="G3863">"https://earth.google.com/web/search/" &amp; A3863 &amp; "," &amp; B3863</f>
        <v>https://earth.google.com/web/search/-30.89738923138440,-55.55266231824640</v>
      </c>
      <c r="H3863" s="12"/>
      <c r="I3863" s="12"/>
      <c r="J3863" s="12"/>
      <c r="K3863" s="12"/>
      <c r="L3863" s="12"/>
      <c r="M3863" s="12"/>
      <c r="N3863" s="12"/>
      <c r="O3863" s="12"/>
      <c r="P3863" s="12"/>
      <c r="Q3863" s="12"/>
      <c r="R3863" s="12"/>
      <c r="S3863" s="12"/>
      <c r="T3863" s="12"/>
      <c r="U3863" s="12"/>
      <c r="V3863" s="12"/>
      <c r="W3863" s="12"/>
      <c r="X3863" s="12"/>
      <c r="Y3863" s="12"/>
      <c r="Z3863" s="12"/>
      <c r="AA3863" s="12"/>
    </row>
    <row r="3864" ht="26.25" customHeight="1">
      <c r="A3864" s="34" t="s">
        <v>7738</v>
      </c>
      <c r="B3864" s="35" t="s">
        <v>7739</v>
      </c>
      <c r="C3864" s="36">
        <v>4.0</v>
      </c>
      <c r="D3864" s="37">
        <v>270.0</v>
      </c>
      <c r="E3864" s="37">
        <v>3.0</v>
      </c>
      <c r="F3864" s="24" t="str">
        <f t="array" ref="F3864">"https://www.google.com/maps/search/?api=1&amp;query=" &amp; A3864 &amp; "," &amp; B3864</f>
        <v>https://www.google.com/maps/search/?api=1&amp;query=-30.89753095829230,-55.55240659452630</v>
      </c>
      <c r="G3864" s="25" t="str">
        <f t="array" ref="G3864">"https://earth.google.com/web/search/" &amp; A3864 &amp; "," &amp; B3864</f>
        <v>https://earth.google.com/web/search/-30.89753095829230,-55.55240659452630</v>
      </c>
      <c r="H3864" s="12"/>
      <c r="I3864" s="12"/>
      <c r="J3864" s="12"/>
      <c r="K3864" s="12"/>
      <c r="L3864" s="12"/>
      <c r="M3864" s="12"/>
      <c r="N3864" s="12"/>
      <c r="O3864" s="12"/>
      <c r="P3864" s="12"/>
      <c r="Q3864" s="12"/>
      <c r="R3864" s="12"/>
      <c r="S3864" s="12"/>
      <c r="T3864" s="12"/>
      <c r="U3864" s="12"/>
      <c r="V3864" s="12"/>
      <c r="W3864" s="12"/>
      <c r="X3864" s="12"/>
      <c r="Y3864" s="12"/>
      <c r="Z3864" s="12"/>
      <c r="AA3864" s="12"/>
    </row>
    <row r="3865" ht="26.25" customHeight="1">
      <c r="A3865" s="28" t="s">
        <v>7740</v>
      </c>
      <c r="B3865" s="29" t="s">
        <v>7741</v>
      </c>
      <c r="C3865" s="30">
        <v>4.0</v>
      </c>
      <c r="D3865" s="31">
        <v>270.0</v>
      </c>
      <c r="E3865" s="31">
        <v>4.0</v>
      </c>
      <c r="F3865" s="32" t="str">
        <f t="array" ref="F3865">"https://www.google.com/maps/search/?api=1&amp;query=" &amp; A3865 &amp; "," &amp; B3865</f>
        <v>https://www.google.com/maps/search/?api=1&amp;query=-30.89761323683250,-5.55522244258895</v>
      </c>
      <c r="G3865" s="33" t="str">
        <f t="array" ref="G3865">"https://earth.google.com/web/search/" &amp; A3865 &amp; "," &amp; B3865</f>
        <v>https://earth.google.com/web/search/-30.89761323683250,-5.55522244258895</v>
      </c>
      <c r="H3865" s="12"/>
      <c r="I3865" s="12"/>
      <c r="J3865" s="12"/>
      <c r="K3865" s="12"/>
      <c r="L3865" s="12"/>
      <c r="M3865" s="12"/>
      <c r="N3865" s="12"/>
      <c r="O3865" s="12"/>
      <c r="P3865" s="12"/>
      <c r="Q3865" s="12"/>
      <c r="R3865" s="12"/>
      <c r="S3865" s="12"/>
      <c r="T3865" s="12"/>
      <c r="U3865" s="12"/>
      <c r="V3865" s="12"/>
      <c r="W3865" s="12"/>
      <c r="X3865" s="12"/>
      <c r="Y3865" s="12"/>
      <c r="Z3865" s="12"/>
      <c r="AA3865" s="12"/>
    </row>
    <row r="3866" ht="26.25" customHeight="1">
      <c r="A3866" s="34" t="s">
        <v>7742</v>
      </c>
      <c r="B3866" s="35" t="s">
        <v>7743</v>
      </c>
      <c r="C3866" s="36">
        <v>4.0</v>
      </c>
      <c r="D3866" s="37">
        <v>270.0</v>
      </c>
      <c r="E3866" s="37">
        <v>5.0</v>
      </c>
      <c r="F3866" s="24" t="str">
        <f t="array" ref="F3866">"https://www.google.com/maps/search/?api=1&amp;query=" &amp; A3866 &amp; "," &amp; B3866</f>
        <v>https://www.google.com/maps/search/?api=1&amp;query=-30.89688879632440,-55.55184816133980</v>
      </c>
      <c r="G3866" s="25" t="str">
        <f t="array" ref="G3866">"https://earth.google.com/web/search/" &amp; A3866 &amp; "," &amp; B3866</f>
        <v>https://earth.google.com/web/search/-30.89688879632440,-55.55184816133980</v>
      </c>
      <c r="H3866" s="12"/>
      <c r="I3866" s="12"/>
      <c r="J3866" s="12"/>
      <c r="K3866" s="12"/>
      <c r="L3866" s="12"/>
      <c r="M3866" s="12"/>
      <c r="N3866" s="12"/>
      <c r="O3866" s="12"/>
      <c r="P3866" s="12"/>
      <c r="Q3866" s="12"/>
      <c r="R3866" s="12"/>
      <c r="S3866" s="12"/>
      <c r="T3866" s="12"/>
      <c r="U3866" s="12"/>
      <c r="V3866" s="12"/>
      <c r="W3866" s="12"/>
      <c r="X3866" s="12"/>
      <c r="Y3866" s="12"/>
      <c r="Z3866" s="12"/>
      <c r="AA3866" s="12"/>
    </row>
    <row r="3867" ht="26.25" customHeight="1">
      <c r="A3867" s="28" t="s">
        <v>7744</v>
      </c>
      <c r="B3867" s="29" t="s">
        <v>7745</v>
      </c>
      <c r="C3867" s="30">
        <v>4.0</v>
      </c>
      <c r="D3867" s="31">
        <v>270.0</v>
      </c>
      <c r="E3867" s="31">
        <v>6.0</v>
      </c>
      <c r="F3867" s="32" t="str">
        <f t="array" ref="F3867">"https://www.google.com/maps/search/?api=1&amp;query=" &amp; A3867 &amp; "," &amp; B3867</f>
        <v>https://www.google.com/maps/search/?api=1&amp;query=-0.30897134340062,-55.55287005786120</v>
      </c>
      <c r="G3867" s="33" t="str">
        <f t="array" ref="G3867">"https://earth.google.com/web/search/" &amp; A3867 &amp; "," &amp; B3867</f>
        <v>https://earth.google.com/web/search/-0.30897134340062,-55.55287005786120</v>
      </c>
      <c r="H3867" s="12"/>
      <c r="I3867" s="12"/>
      <c r="J3867" s="12"/>
      <c r="K3867" s="12"/>
      <c r="L3867" s="12"/>
      <c r="M3867" s="12"/>
      <c r="N3867" s="12"/>
      <c r="O3867" s="12"/>
      <c r="P3867" s="12"/>
      <c r="Q3867" s="12"/>
      <c r="R3867" s="12"/>
      <c r="S3867" s="12"/>
      <c r="T3867" s="12"/>
      <c r="U3867" s="12"/>
      <c r="V3867" s="12"/>
      <c r="W3867" s="12"/>
      <c r="X3867" s="12"/>
      <c r="Y3867" s="12"/>
      <c r="Z3867" s="12"/>
      <c r="AA3867" s="12"/>
    </row>
    <row r="3868" ht="26.25" customHeight="1">
      <c r="A3868" s="34" t="s">
        <v>7746</v>
      </c>
      <c r="B3868" s="35" t="s">
        <v>7747</v>
      </c>
      <c r="C3868" s="36">
        <v>4.0</v>
      </c>
      <c r="D3868" s="37">
        <v>271.0</v>
      </c>
      <c r="E3868" s="37">
        <v>1.0</v>
      </c>
      <c r="F3868" s="24" t="str">
        <f t="array" ref="F3868">"https://www.google.com/maps/search/?api=1&amp;query=" &amp; A3868 &amp; "," &amp; B3868</f>
        <v>https://www.google.com/maps/search/?api=1&amp;query=-30.89785839096060,-55.55183595976690</v>
      </c>
      <c r="G3868" s="25" t="str">
        <f t="array" ref="G3868">"https://earth.google.com/web/search/" &amp; A3868 &amp; "," &amp; B3868</f>
        <v>https://earth.google.com/web/search/-30.89785839096060,-55.55183595976690</v>
      </c>
      <c r="H3868" s="12"/>
      <c r="I3868" s="12"/>
      <c r="J3868" s="12"/>
      <c r="K3868" s="12"/>
      <c r="L3868" s="12"/>
      <c r="M3868" s="12"/>
      <c r="N3868" s="12"/>
      <c r="O3868" s="12"/>
      <c r="P3868" s="12"/>
      <c r="Q3868" s="12"/>
      <c r="R3868" s="12"/>
      <c r="S3868" s="12"/>
      <c r="T3868" s="12"/>
      <c r="U3868" s="12"/>
      <c r="V3868" s="12"/>
      <c r="W3868" s="12"/>
      <c r="X3868" s="12"/>
      <c r="Y3868" s="12"/>
      <c r="Z3868" s="12"/>
      <c r="AA3868" s="12"/>
    </row>
    <row r="3869" ht="26.25" customHeight="1">
      <c r="A3869" s="28" t="s">
        <v>7748</v>
      </c>
      <c r="B3869" s="29" t="s">
        <v>7749</v>
      </c>
      <c r="C3869" s="30">
        <v>4.0</v>
      </c>
      <c r="D3869" s="31">
        <v>271.0</v>
      </c>
      <c r="E3869" s="31">
        <v>2.0</v>
      </c>
      <c r="F3869" s="32" t="str">
        <f t="array" ref="F3869">"https://www.google.com/maps/search/?api=1&amp;query=" &amp; A3869 &amp; "," &amp; B3869</f>
        <v>https://www.google.com/maps/search/?api=1&amp;query=-30.89792392159760,-55.55169258717490</v>
      </c>
      <c r="G3869" s="33" t="str">
        <f t="array" ref="G3869">"https://earth.google.com/web/search/" &amp; A3869 &amp; "," &amp; B3869</f>
        <v>https://earth.google.com/web/search/-30.89792392159760,-55.55169258717490</v>
      </c>
      <c r="H3869" s="12"/>
      <c r="I3869" s="12"/>
      <c r="J3869" s="12"/>
      <c r="K3869" s="12"/>
      <c r="L3869" s="12"/>
      <c r="M3869" s="12"/>
      <c r="N3869" s="12"/>
      <c r="O3869" s="12"/>
      <c r="P3869" s="12"/>
      <c r="Q3869" s="12"/>
      <c r="R3869" s="12"/>
      <c r="S3869" s="12"/>
      <c r="T3869" s="12"/>
      <c r="U3869" s="12"/>
      <c r="V3869" s="12"/>
      <c r="W3869" s="12"/>
      <c r="X3869" s="12"/>
      <c r="Y3869" s="12"/>
      <c r="Z3869" s="12"/>
      <c r="AA3869" s="12"/>
    </row>
    <row r="3870" ht="26.25" customHeight="1">
      <c r="A3870" s="34" t="s">
        <v>7750</v>
      </c>
      <c r="B3870" s="35" t="s">
        <v>7751</v>
      </c>
      <c r="C3870" s="36">
        <v>4.0</v>
      </c>
      <c r="D3870" s="37">
        <v>271.0</v>
      </c>
      <c r="E3870" s="37">
        <v>3.0</v>
      </c>
      <c r="F3870" s="24" t="str">
        <f t="array" ref="F3870">"https://www.google.com/maps/search/?api=1&amp;query=" &amp; A3870 &amp; "," &amp; B3870</f>
        <v>https://www.google.com/maps/search/?api=1&amp;query=-3.08980445856144,-55.55145128674560</v>
      </c>
      <c r="G3870" s="25" t="str">
        <f t="array" ref="G3870">"https://earth.google.com/web/search/" &amp; A3870 &amp; "," &amp; B3870</f>
        <v>https://earth.google.com/web/search/-3.08980445856144,-55.55145128674560</v>
      </c>
      <c r="H3870" s="12"/>
      <c r="I3870" s="12"/>
      <c r="J3870" s="12"/>
      <c r="K3870" s="12"/>
      <c r="L3870" s="12"/>
      <c r="M3870" s="12"/>
      <c r="N3870" s="12"/>
      <c r="O3870" s="12"/>
      <c r="P3870" s="12"/>
      <c r="Q3870" s="12"/>
      <c r="R3870" s="12"/>
      <c r="S3870" s="12"/>
      <c r="T3870" s="12"/>
      <c r="U3870" s="12"/>
      <c r="V3870" s="12"/>
      <c r="W3870" s="12"/>
      <c r="X3870" s="12"/>
      <c r="Y3870" s="12"/>
      <c r="Z3870" s="12"/>
      <c r="AA3870" s="12"/>
    </row>
    <row r="3871" ht="26.25" customHeight="1">
      <c r="A3871" s="28" t="s">
        <v>7752</v>
      </c>
      <c r="B3871" s="29" t="s">
        <v>7753</v>
      </c>
      <c r="C3871" s="30">
        <v>4.0</v>
      </c>
      <c r="D3871" s="31">
        <v>271.0</v>
      </c>
      <c r="E3871" s="31">
        <v>4.0</v>
      </c>
      <c r="F3871" s="32" t="str">
        <f t="array" ref="F3871">"https://www.google.com/maps/search/?api=1&amp;query=" &amp; A3871 &amp; "," &amp; B3871</f>
        <v>https://www.google.com/maps/search/?api=1&amp;query=-30.89731906139770,-55.55099807959740</v>
      </c>
      <c r="G3871" s="33" t="str">
        <f t="array" ref="G3871">"https://earth.google.com/web/search/" &amp; A3871 &amp; "," &amp; B3871</f>
        <v>https://earth.google.com/web/search/-30.89731906139770,-55.55099807959740</v>
      </c>
      <c r="H3871" s="12"/>
      <c r="I3871" s="12"/>
      <c r="J3871" s="12"/>
      <c r="K3871" s="12"/>
      <c r="L3871" s="12"/>
      <c r="M3871" s="12"/>
      <c r="N3871" s="12"/>
      <c r="O3871" s="12"/>
      <c r="P3871" s="12"/>
      <c r="Q3871" s="12"/>
      <c r="R3871" s="12"/>
      <c r="S3871" s="12"/>
      <c r="T3871" s="12"/>
      <c r="U3871" s="12"/>
      <c r="V3871" s="12"/>
      <c r="W3871" s="12"/>
      <c r="X3871" s="12"/>
      <c r="Y3871" s="12"/>
      <c r="Z3871" s="12"/>
      <c r="AA3871" s="12"/>
    </row>
    <row r="3872" ht="26.25" customHeight="1">
      <c r="A3872" s="34" t="s">
        <v>7754</v>
      </c>
      <c r="B3872" s="35" t="s">
        <v>7755</v>
      </c>
      <c r="C3872" s="36">
        <v>4.0</v>
      </c>
      <c r="D3872" s="37">
        <v>271.0</v>
      </c>
      <c r="E3872" s="37">
        <v>5.0</v>
      </c>
      <c r="F3872" s="24" t="str">
        <f t="array" ref="F3872">"https://www.google.com/maps/search/?api=1&amp;query=" &amp; A3872 &amp; "," &amp; B3872</f>
        <v>https://www.google.com/maps/search/?api=1&amp;query=-30.89720545782530,-55.55168639523960</v>
      </c>
      <c r="G3872" s="25" t="str">
        <f t="array" ref="G3872">"https://earth.google.com/web/search/" &amp; A3872 &amp; "," &amp; B3872</f>
        <v>https://earth.google.com/web/search/-30.89720545782530,-55.55168639523960</v>
      </c>
      <c r="H3872" s="12"/>
      <c r="I3872" s="12"/>
      <c r="J3872" s="12"/>
      <c r="K3872" s="12"/>
      <c r="L3872" s="12"/>
      <c r="M3872" s="12"/>
      <c r="N3872" s="12"/>
      <c r="O3872" s="12"/>
      <c r="P3872" s="12"/>
      <c r="Q3872" s="12"/>
      <c r="R3872" s="12"/>
      <c r="S3872" s="12"/>
      <c r="T3872" s="12"/>
      <c r="U3872" s="12"/>
      <c r="V3872" s="12"/>
      <c r="W3872" s="12"/>
      <c r="X3872" s="12"/>
      <c r="Y3872" s="12"/>
      <c r="Z3872" s="12"/>
      <c r="AA3872" s="12"/>
    </row>
    <row r="3873" ht="26.25" customHeight="1">
      <c r="A3873" s="28" t="s">
        <v>7756</v>
      </c>
      <c r="B3873" s="29" t="s">
        <v>7757</v>
      </c>
      <c r="C3873" s="30">
        <v>4.0</v>
      </c>
      <c r="D3873" s="31">
        <v>271.0</v>
      </c>
      <c r="E3873" s="31">
        <v>6.0</v>
      </c>
      <c r="F3873" s="32" t="str">
        <f t="array" ref="F3873">"https://www.google.com/maps/search/?api=1&amp;query=" &amp; A3873 &amp; "," &amp; B3873</f>
        <v>https://www.google.com/maps/search/?api=1&amp;query=-30.89730042105170,-55.55174015022490</v>
      </c>
      <c r="G3873" s="33" t="str">
        <f t="array" ref="G3873">"https://earth.google.com/web/search/" &amp; A3873 &amp; "," &amp; B3873</f>
        <v>https://earth.google.com/web/search/-30.89730042105170,-55.55174015022490</v>
      </c>
      <c r="H3873" s="12"/>
      <c r="I3873" s="12"/>
      <c r="J3873" s="12"/>
      <c r="K3873" s="12"/>
      <c r="L3873" s="12"/>
      <c r="M3873" s="12"/>
      <c r="N3873" s="12"/>
      <c r="O3873" s="12"/>
      <c r="P3873" s="12"/>
      <c r="Q3873" s="12"/>
      <c r="R3873" s="12"/>
      <c r="S3873" s="12"/>
      <c r="T3873" s="12"/>
      <c r="U3873" s="12"/>
      <c r="V3873" s="12"/>
      <c r="W3873" s="12"/>
      <c r="X3873" s="12"/>
      <c r="Y3873" s="12"/>
      <c r="Z3873" s="12"/>
      <c r="AA3873" s="12"/>
    </row>
    <row r="3874" ht="26.25" customHeight="1">
      <c r="A3874" s="34" t="s">
        <v>7758</v>
      </c>
      <c r="B3874" s="35" t="s">
        <v>7759</v>
      </c>
      <c r="C3874" s="36">
        <v>4.0</v>
      </c>
      <c r="D3874" s="37">
        <v>271.0</v>
      </c>
      <c r="E3874" s="37">
        <v>7.0</v>
      </c>
      <c r="F3874" s="24" t="str">
        <f t="array" ref="F3874">"https://www.google.com/maps/search/?api=1&amp;query=" &amp; A3874 &amp; "," &amp; B3874</f>
        <v>https://www.google.com/maps/search/?api=1&amp;query=-3.08973946309185,-55.55182198069010</v>
      </c>
      <c r="G3874" s="25" t="str">
        <f t="array" ref="G3874">"https://earth.google.com/web/search/" &amp; A3874 &amp; "," &amp; B3874</f>
        <v>https://earth.google.com/web/search/-3.08973946309185,-55.55182198069010</v>
      </c>
      <c r="H3874" s="12"/>
      <c r="I3874" s="12"/>
      <c r="J3874" s="12"/>
      <c r="K3874" s="12"/>
      <c r="L3874" s="12"/>
      <c r="M3874" s="12"/>
      <c r="N3874" s="12"/>
      <c r="O3874" s="12"/>
      <c r="P3874" s="12"/>
      <c r="Q3874" s="12"/>
      <c r="R3874" s="12"/>
      <c r="S3874" s="12"/>
      <c r="T3874" s="12"/>
      <c r="U3874" s="12"/>
      <c r="V3874" s="12"/>
      <c r="W3874" s="12"/>
      <c r="X3874" s="12"/>
      <c r="Y3874" s="12"/>
      <c r="Z3874" s="12"/>
      <c r="AA3874" s="12"/>
    </row>
    <row r="3875" ht="26.25" customHeight="1">
      <c r="A3875" s="28" t="s">
        <v>7760</v>
      </c>
      <c r="B3875" s="29" t="s">
        <v>7761</v>
      </c>
      <c r="C3875" s="30">
        <v>4.0</v>
      </c>
      <c r="D3875" s="31">
        <v>271.0</v>
      </c>
      <c r="E3875" s="31">
        <v>8.0</v>
      </c>
      <c r="F3875" s="32" t="str">
        <f t="array" ref="F3875">"https://www.google.com/maps/search/?api=1&amp;query=" &amp; A3875 &amp; "," &amp; B3875</f>
        <v>https://www.google.com/maps/search/?api=1&amp;query=-30.89748837846820,-55.55191658652500</v>
      </c>
      <c r="G3875" s="33" t="str">
        <f t="array" ref="G3875">"https://earth.google.com/web/search/" &amp; A3875 &amp; "," &amp; B3875</f>
        <v>https://earth.google.com/web/search/-30.89748837846820,-55.55191658652500</v>
      </c>
      <c r="H3875" s="12"/>
      <c r="I3875" s="12"/>
      <c r="J3875" s="12"/>
      <c r="K3875" s="12"/>
      <c r="L3875" s="12"/>
      <c r="M3875" s="12"/>
      <c r="N3875" s="12"/>
      <c r="O3875" s="12"/>
      <c r="P3875" s="12"/>
      <c r="Q3875" s="12"/>
      <c r="R3875" s="12"/>
      <c r="S3875" s="12"/>
      <c r="T3875" s="12"/>
      <c r="U3875" s="12"/>
      <c r="V3875" s="12"/>
      <c r="W3875" s="12"/>
      <c r="X3875" s="12"/>
      <c r="Y3875" s="12"/>
      <c r="Z3875" s="12"/>
      <c r="AA3875" s="12"/>
    </row>
    <row r="3876" ht="26.25" customHeight="1">
      <c r="A3876" s="34" t="s">
        <v>7762</v>
      </c>
      <c r="B3876" s="35" t="s">
        <v>7763</v>
      </c>
      <c r="C3876" s="36">
        <v>4.0</v>
      </c>
      <c r="D3876" s="37">
        <v>301.0</v>
      </c>
      <c r="E3876" s="37">
        <v>1.0</v>
      </c>
      <c r="F3876" s="24" t="str">
        <f t="array" ref="F3876">"https://www.google.com/maps/search/?api=1&amp;query=" &amp; A3876 &amp; "," &amp; B3876</f>
        <v>https://www.google.com/maps/search/?api=1&amp;query=-30.89853504802740,-55.55256418463240</v>
      </c>
      <c r="G3876" s="25" t="str">
        <f t="array" ref="G3876">"https://earth.google.com/web/search/" &amp; A3876 &amp; "," &amp; B3876</f>
        <v>https://earth.google.com/web/search/-30.89853504802740,-55.55256418463240</v>
      </c>
      <c r="H3876" s="12"/>
      <c r="I3876" s="12"/>
      <c r="J3876" s="12"/>
      <c r="K3876" s="12"/>
      <c r="L3876" s="12"/>
      <c r="M3876" s="12"/>
      <c r="N3876" s="12"/>
      <c r="O3876" s="12"/>
      <c r="P3876" s="12"/>
      <c r="Q3876" s="12"/>
      <c r="R3876" s="12"/>
      <c r="S3876" s="12"/>
      <c r="T3876" s="12"/>
      <c r="U3876" s="12"/>
      <c r="V3876" s="12"/>
      <c r="W3876" s="12"/>
      <c r="X3876" s="12"/>
      <c r="Y3876" s="12"/>
      <c r="Z3876" s="12"/>
      <c r="AA3876" s="12"/>
    </row>
    <row r="3877" ht="26.25" customHeight="1">
      <c r="A3877" s="28" t="s">
        <v>7764</v>
      </c>
      <c r="B3877" s="29" t="s">
        <v>7765</v>
      </c>
      <c r="C3877" s="30">
        <v>4.0</v>
      </c>
      <c r="D3877" s="31">
        <v>301.0</v>
      </c>
      <c r="E3877" s="31">
        <v>2.0</v>
      </c>
      <c r="F3877" s="32" t="str">
        <f t="array" ref="F3877">"https://www.google.com/maps/search/?api=1&amp;query=" &amp; A3877 &amp; "," &amp; B3877</f>
        <v>https://www.google.com/maps/search/?api=1&amp;query=-30.89857804864930,-55.55243910001900</v>
      </c>
      <c r="G3877" s="33" t="str">
        <f t="array" ref="G3877">"https://earth.google.com/web/search/" &amp; A3877 &amp; "," &amp; B3877</f>
        <v>https://earth.google.com/web/search/-30.89857804864930,-55.55243910001900</v>
      </c>
      <c r="H3877" s="12"/>
      <c r="I3877" s="12"/>
      <c r="J3877" s="12"/>
      <c r="K3877" s="12"/>
      <c r="L3877" s="12"/>
      <c r="M3877" s="12"/>
      <c r="N3877" s="12"/>
      <c r="O3877" s="12"/>
      <c r="P3877" s="12"/>
      <c r="Q3877" s="12"/>
      <c r="R3877" s="12"/>
      <c r="S3877" s="12"/>
      <c r="T3877" s="12"/>
      <c r="U3877" s="12"/>
      <c r="V3877" s="12"/>
      <c r="W3877" s="12"/>
      <c r="X3877" s="12"/>
      <c r="Y3877" s="12"/>
      <c r="Z3877" s="12"/>
      <c r="AA3877" s="12"/>
    </row>
    <row r="3878" ht="26.25" customHeight="1">
      <c r="A3878" s="34" t="s">
        <v>7766</v>
      </c>
      <c r="B3878" s="35" t="s">
        <v>7767</v>
      </c>
      <c r="C3878" s="36">
        <v>4.0</v>
      </c>
      <c r="D3878" s="37">
        <v>301.0</v>
      </c>
      <c r="E3878" s="37">
        <v>3.0</v>
      </c>
      <c r="F3878" s="24" t="str">
        <f t="array" ref="F3878">"https://www.google.com/maps/search/?api=1&amp;query=" &amp; A3878 &amp; "," &amp; B3878</f>
        <v>https://www.google.com/maps/search/?api=1&amp;query=-30.89877161160770,-55.55215366558270</v>
      </c>
      <c r="G3878" s="25" t="str">
        <f t="array" ref="G3878">"https://earth.google.com/web/search/" &amp; A3878 &amp; "," &amp; B3878</f>
        <v>https://earth.google.com/web/search/-30.89877161160770,-55.55215366558270</v>
      </c>
      <c r="H3878" s="12"/>
      <c r="I3878" s="12"/>
      <c r="J3878" s="12"/>
      <c r="K3878" s="12"/>
      <c r="L3878" s="12"/>
      <c r="M3878" s="12"/>
      <c r="N3878" s="12"/>
      <c r="O3878" s="12"/>
      <c r="P3878" s="12"/>
      <c r="Q3878" s="12"/>
      <c r="R3878" s="12"/>
      <c r="S3878" s="12"/>
      <c r="T3878" s="12"/>
      <c r="U3878" s="12"/>
      <c r="V3878" s="12"/>
      <c r="W3878" s="12"/>
      <c r="X3878" s="12"/>
      <c r="Y3878" s="12"/>
      <c r="Z3878" s="12"/>
      <c r="AA3878" s="12"/>
    </row>
    <row r="3879" ht="26.25" customHeight="1">
      <c r="A3879" s="28" t="s">
        <v>7768</v>
      </c>
      <c r="B3879" s="29" t="s">
        <v>7769</v>
      </c>
      <c r="C3879" s="30">
        <v>4.0</v>
      </c>
      <c r="D3879" s="31">
        <v>301.0</v>
      </c>
      <c r="E3879" s="31">
        <v>4.0</v>
      </c>
      <c r="F3879" s="32" t="str">
        <f t="array" ref="F3879">"https://www.google.com/maps/search/?api=1&amp;query=" &amp; A3879 &amp; "," &amp; B3879</f>
        <v>https://www.google.com/maps/search/?api=1&amp;query=-30.89883493659560,-55.55202866070040</v>
      </c>
      <c r="G3879" s="33" t="str">
        <f t="array" ref="G3879">"https://earth.google.com/web/search/" &amp; A3879 &amp; "," &amp; B3879</f>
        <v>https://earth.google.com/web/search/-30.89883493659560,-55.55202866070040</v>
      </c>
      <c r="H3879" s="12"/>
      <c r="I3879" s="12"/>
      <c r="J3879" s="12"/>
      <c r="K3879" s="12"/>
      <c r="L3879" s="12"/>
      <c r="M3879" s="12"/>
      <c r="N3879" s="12"/>
      <c r="O3879" s="12"/>
      <c r="P3879" s="12"/>
      <c r="Q3879" s="12"/>
      <c r="R3879" s="12"/>
      <c r="S3879" s="12"/>
      <c r="T3879" s="12"/>
      <c r="U3879" s="12"/>
      <c r="V3879" s="12"/>
      <c r="W3879" s="12"/>
      <c r="X3879" s="12"/>
      <c r="Y3879" s="12"/>
      <c r="Z3879" s="12"/>
      <c r="AA3879" s="12"/>
    </row>
    <row r="3880" ht="26.25" customHeight="1">
      <c r="A3880" s="34" t="s">
        <v>7770</v>
      </c>
      <c r="B3880" s="35" t="s">
        <v>7771</v>
      </c>
      <c r="C3880" s="36">
        <v>4.0</v>
      </c>
      <c r="D3880" s="37">
        <v>301.0</v>
      </c>
      <c r="E3880" s="37">
        <v>5.0</v>
      </c>
      <c r="F3880" s="24" t="str">
        <f t="array" ref="F3880">"https://www.google.com/maps/search/?api=1&amp;query=" &amp; A3880 &amp; "," &amp; B3880</f>
        <v>https://www.google.com/maps/search/?api=1&amp;query=-30.89814062108180,-55.55149764901740</v>
      </c>
      <c r="G3880" s="25" t="str">
        <f t="array" ref="G3880">"https://earth.google.com/web/search/" &amp; A3880 &amp; "," &amp; B3880</f>
        <v>https://earth.google.com/web/search/-30.89814062108180,-55.55149764901740</v>
      </c>
      <c r="H3880" s="12"/>
      <c r="I3880" s="12"/>
      <c r="J3880" s="12"/>
      <c r="K3880" s="12"/>
      <c r="L3880" s="12"/>
      <c r="M3880" s="12"/>
      <c r="N3880" s="12"/>
      <c r="O3880" s="12"/>
      <c r="P3880" s="12"/>
      <c r="Q3880" s="12"/>
      <c r="R3880" s="12"/>
      <c r="S3880" s="12"/>
      <c r="T3880" s="12"/>
      <c r="U3880" s="12"/>
      <c r="V3880" s="12"/>
      <c r="W3880" s="12"/>
      <c r="X3880" s="12"/>
      <c r="Y3880" s="12"/>
      <c r="Z3880" s="12"/>
      <c r="AA3880" s="12"/>
    </row>
    <row r="3881" ht="26.25" customHeight="1">
      <c r="A3881" s="28" t="s">
        <v>7772</v>
      </c>
      <c r="B3881" s="29" t="s">
        <v>7773</v>
      </c>
      <c r="C3881" s="30">
        <v>4.0</v>
      </c>
      <c r="D3881" s="31">
        <v>301.0</v>
      </c>
      <c r="E3881" s="31">
        <v>6.0</v>
      </c>
      <c r="F3881" s="32" t="str">
        <f t="array" ref="F3881">"https://www.google.com/maps/search/?api=1&amp;query=" &amp; A3881 &amp; "," &amp; B3881</f>
        <v>https://www.google.com/maps/search/?api=1&amp;query=-30.89792338131690,-55.55191695695660</v>
      </c>
      <c r="G3881" s="33" t="str">
        <f t="array" ref="G3881">"https://earth.google.com/web/search/" &amp; A3881 &amp; "," &amp; B3881</f>
        <v>https://earth.google.com/web/search/-30.89792338131690,-55.55191695695660</v>
      </c>
      <c r="H3881" s="12"/>
      <c r="I3881" s="12"/>
      <c r="J3881" s="12"/>
      <c r="K3881" s="12"/>
      <c r="L3881" s="12"/>
      <c r="M3881" s="12"/>
      <c r="N3881" s="12"/>
      <c r="O3881" s="12"/>
      <c r="P3881" s="12"/>
      <c r="Q3881" s="12"/>
      <c r="R3881" s="12"/>
      <c r="S3881" s="12"/>
      <c r="T3881" s="12"/>
      <c r="U3881" s="12"/>
      <c r="V3881" s="12"/>
      <c r="W3881" s="12"/>
      <c r="X3881" s="12"/>
      <c r="Y3881" s="12"/>
      <c r="Z3881" s="12"/>
      <c r="AA3881" s="12"/>
    </row>
    <row r="3882" ht="26.25" customHeight="1">
      <c r="A3882" s="34" t="s">
        <v>7774</v>
      </c>
      <c r="B3882" s="35" t="s">
        <v>7775</v>
      </c>
      <c r="C3882" s="36">
        <v>4.0</v>
      </c>
      <c r="D3882" s="37">
        <v>301.0</v>
      </c>
      <c r="E3882" s="37">
        <v>7.0</v>
      </c>
      <c r="F3882" s="24" t="str">
        <f t="array" ref="F3882">"https://www.google.com/maps/search/?api=1&amp;query=" &amp; A3882 &amp; "," &amp; B3882</f>
        <v>https://www.google.com/maps/search/?api=1&amp;query=-30.89784877338480,-5.55520264889216</v>
      </c>
      <c r="G3882" s="25" t="str">
        <f t="array" ref="G3882">"https://earth.google.com/web/search/" &amp; A3882 &amp; "," &amp; B3882</f>
        <v>https://earth.google.com/web/search/-30.89784877338480,-5.55520264889216</v>
      </c>
      <c r="H3882" s="12"/>
      <c r="I3882" s="12"/>
      <c r="J3882" s="12"/>
      <c r="K3882" s="12"/>
      <c r="L3882" s="12"/>
      <c r="M3882" s="12"/>
      <c r="N3882" s="12"/>
      <c r="O3882" s="12"/>
      <c r="P3882" s="12"/>
      <c r="Q3882" s="12"/>
      <c r="R3882" s="12"/>
      <c r="S3882" s="12"/>
      <c r="T3882" s="12"/>
      <c r="U3882" s="12"/>
      <c r="V3882" s="12"/>
      <c r="W3882" s="12"/>
      <c r="X3882" s="12"/>
      <c r="Y3882" s="12"/>
      <c r="Z3882" s="12"/>
      <c r="AA3882" s="12"/>
    </row>
    <row r="3883" ht="26.25" customHeight="1">
      <c r="A3883" s="28" t="s">
        <v>7776</v>
      </c>
      <c r="B3883" s="29" t="s">
        <v>7777</v>
      </c>
      <c r="C3883" s="30">
        <v>4.0</v>
      </c>
      <c r="D3883" s="31">
        <v>301.0</v>
      </c>
      <c r="E3883" s="31">
        <v>8.0</v>
      </c>
      <c r="F3883" s="32" t="str">
        <f t="array" ref="F3883">"https://www.google.com/maps/search/?api=1&amp;query=" &amp; A3883 &amp; "," &amp; B3883</f>
        <v>https://www.google.com/maps/search/?api=1&amp;query=-3.08982416695048,-55.55242708573720</v>
      </c>
      <c r="G3883" s="33" t="str">
        <f t="array" ref="G3883">"https://earth.google.com/web/search/" &amp; A3883 &amp; "," &amp; B3883</f>
        <v>https://earth.google.com/web/search/-3.08982416695048,-55.55242708573720</v>
      </c>
      <c r="H3883" s="12"/>
      <c r="I3883" s="12"/>
      <c r="J3883" s="12"/>
      <c r="K3883" s="12"/>
      <c r="L3883" s="12"/>
      <c r="M3883" s="12"/>
      <c r="N3883" s="12"/>
      <c r="O3883" s="12"/>
      <c r="P3883" s="12"/>
      <c r="Q3883" s="12"/>
      <c r="R3883" s="12"/>
      <c r="S3883" s="12"/>
      <c r="T3883" s="12"/>
      <c r="U3883" s="12"/>
      <c r="V3883" s="12"/>
      <c r="W3883" s="12"/>
      <c r="X3883" s="12"/>
      <c r="Y3883" s="12"/>
      <c r="Z3883" s="12"/>
      <c r="AA3883" s="12"/>
    </row>
    <row r="3884" ht="26.25" customHeight="1">
      <c r="A3884" s="34" t="s">
        <v>7778</v>
      </c>
      <c r="B3884" s="35" t="s">
        <v>7779</v>
      </c>
      <c r="C3884" s="36">
        <v>4.0</v>
      </c>
      <c r="D3884" s="37">
        <v>302.0</v>
      </c>
      <c r="E3884" s="37">
        <v>1.0</v>
      </c>
      <c r="F3884" s="24" t="str">
        <f t="array" ref="F3884">"https://www.google.com/maps/search/?api=1&amp;query=" &amp; A3884 &amp; "," &amp; B3884</f>
        <v>https://www.google.com/maps/search/?api=1&amp;query=-3.08981504154845,-5.55532592081361</v>
      </c>
      <c r="G3884" s="25" t="str">
        <f t="array" ref="G3884">"https://earth.google.com/web/search/" &amp; A3884 &amp; "," &amp; B3884</f>
        <v>https://earth.google.com/web/search/-3.08981504154845,-5.55532592081361</v>
      </c>
      <c r="H3884" s="12"/>
      <c r="I3884" s="12"/>
      <c r="J3884" s="12"/>
      <c r="K3884" s="12"/>
      <c r="L3884" s="12"/>
      <c r="M3884" s="12"/>
      <c r="N3884" s="12"/>
      <c r="O3884" s="12"/>
      <c r="P3884" s="12"/>
      <c r="Q3884" s="12"/>
      <c r="R3884" s="12"/>
      <c r="S3884" s="12"/>
      <c r="T3884" s="12"/>
      <c r="U3884" s="12"/>
      <c r="V3884" s="12"/>
      <c r="W3884" s="12"/>
      <c r="X3884" s="12"/>
      <c r="Y3884" s="12"/>
      <c r="Z3884" s="12"/>
      <c r="AA3884" s="12"/>
    </row>
    <row r="3885" ht="26.25" customHeight="1">
      <c r="A3885" s="28" t="s">
        <v>7780</v>
      </c>
      <c r="B3885" s="29" t="s">
        <v>7781</v>
      </c>
      <c r="C3885" s="30">
        <v>4.0</v>
      </c>
      <c r="D3885" s="31">
        <v>302.0</v>
      </c>
      <c r="E3885" s="31">
        <v>2.0</v>
      </c>
      <c r="F3885" s="32" t="str">
        <f t="array" ref="F3885">"https://www.google.com/maps/search/?api=1&amp;query=" &amp; A3885 &amp; "," &amp; B3885</f>
        <v>https://www.google.com/maps/search/?api=1&amp;query=-30.89830548625740,-55.55301795356340</v>
      </c>
      <c r="G3885" s="33" t="str">
        <f t="array" ref="G3885">"https://earth.google.com/web/search/" &amp; A3885 &amp; "," &amp; B3885</f>
        <v>https://earth.google.com/web/search/-30.89830548625740,-55.55301795356340</v>
      </c>
      <c r="H3885" s="12"/>
      <c r="I3885" s="12"/>
      <c r="J3885" s="12"/>
      <c r="K3885" s="12"/>
      <c r="L3885" s="12"/>
      <c r="M3885" s="12"/>
      <c r="N3885" s="12"/>
      <c r="O3885" s="12"/>
      <c r="P3885" s="12"/>
      <c r="Q3885" s="12"/>
      <c r="R3885" s="12"/>
      <c r="S3885" s="12"/>
      <c r="T3885" s="12"/>
      <c r="U3885" s="12"/>
      <c r="V3885" s="12"/>
      <c r="W3885" s="12"/>
      <c r="X3885" s="12"/>
      <c r="Y3885" s="12"/>
      <c r="Z3885" s="12"/>
      <c r="AA3885" s="12"/>
    </row>
    <row r="3886" ht="26.25" customHeight="1">
      <c r="A3886" s="34" t="s">
        <v>7782</v>
      </c>
      <c r="B3886" s="35" t="s">
        <v>7783</v>
      </c>
      <c r="C3886" s="36">
        <v>4.0</v>
      </c>
      <c r="D3886" s="37">
        <v>302.0</v>
      </c>
      <c r="E3886" s="37">
        <v>3.0</v>
      </c>
      <c r="F3886" s="24" t="str">
        <f t="array" ref="F3886">"https://www.google.com/maps/search/?api=1&amp;query=" &amp; A3886 &amp; "," &amp; B3886</f>
        <v>https://www.google.com/maps/search/?api=1&amp;query=-3.08976247098488,-55.55245118210100</v>
      </c>
      <c r="G3886" s="25" t="str">
        <f t="array" ref="G3886">"https://earth.google.com/web/search/" &amp; A3886 &amp; "," &amp; B3886</f>
        <v>https://earth.google.com/web/search/-3.08976247098488,-55.55245118210100</v>
      </c>
      <c r="H3886" s="12"/>
      <c r="I3886" s="12"/>
      <c r="J3886" s="12"/>
      <c r="K3886" s="12"/>
      <c r="L3886" s="12"/>
      <c r="M3886" s="12"/>
      <c r="N3886" s="12"/>
      <c r="O3886" s="12"/>
      <c r="P3886" s="12"/>
      <c r="Q3886" s="12"/>
      <c r="R3886" s="12"/>
      <c r="S3886" s="12"/>
      <c r="T3886" s="12"/>
      <c r="U3886" s="12"/>
      <c r="V3886" s="12"/>
      <c r="W3886" s="12"/>
      <c r="X3886" s="12"/>
      <c r="Y3886" s="12"/>
      <c r="Z3886" s="12"/>
      <c r="AA3886" s="12"/>
    </row>
    <row r="3887" ht="26.25" customHeight="1">
      <c r="A3887" s="28" t="s">
        <v>7784</v>
      </c>
      <c r="B3887" s="29" t="s">
        <v>7785</v>
      </c>
      <c r="C3887" s="30">
        <v>4.0</v>
      </c>
      <c r="D3887" s="31">
        <v>302.0</v>
      </c>
      <c r="E3887" s="31">
        <v>4.0</v>
      </c>
      <c r="F3887" s="32" t="str">
        <f t="array" ref="F3887">"https://www.google.com/maps/search/?api=1&amp;query=" &amp; A3887 &amp; "," &amp; B3887</f>
        <v>https://www.google.com/maps/search/?api=1&amp;query=-30.89742201939310,-55.55281182766590</v>
      </c>
      <c r="G3887" s="33" t="str">
        <f t="array" ref="G3887">"https://earth.google.com/web/search/" &amp; A3887 &amp; "," &amp; B3887</f>
        <v>https://earth.google.com/web/search/-30.89742201939310,-55.55281182766590</v>
      </c>
      <c r="H3887" s="12"/>
      <c r="I3887" s="12"/>
      <c r="J3887" s="12"/>
      <c r="K3887" s="12"/>
      <c r="L3887" s="12"/>
      <c r="M3887" s="12"/>
      <c r="N3887" s="12"/>
      <c r="O3887" s="12"/>
      <c r="P3887" s="12"/>
      <c r="Q3887" s="12"/>
      <c r="R3887" s="12"/>
      <c r="S3887" s="12"/>
      <c r="T3887" s="12"/>
      <c r="U3887" s="12"/>
      <c r="V3887" s="12"/>
      <c r="W3887" s="12"/>
      <c r="X3887" s="12"/>
      <c r="Y3887" s="12"/>
      <c r="Z3887" s="12"/>
      <c r="AA3887" s="12"/>
    </row>
    <row r="3888" ht="26.25" customHeight="1">
      <c r="A3888" s="34" t="s">
        <v>7786</v>
      </c>
      <c r="B3888" s="35" t="s">
        <v>7787</v>
      </c>
      <c r="C3888" s="36">
        <v>4.0</v>
      </c>
      <c r="D3888" s="37">
        <v>302.0</v>
      </c>
      <c r="E3888" s="37">
        <v>5.0</v>
      </c>
      <c r="F3888" s="24" t="str">
        <f t="array" ref="F3888">"https://www.google.com/maps/search/?api=1&amp;query=" &amp; A3888 &amp; "," &amp; B3888</f>
        <v>https://www.google.com/maps/search/?api=1&amp;query=-30.89747176411920,-55.55311382460450</v>
      </c>
      <c r="G3888" s="25" t="str">
        <f t="array" ref="G3888">"https://earth.google.com/web/search/" &amp; A3888 &amp; "," &amp; B3888</f>
        <v>https://earth.google.com/web/search/-30.89747176411920,-55.55311382460450</v>
      </c>
      <c r="H3888" s="12"/>
      <c r="I3888" s="12"/>
      <c r="J3888" s="12"/>
      <c r="K3888" s="12"/>
      <c r="L3888" s="12"/>
      <c r="M3888" s="12"/>
      <c r="N3888" s="12"/>
      <c r="O3888" s="12"/>
      <c r="P3888" s="12"/>
      <c r="Q3888" s="12"/>
      <c r="R3888" s="12"/>
      <c r="S3888" s="12"/>
      <c r="T3888" s="12"/>
      <c r="U3888" s="12"/>
      <c r="V3888" s="12"/>
      <c r="W3888" s="12"/>
      <c r="X3888" s="12"/>
      <c r="Y3888" s="12"/>
      <c r="Z3888" s="12"/>
      <c r="AA3888" s="12"/>
    </row>
    <row r="3889" ht="26.25" customHeight="1">
      <c r="A3889" s="28" t="s">
        <v>7788</v>
      </c>
      <c r="B3889" s="29" t="s">
        <v>7789</v>
      </c>
      <c r="C3889" s="30">
        <v>4.0</v>
      </c>
      <c r="D3889" s="31">
        <v>362.0</v>
      </c>
      <c r="E3889" s="31">
        <v>5.0</v>
      </c>
      <c r="F3889" s="32" t="str">
        <f t="array" ref="F3889">"https://www.google.com/maps/search/?api=1&amp;query=" &amp; A3889 &amp; "," &amp; B3889</f>
        <v>https://www.google.com/maps/search/?api=1&amp;query=-30.90060604083680,-55.55480198953800</v>
      </c>
      <c r="G3889" s="33" t="str">
        <f t="array" ref="G3889">"https://earth.google.com/web/search/" &amp; A3889 &amp; "," &amp; B3889</f>
        <v>https://earth.google.com/web/search/-30.90060604083680,-55.55480198953800</v>
      </c>
      <c r="H3889" s="12"/>
      <c r="I3889" s="12"/>
      <c r="J3889" s="12"/>
      <c r="K3889" s="12"/>
      <c r="L3889" s="12"/>
      <c r="M3889" s="12"/>
      <c r="N3889" s="12"/>
      <c r="O3889" s="12"/>
      <c r="P3889" s="12"/>
      <c r="Q3889" s="12"/>
      <c r="R3889" s="12"/>
      <c r="S3889" s="12"/>
      <c r="T3889" s="12"/>
      <c r="U3889" s="12"/>
      <c r="V3889" s="12"/>
      <c r="W3889" s="12"/>
      <c r="X3889" s="12"/>
      <c r="Y3889" s="12"/>
      <c r="Z3889" s="12"/>
      <c r="AA3889" s="12"/>
    </row>
    <row r="3890" ht="26.25" customHeight="1">
      <c r="A3890" s="34" t="s">
        <v>7790</v>
      </c>
      <c r="B3890" s="35" t="s">
        <v>7791</v>
      </c>
      <c r="C3890" s="36">
        <v>4.0</v>
      </c>
      <c r="D3890" s="37">
        <v>302.0</v>
      </c>
      <c r="E3890" s="37">
        <v>6.0</v>
      </c>
      <c r="F3890" s="24" t="str">
        <f t="array" ref="F3890">"https://www.google.com/maps/search/?api=1&amp;query=" &amp; A3890 &amp; "," &amp; B3890</f>
        <v>https://www.google.com/maps/search/?api=1&amp;query=-30.89759074558920,-55.55322725683870</v>
      </c>
      <c r="G3890" s="25" t="str">
        <f t="array" ref="G3890">"https://earth.google.com/web/search/" &amp; A3890 &amp; "," &amp; B3890</f>
        <v>https://earth.google.com/web/search/-30.89759074558920,-55.55322725683870</v>
      </c>
      <c r="H3890" s="12"/>
      <c r="I3890" s="12"/>
      <c r="J3890" s="12"/>
      <c r="K3890" s="12"/>
      <c r="L3890" s="12"/>
      <c r="M3890" s="12"/>
      <c r="N3890" s="12"/>
      <c r="O3890" s="12"/>
      <c r="P3890" s="12"/>
      <c r="Q3890" s="12"/>
      <c r="R3890" s="12"/>
      <c r="S3890" s="12"/>
      <c r="T3890" s="12"/>
      <c r="U3890" s="12"/>
      <c r="V3890" s="12"/>
      <c r="W3890" s="12"/>
      <c r="X3890" s="12"/>
      <c r="Y3890" s="12"/>
      <c r="Z3890" s="12"/>
      <c r="AA3890" s="12"/>
    </row>
    <row r="3891" ht="26.25" customHeight="1">
      <c r="A3891" s="28" t="s">
        <v>7792</v>
      </c>
      <c r="B3891" s="29" t="s">
        <v>7793</v>
      </c>
      <c r="C3891" s="30">
        <v>4.0</v>
      </c>
      <c r="D3891" s="31">
        <v>303.0</v>
      </c>
      <c r="E3891" s="31">
        <v>1.0</v>
      </c>
      <c r="F3891" s="32" t="str">
        <f t="array" ref="F3891">"https://www.google.com/maps/search/?api=1&amp;query=" &amp; A3891 &amp; "," &amp; B3891</f>
        <v>https://www.google.com/maps/search/?api=1&amp;query=-3.08976153207478,-55.55433791206550</v>
      </c>
      <c r="G3891" s="33" t="str">
        <f t="array" ref="G3891">"https://earth.google.com/web/search/" &amp; A3891 &amp; "," &amp; B3891</f>
        <v>https://earth.google.com/web/search/-3.08976153207478,-55.55433791206550</v>
      </c>
      <c r="H3891" s="12"/>
      <c r="I3891" s="12"/>
      <c r="J3891" s="12"/>
      <c r="K3891" s="12"/>
      <c r="L3891" s="12"/>
      <c r="M3891" s="12"/>
      <c r="N3891" s="12"/>
      <c r="O3891" s="12"/>
      <c r="P3891" s="12"/>
      <c r="Q3891" s="12"/>
      <c r="R3891" s="12"/>
      <c r="S3891" s="12"/>
      <c r="T3891" s="12"/>
      <c r="U3891" s="12"/>
      <c r="V3891" s="12"/>
      <c r="W3891" s="12"/>
      <c r="X3891" s="12"/>
      <c r="Y3891" s="12"/>
      <c r="Z3891" s="12"/>
      <c r="AA3891" s="12"/>
    </row>
    <row r="3892" ht="26.25" customHeight="1">
      <c r="A3892" s="34" t="s">
        <v>7794</v>
      </c>
      <c r="B3892" s="35" t="s">
        <v>7795</v>
      </c>
      <c r="C3892" s="36">
        <v>4.0</v>
      </c>
      <c r="D3892" s="37">
        <v>303.0</v>
      </c>
      <c r="E3892" s="37">
        <v>2.0</v>
      </c>
      <c r="F3892" s="24" t="str">
        <f t="array" ref="F3892">"https://www.google.com/maps/search/?api=1&amp;query=" &amp; A3892 &amp; "," &amp; B3892</f>
        <v>https://www.google.com/maps/search/?api=1&amp;query=-30.89793622854300,-5.55536529399167</v>
      </c>
      <c r="G3892" s="25" t="str">
        <f t="array" ref="G3892">"https://earth.google.com/web/search/" &amp; A3892 &amp; "," &amp; B3892</f>
        <v>https://earth.google.com/web/search/-30.89793622854300,-5.55536529399167</v>
      </c>
      <c r="H3892" s="12"/>
      <c r="I3892" s="12"/>
      <c r="J3892" s="12"/>
      <c r="K3892" s="12"/>
      <c r="L3892" s="12"/>
      <c r="M3892" s="12"/>
      <c r="N3892" s="12"/>
      <c r="O3892" s="12"/>
      <c r="P3892" s="12"/>
      <c r="Q3892" s="12"/>
      <c r="R3892" s="12"/>
      <c r="S3892" s="12"/>
      <c r="T3892" s="12"/>
      <c r="U3892" s="12"/>
      <c r="V3892" s="12"/>
      <c r="W3892" s="12"/>
      <c r="X3892" s="12"/>
      <c r="Y3892" s="12"/>
      <c r="Z3892" s="12"/>
      <c r="AA3892" s="12"/>
    </row>
    <row r="3893" ht="26.25" customHeight="1">
      <c r="A3893" s="28" t="s">
        <v>7796</v>
      </c>
      <c r="B3893" s="29" t="s">
        <v>7797</v>
      </c>
      <c r="C3893" s="30">
        <v>4.0</v>
      </c>
      <c r="D3893" s="31">
        <v>303.0</v>
      </c>
      <c r="E3893" s="31">
        <v>3.0</v>
      </c>
      <c r="F3893" s="32" t="str">
        <f t="array" ref="F3893">"https://www.google.com/maps/search/?api=1&amp;query=" &amp; A3893 &amp; "," &amp; B3893</f>
        <v>https://www.google.com/maps/search/?api=1&amp;query=-30.89723304601320,-55.55322456164780</v>
      </c>
      <c r="G3893" s="33" t="str">
        <f t="array" ref="G3893">"https://earth.google.com/web/search/" &amp; A3893 &amp; "," &amp; B3893</f>
        <v>https://earth.google.com/web/search/-30.89723304601320,-55.55322456164780</v>
      </c>
      <c r="H3893" s="12"/>
      <c r="I3893" s="12"/>
      <c r="J3893" s="12"/>
      <c r="K3893" s="12"/>
      <c r="L3893" s="12"/>
      <c r="M3893" s="12"/>
      <c r="N3893" s="12"/>
      <c r="O3893" s="12"/>
      <c r="P3893" s="12"/>
      <c r="Q3893" s="12"/>
      <c r="R3893" s="12"/>
      <c r="S3893" s="12"/>
      <c r="T3893" s="12"/>
      <c r="U3893" s="12"/>
      <c r="V3893" s="12"/>
      <c r="W3893" s="12"/>
      <c r="X3893" s="12"/>
      <c r="Y3893" s="12"/>
      <c r="Z3893" s="12"/>
      <c r="AA3893" s="12"/>
    </row>
    <row r="3894" ht="26.25" customHeight="1">
      <c r="A3894" s="34" t="s">
        <v>7798</v>
      </c>
      <c r="B3894" s="35" t="s">
        <v>7799</v>
      </c>
      <c r="C3894" s="36">
        <v>4.0</v>
      </c>
      <c r="D3894" s="37">
        <v>303.0</v>
      </c>
      <c r="E3894" s="37">
        <v>4.0</v>
      </c>
      <c r="F3894" s="24" t="str">
        <f t="array" ref="F3894">"https://www.google.com/maps/search/?api=1&amp;query=" &amp; A3894 &amp; "," &amp; B3894</f>
        <v>https://www.google.com/maps/search/?api=1&amp;query=-30.89714423705420,-55.55339048109590</v>
      </c>
      <c r="G3894" s="25" t="str">
        <f t="array" ref="G3894">"https://earth.google.com/web/search/" &amp; A3894 &amp; "," &amp; B3894</f>
        <v>https://earth.google.com/web/search/-30.89714423705420,-55.55339048109590</v>
      </c>
      <c r="H3894" s="12"/>
      <c r="I3894" s="12"/>
      <c r="J3894" s="12"/>
      <c r="K3894" s="12"/>
      <c r="L3894" s="12"/>
      <c r="M3894" s="12"/>
      <c r="N3894" s="12"/>
      <c r="O3894" s="12"/>
      <c r="P3894" s="12"/>
      <c r="Q3894" s="12"/>
      <c r="R3894" s="12"/>
      <c r="S3894" s="12"/>
      <c r="T3894" s="12"/>
      <c r="U3894" s="12"/>
      <c r="V3894" s="12"/>
      <c r="W3894" s="12"/>
      <c r="X3894" s="12"/>
      <c r="Y3894" s="12"/>
      <c r="Z3894" s="12"/>
      <c r="AA3894" s="12"/>
    </row>
    <row r="3895" ht="26.25" customHeight="1">
      <c r="A3895" s="28" t="s">
        <v>7800</v>
      </c>
      <c r="B3895" s="29" t="s">
        <v>7801</v>
      </c>
      <c r="C3895" s="30">
        <v>4.0</v>
      </c>
      <c r="D3895" s="31">
        <v>303.0</v>
      </c>
      <c r="E3895" s="31">
        <v>5.0</v>
      </c>
      <c r="F3895" s="32" t="str">
        <f t="array" ref="F3895">"https://www.google.com/maps/search/?api=1&amp;query=" &amp; A3895 &amp; "," &amp; B3895</f>
        <v>https://www.google.com/maps/search/?api=1&amp;query=-30.89709243091420,-55.55347787915320</v>
      </c>
      <c r="G3895" s="33" t="str">
        <f t="array" ref="G3895">"https://earth.google.com/web/search/" &amp; A3895 &amp; "," &amp; B3895</f>
        <v>https://earth.google.com/web/search/-30.89709243091420,-55.55347787915320</v>
      </c>
      <c r="H3895" s="12"/>
      <c r="I3895" s="12"/>
      <c r="J3895" s="12"/>
      <c r="K3895" s="12"/>
      <c r="L3895" s="12"/>
      <c r="M3895" s="12"/>
      <c r="N3895" s="12"/>
      <c r="O3895" s="12"/>
      <c r="P3895" s="12"/>
      <c r="Q3895" s="12"/>
      <c r="R3895" s="12"/>
      <c r="S3895" s="12"/>
      <c r="T3895" s="12"/>
      <c r="U3895" s="12"/>
      <c r="V3895" s="12"/>
      <c r="W3895" s="12"/>
      <c r="X3895" s="12"/>
      <c r="Y3895" s="12"/>
      <c r="Z3895" s="12"/>
      <c r="AA3895" s="12"/>
    </row>
    <row r="3896" ht="26.25" customHeight="1">
      <c r="A3896" s="34" t="s">
        <v>7802</v>
      </c>
      <c r="B3896" s="35" t="s">
        <v>7803</v>
      </c>
      <c r="C3896" s="36">
        <v>4.0</v>
      </c>
      <c r="D3896" s="37">
        <v>303.0</v>
      </c>
      <c r="E3896" s="37">
        <v>6.0</v>
      </c>
      <c r="F3896" s="24" t="str">
        <f t="array" ref="F3896">"https://www.google.com/maps/search/?api=1&amp;query=" &amp; A3896 &amp; "," &amp; B3896</f>
        <v>https://www.google.com/maps/search/?api=1&amp;query=-30.89691092496610,-5.55538305159265</v>
      </c>
      <c r="G3896" s="25" t="str">
        <f t="array" ref="G3896">"https://earth.google.com/web/search/" &amp; A3896 &amp; "," &amp; B3896</f>
        <v>https://earth.google.com/web/search/-30.89691092496610,-5.55538305159265</v>
      </c>
      <c r="H3896" s="12"/>
      <c r="I3896" s="12"/>
      <c r="J3896" s="12"/>
      <c r="K3896" s="12"/>
      <c r="L3896" s="12"/>
      <c r="M3896" s="12"/>
      <c r="N3896" s="12"/>
      <c r="O3896" s="12"/>
      <c r="P3896" s="12"/>
      <c r="Q3896" s="12"/>
      <c r="R3896" s="12"/>
      <c r="S3896" s="12"/>
      <c r="T3896" s="12"/>
      <c r="U3896" s="12"/>
      <c r="V3896" s="12"/>
      <c r="W3896" s="12"/>
      <c r="X3896" s="12"/>
      <c r="Y3896" s="12"/>
      <c r="Z3896" s="12"/>
      <c r="AA3896" s="12"/>
    </row>
    <row r="3897" ht="26.25" customHeight="1">
      <c r="A3897" s="28" t="s">
        <v>7804</v>
      </c>
      <c r="B3897" s="29" t="s">
        <v>7805</v>
      </c>
      <c r="C3897" s="30">
        <v>4.0</v>
      </c>
      <c r="D3897" s="31">
        <v>303.0</v>
      </c>
      <c r="E3897" s="31">
        <v>7.0</v>
      </c>
      <c r="F3897" s="32" t="str">
        <f t="array" ref="F3897">"https://www.google.com/maps/search/?api=1&amp;query=" &amp; A3897 &amp; "," &amp; B3897</f>
        <v>https://www.google.com/maps/search/?api=1&amp;query=-30.89689555651660,-55.55396620703970</v>
      </c>
      <c r="G3897" s="33" t="str">
        <f t="array" ref="G3897">"https://earth.google.com/web/search/" &amp; A3897 &amp; "," &amp; B3897</f>
        <v>https://earth.google.com/web/search/-30.89689555651660,-55.55396620703970</v>
      </c>
      <c r="H3897" s="12"/>
      <c r="I3897" s="12"/>
      <c r="J3897" s="12"/>
      <c r="K3897" s="12"/>
      <c r="L3897" s="12"/>
      <c r="M3897" s="12"/>
      <c r="N3897" s="12"/>
      <c r="O3897" s="12"/>
      <c r="P3897" s="12"/>
      <c r="Q3897" s="12"/>
      <c r="R3897" s="12"/>
      <c r="S3897" s="12"/>
      <c r="T3897" s="12"/>
      <c r="U3897" s="12"/>
      <c r="V3897" s="12"/>
      <c r="W3897" s="12"/>
      <c r="X3897" s="12"/>
      <c r="Y3897" s="12"/>
      <c r="Z3897" s="12"/>
      <c r="AA3897" s="12"/>
    </row>
    <row r="3898" ht="26.25" customHeight="1">
      <c r="A3898" s="34" t="s">
        <v>7806</v>
      </c>
      <c r="B3898" s="35" t="s">
        <v>7807</v>
      </c>
      <c r="C3898" s="36">
        <v>4.0</v>
      </c>
      <c r="D3898" s="37">
        <v>303.0</v>
      </c>
      <c r="E3898" s="37">
        <v>8.0</v>
      </c>
      <c r="F3898" s="24" t="str">
        <f t="array" ref="F3898">"https://www.google.com/maps/search/?api=1&amp;query=" &amp; A3898 &amp; "," &amp; B3898</f>
        <v>https://www.google.com/maps/search/?api=1&amp;query=-30.89705531873170,-55.55406822911240</v>
      </c>
      <c r="G3898" s="25" t="str">
        <f t="array" ref="G3898">"https://earth.google.com/web/search/" &amp; A3898 &amp; "," &amp; B3898</f>
        <v>https://earth.google.com/web/search/-30.89705531873170,-55.55406822911240</v>
      </c>
      <c r="H3898" s="12"/>
      <c r="I3898" s="12"/>
      <c r="J3898" s="12"/>
      <c r="K3898" s="12"/>
      <c r="L3898" s="12"/>
      <c r="M3898" s="12"/>
      <c r="N3898" s="12"/>
      <c r="O3898" s="12"/>
      <c r="P3898" s="12"/>
      <c r="Q3898" s="12"/>
      <c r="R3898" s="12"/>
      <c r="S3898" s="12"/>
      <c r="T3898" s="12"/>
      <c r="U3898" s="12"/>
      <c r="V3898" s="12"/>
      <c r="W3898" s="12"/>
      <c r="X3898" s="12"/>
      <c r="Y3898" s="12"/>
      <c r="Z3898" s="12"/>
      <c r="AA3898" s="12"/>
    </row>
    <row r="3899" ht="26.25" customHeight="1">
      <c r="A3899" s="28" t="s">
        <v>7808</v>
      </c>
      <c r="B3899" s="29" t="s">
        <v>7809</v>
      </c>
      <c r="C3899" s="30">
        <v>4.0</v>
      </c>
      <c r="D3899" s="31">
        <v>303.0</v>
      </c>
      <c r="E3899" s="31">
        <v>9.0</v>
      </c>
      <c r="F3899" s="32" t="str">
        <f t="array" ref="F3899">"https://www.google.com/maps/search/?api=1&amp;query=" &amp; A3899 &amp; "," &amp; B3899</f>
        <v>https://www.google.com/maps/search/?api=1&amp;query=-3.08974209212296,-55.55431927878980</v>
      </c>
      <c r="G3899" s="33" t="str">
        <f t="array" ref="G3899">"https://earth.google.com/web/search/" &amp; A3899 &amp; "," &amp; B3899</f>
        <v>https://earth.google.com/web/search/-3.08974209212296,-55.55431927878980</v>
      </c>
      <c r="H3899" s="12"/>
      <c r="I3899" s="12"/>
      <c r="J3899" s="12"/>
      <c r="K3899" s="12"/>
      <c r="L3899" s="12"/>
      <c r="M3899" s="12"/>
      <c r="N3899" s="12"/>
      <c r="O3899" s="12"/>
      <c r="P3899" s="12"/>
      <c r="Q3899" s="12"/>
      <c r="R3899" s="12"/>
      <c r="S3899" s="12"/>
      <c r="T3899" s="12"/>
      <c r="U3899" s="12"/>
      <c r="V3899" s="12"/>
      <c r="W3899" s="12"/>
      <c r="X3899" s="12"/>
      <c r="Y3899" s="12"/>
      <c r="Z3899" s="12"/>
      <c r="AA3899" s="12"/>
    </row>
    <row r="3900" ht="26.25" customHeight="1">
      <c r="A3900" s="34" t="s">
        <v>7810</v>
      </c>
      <c r="B3900" s="35" t="s">
        <v>7811</v>
      </c>
      <c r="C3900" s="36">
        <v>4.0</v>
      </c>
      <c r="D3900" s="37">
        <v>303.0</v>
      </c>
      <c r="E3900" s="37">
        <v>10.0</v>
      </c>
      <c r="F3900" s="24" t="str">
        <f t="array" ref="F3900">"https://www.google.com/maps/search/?api=1&amp;query=" &amp; A3900 &amp; "," &amp; B3900</f>
        <v>https://www.google.com/maps/search/?api=1&amp;query=-30.89755296572300,-55.55439139968250</v>
      </c>
      <c r="G3900" s="25" t="str">
        <f t="array" ref="G3900">"https://earth.google.com/web/search/" &amp; A3900 &amp; "," &amp; B3900</f>
        <v>https://earth.google.com/web/search/-30.89755296572300,-55.55439139968250</v>
      </c>
      <c r="H3900" s="12"/>
      <c r="I3900" s="12"/>
      <c r="J3900" s="12"/>
      <c r="K3900" s="12"/>
      <c r="L3900" s="12"/>
      <c r="M3900" s="12"/>
      <c r="N3900" s="12"/>
      <c r="O3900" s="12"/>
      <c r="P3900" s="12"/>
      <c r="Q3900" s="12"/>
      <c r="R3900" s="12"/>
      <c r="S3900" s="12"/>
      <c r="T3900" s="12"/>
      <c r="U3900" s="12"/>
      <c r="V3900" s="12"/>
      <c r="W3900" s="12"/>
      <c r="X3900" s="12"/>
      <c r="Y3900" s="12"/>
      <c r="Z3900" s="12"/>
      <c r="AA3900" s="12"/>
    </row>
    <row r="3901" ht="26.25" customHeight="1">
      <c r="A3901" s="28" t="s">
        <v>7812</v>
      </c>
      <c r="B3901" s="29" t="s">
        <v>7813</v>
      </c>
      <c r="C3901" s="30">
        <v>4.0</v>
      </c>
      <c r="D3901" s="31">
        <v>304.0</v>
      </c>
      <c r="E3901" s="31">
        <v>1.0</v>
      </c>
      <c r="F3901" s="32" t="str">
        <f t="array" ref="F3901">"https://www.google.com/maps/search/?api=1&amp;query=" &amp; A3901 &amp; "," &amp; B3901</f>
        <v>https://www.google.com/maps/search/?api=1&amp;query=-30.89713103690950,-55.55523272734330</v>
      </c>
      <c r="G3901" s="33" t="str">
        <f t="array" ref="G3901">"https://earth.google.com/web/search/" &amp; A3901 &amp; "," &amp; B3901</f>
        <v>https://earth.google.com/web/search/-30.89713103690950,-55.55523272734330</v>
      </c>
      <c r="H3901" s="12"/>
      <c r="I3901" s="12"/>
      <c r="J3901" s="12"/>
      <c r="K3901" s="12"/>
      <c r="L3901" s="12"/>
      <c r="M3901" s="12"/>
      <c r="N3901" s="12"/>
      <c r="O3901" s="12"/>
      <c r="P3901" s="12"/>
      <c r="Q3901" s="12"/>
      <c r="R3901" s="12"/>
      <c r="S3901" s="12"/>
      <c r="T3901" s="12"/>
      <c r="U3901" s="12"/>
      <c r="V3901" s="12"/>
      <c r="W3901" s="12"/>
      <c r="X3901" s="12"/>
      <c r="Y3901" s="12"/>
      <c r="Z3901" s="12"/>
      <c r="AA3901" s="12"/>
    </row>
    <row r="3902" ht="26.25" customHeight="1">
      <c r="A3902" s="34" t="s">
        <v>7814</v>
      </c>
      <c r="B3902" s="35" t="s">
        <v>7815</v>
      </c>
      <c r="C3902" s="36">
        <v>4.0</v>
      </c>
      <c r="D3902" s="37">
        <v>304.0</v>
      </c>
      <c r="E3902" s="37">
        <v>2.0</v>
      </c>
      <c r="F3902" s="24" t="str">
        <f t="array" ref="F3902">"https://www.google.com/maps/search/?api=1&amp;query=" &amp; A3902 &amp; "," &amp; B3902</f>
        <v>https://www.google.com/maps/search/?api=1&amp;query=-30.89716991309310,-55.55512994297150</v>
      </c>
      <c r="G3902" s="25" t="str">
        <f t="array" ref="G3902">"https://earth.google.com/web/search/" &amp; A3902 &amp; "," &amp; B3902</f>
        <v>https://earth.google.com/web/search/-30.89716991309310,-55.55512994297150</v>
      </c>
      <c r="H3902" s="12"/>
      <c r="I3902" s="12"/>
      <c r="J3902" s="12"/>
      <c r="K3902" s="12"/>
      <c r="L3902" s="12"/>
      <c r="M3902" s="12"/>
      <c r="N3902" s="12"/>
      <c r="O3902" s="12"/>
      <c r="P3902" s="12"/>
      <c r="Q3902" s="12"/>
      <c r="R3902" s="12"/>
      <c r="S3902" s="12"/>
      <c r="T3902" s="12"/>
      <c r="U3902" s="12"/>
      <c r="V3902" s="12"/>
      <c r="W3902" s="12"/>
      <c r="X3902" s="12"/>
      <c r="Y3902" s="12"/>
      <c r="Z3902" s="12"/>
      <c r="AA3902" s="12"/>
    </row>
    <row r="3903" ht="26.25" customHeight="1">
      <c r="A3903" s="28" t="s">
        <v>7816</v>
      </c>
      <c r="B3903" s="29" t="s">
        <v>7817</v>
      </c>
      <c r="C3903" s="30">
        <v>4.0</v>
      </c>
      <c r="D3903" s="31">
        <v>304.0</v>
      </c>
      <c r="E3903" s="31">
        <v>3.0</v>
      </c>
      <c r="F3903" s="32" t="str">
        <f t="array" ref="F3903">"https://www.google.com/maps/search/?api=1&amp;query=" &amp; A3903 &amp; "," &amp; B3903</f>
        <v>https://www.google.com/maps/search/?api=1&amp;query=-30.89725847224730,-55.55497152885680</v>
      </c>
      <c r="G3903" s="33" t="str">
        <f t="array" ref="G3903">"https://earth.google.com/web/search/" &amp; A3903 &amp; "," &amp; B3903</f>
        <v>https://earth.google.com/web/search/-30.89725847224730,-55.55497152885680</v>
      </c>
      <c r="H3903" s="12"/>
      <c r="I3903" s="12"/>
      <c r="J3903" s="12"/>
      <c r="K3903" s="12"/>
      <c r="L3903" s="12"/>
      <c r="M3903" s="12"/>
      <c r="N3903" s="12"/>
      <c r="O3903" s="12"/>
      <c r="P3903" s="12"/>
      <c r="Q3903" s="12"/>
      <c r="R3903" s="12"/>
      <c r="S3903" s="12"/>
      <c r="T3903" s="12"/>
      <c r="U3903" s="12"/>
      <c r="V3903" s="12"/>
      <c r="W3903" s="12"/>
      <c r="X3903" s="12"/>
      <c r="Y3903" s="12"/>
      <c r="Z3903" s="12"/>
      <c r="AA3903" s="12"/>
    </row>
    <row r="3904" ht="26.25" customHeight="1">
      <c r="A3904" s="34" t="s">
        <v>7818</v>
      </c>
      <c r="B3904" s="35" t="s">
        <v>7819</v>
      </c>
      <c r="C3904" s="36">
        <v>4.0</v>
      </c>
      <c r="D3904" s="37">
        <v>304.0</v>
      </c>
      <c r="E3904" s="37">
        <v>4.0</v>
      </c>
      <c r="F3904" s="24" t="str">
        <f t="array" ref="F3904">"https://www.google.com/maps/search/?api=1&amp;query=" &amp; A3904 &amp; "," &amp; B3904</f>
        <v>https://www.google.com/maps/search/?api=1&amp;query=-30.89735063433940,-55.55481062948810</v>
      </c>
      <c r="G3904" s="25" t="str">
        <f t="array" ref="G3904">"https://earth.google.com/web/search/" &amp; A3904 &amp; "," &amp; B3904</f>
        <v>https://earth.google.com/web/search/-30.89735063433940,-55.55481062948810</v>
      </c>
      <c r="H3904" s="12"/>
      <c r="I3904" s="12"/>
      <c r="J3904" s="12"/>
      <c r="K3904" s="12"/>
      <c r="L3904" s="12"/>
      <c r="M3904" s="12"/>
      <c r="N3904" s="12"/>
      <c r="O3904" s="12"/>
      <c r="P3904" s="12"/>
      <c r="Q3904" s="12"/>
      <c r="R3904" s="12"/>
      <c r="S3904" s="12"/>
      <c r="T3904" s="12"/>
      <c r="U3904" s="12"/>
      <c r="V3904" s="12"/>
      <c r="W3904" s="12"/>
      <c r="X3904" s="12"/>
      <c r="Y3904" s="12"/>
      <c r="Z3904" s="12"/>
      <c r="AA3904" s="12"/>
    </row>
    <row r="3905" ht="26.25" customHeight="1">
      <c r="A3905" s="28" t="s">
        <v>7820</v>
      </c>
      <c r="B3905" s="29" t="s">
        <v>7821</v>
      </c>
      <c r="C3905" s="30">
        <v>4.0</v>
      </c>
      <c r="D3905" s="31">
        <v>304.0</v>
      </c>
      <c r="E3905" s="31">
        <v>5.0</v>
      </c>
      <c r="F3905" s="32" t="str">
        <f t="array" ref="F3905">"https://www.google.com/maps/search/?api=1&amp;query=" &amp; A3905 &amp; "," &amp; B3905</f>
        <v>https://www.google.com/maps/search/?api=1&amp;query=-30.89663111763240,-55.55435529989030</v>
      </c>
      <c r="G3905" s="33" t="str">
        <f t="array" ref="G3905">"https://earth.google.com/web/search/" &amp; A3905 &amp; "," &amp; B3905</f>
        <v>https://earth.google.com/web/search/-30.89663111763240,-55.55435529989030</v>
      </c>
      <c r="H3905" s="12"/>
      <c r="I3905" s="12"/>
      <c r="J3905" s="12"/>
      <c r="K3905" s="12"/>
      <c r="L3905" s="12"/>
      <c r="M3905" s="12"/>
      <c r="N3905" s="12"/>
      <c r="O3905" s="12"/>
      <c r="P3905" s="12"/>
      <c r="Q3905" s="12"/>
      <c r="R3905" s="12"/>
      <c r="S3905" s="12"/>
      <c r="T3905" s="12"/>
      <c r="U3905" s="12"/>
      <c r="V3905" s="12"/>
      <c r="W3905" s="12"/>
      <c r="X3905" s="12"/>
      <c r="Y3905" s="12"/>
      <c r="Z3905" s="12"/>
      <c r="AA3905" s="12"/>
    </row>
    <row r="3906" ht="26.25" customHeight="1">
      <c r="A3906" s="34" t="s">
        <v>7822</v>
      </c>
      <c r="B3906" s="35" t="s">
        <v>7823</v>
      </c>
      <c r="C3906" s="36">
        <v>4.0</v>
      </c>
      <c r="D3906" s="37">
        <v>304.0</v>
      </c>
      <c r="E3906" s="37">
        <v>6.0</v>
      </c>
      <c r="F3906" s="24" t="str">
        <f t="array" ref="F3906">"https://www.google.com/maps/search/?api=1&amp;query=" &amp; A3906 &amp; "," &amp; B3906</f>
        <v>https://www.google.com/maps/search/?api=1&amp;query=-30.89655709159380,-55.55444423549140</v>
      </c>
      <c r="G3906" s="25" t="str">
        <f t="array" ref="G3906">"https://earth.google.com/web/search/" &amp; A3906 &amp; "," &amp; B3906</f>
        <v>https://earth.google.com/web/search/-30.89655709159380,-55.55444423549140</v>
      </c>
      <c r="H3906" s="12"/>
      <c r="I3906" s="12"/>
      <c r="J3906" s="12"/>
      <c r="K3906" s="12"/>
      <c r="L3906" s="12"/>
      <c r="M3906" s="12"/>
      <c r="N3906" s="12"/>
      <c r="O3906" s="12"/>
      <c r="P3906" s="12"/>
      <c r="Q3906" s="12"/>
      <c r="R3906" s="12"/>
      <c r="S3906" s="12"/>
      <c r="T3906" s="12"/>
      <c r="U3906" s="12"/>
      <c r="V3906" s="12"/>
      <c r="W3906" s="12"/>
      <c r="X3906" s="12"/>
      <c r="Y3906" s="12"/>
      <c r="Z3906" s="12"/>
      <c r="AA3906" s="12"/>
    </row>
    <row r="3907" ht="26.25" customHeight="1">
      <c r="A3907" s="28" t="s">
        <v>7824</v>
      </c>
      <c r="B3907" s="29" t="s">
        <v>7825</v>
      </c>
      <c r="C3907" s="30">
        <v>4.0</v>
      </c>
      <c r="D3907" s="31">
        <v>304.0</v>
      </c>
      <c r="E3907" s="31">
        <v>7.0</v>
      </c>
      <c r="F3907" s="32" t="str">
        <f t="array" ref="F3907">"https://www.google.com/maps/search/?api=1&amp;query=" &amp; A3907 &amp; "," &amp; B3907</f>
        <v>https://www.google.com/maps/search/?api=1&amp;query=-30.89654217776140,-55.55456633890530</v>
      </c>
      <c r="G3907" s="33" t="str">
        <f t="array" ref="G3907">"https://earth.google.com/web/search/" &amp; A3907 &amp; "," &amp; B3907</f>
        <v>https://earth.google.com/web/search/-30.89654217776140,-55.55456633890530</v>
      </c>
      <c r="H3907" s="12"/>
      <c r="I3907" s="12"/>
      <c r="J3907" s="12"/>
      <c r="K3907" s="12"/>
      <c r="L3907" s="12"/>
      <c r="M3907" s="12"/>
      <c r="N3907" s="12"/>
      <c r="O3907" s="12"/>
      <c r="P3907" s="12"/>
      <c r="Q3907" s="12"/>
      <c r="R3907" s="12"/>
      <c r="S3907" s="12"/>
      <c r="T3907" s="12"/>
      <c r="U3907" s="12"/>
      <c r="V3907" s="12"/>
      <c r="W3907" s="12"/>
      <c r="X3907" s="12"/>
      <c r="Y3907" s="12"/>
      <c r="Z3907" s="12"/>
      <c r="AA3907" s="12"/>
    </row>
    <row r="3908" ht="26.25" customHeight="1">
      <c r="A3908" s="34" t="s">
        <v>7826</v>
      </c>
      <c r="B3908" s="35" t="s">
        <v>7827</v>
      </c>
      <c r="C3908" s="36">
        <v>4.0</v>
      </c>
      <c r="D3908" s="37">
        <v>304.0</v>
      </c>
      <c r="E3908" s="37">
        <v>8.0</v>
      </c>
      <c r="F3908" s="24" t="str">
        <f t="array" ref="F3908">"https://www.google.com/maps/search/?api=1&amp;query=" &amp; A3908 &amp; "," &amp; B3908</f>
        <v>https://www.google.com/maps/search/?api=1&amp;query=-30.89647929015710,-55.55468851696070</v>
      </c>
      <c r="G3908" s="25" t="str">
        <f t="array" ref="G3908">"https://earth.google.com/web/search/" &amp; A3908 &amp; "," &amp; B3908</f>
        <v>https://earth.google.com/web/search/-30.89647929015710,-55.55468851696070</v>
      </c>
      <c r="H3908" s="12"/>
      <c r="I3908" s="12"/>
      <c r="J3908" s="12"/>
      <c r="K3908" s="12"/>
      <c r="L3908" s="12"/>
      <c r="M3908" s="12"/>
      <c r="N3908" s="12"/>
      <c r="O3908" s="12"/>
      <c r="P3908" s="12"/>
      <c r="Q3908" s="12"/>
      <c r="R3908" s="12"/>
      <c r="S3908" s="12"/>
      <c r="T3908" s="12"/>
      <c r="U3908" s="12"/>
      <c r="V3908" s="12"/>
      <c r="W3908" s="12"/>
      <c r="X3908" s="12"/>
      <c r="Y3908" s="12"/>
      <c r="Z3908" s="12"/>
      <c r="AA3908" s="12"/>
    </row>
    <row r="3909" ht="26.25" customHeight="1">
      <c r="A3909" s="28" t="s">
        <v>7828</v>
      </c>
      <c r="B3909" s="29" t="s">
        <v>7829</v>
      </c>
      <c r="C3909" s="30">
        <v>4.0</v>
      </c>
      <c r="D3909" s="31">
        <v>304.0</v>
      </c>
      <c r="E3909" s="31">
        <v>9.0</v>
      </c>
      <c r="F3909" s="32" t="str">
        <f t="array" ref="F3909">"https://www.google.com/maps/search/?api=1&amp;query=" &amp; A3909 &amp; "," &amp; B3909</f>
        <v>https://www.google.com/maps/search/?api=1&amp;query=-30.89638641771260,-5.55547923162357</v>
      </c>
      <c r="G3909" s="33" t="str">
        <f t="array" ref="G3909">"https://earth.google.com/web/search/" &amp; A3909 &amp; "," &amp; B3909</f>
        <v>https://earth.google.com/web/search/-30.89638641771260,-5.55547923162357</v>
      </c>
      <c r="H3909" s="12"/>
      <c r="I3909" s="12"/>
      <c r="J3909" s="12"/>
      <c r="K3909" s="12"/>
      <c r="L3909" s="12"/>
      <c r="M3909" s="12"/>
      <c r="N3909" s="12"/>
      <c r="O3909" s="12"/>
      <c r="P3909" s="12"/>
      <c r="Q3909" s="12"/>
      <c r="R3909" s="12"/>
      <c r="S3909" s="12"/>
      <c r="T3909" s="12"/>
      <c r="U3909" s="12"/>
      <c r="V3909" s="12"/>
      <c r="W3909" s="12"/>
      <c r="X3909" s="12"/>
      <c r="Y3909" s="12"/>
      <c r="Z3909" s="12"/>
      <c r="AA3909" s="12"/>
    </row>
    <row r="3910" ht="26.25" customHeight="1">
      <c r="A3910" s="34" t="s">
        <v>7830</v>
      </c>
      <c r="B3910" s="35" t="s">
        <v>7831</v>
      </c>
      <c r="C3910" s="36">
        <v>4.0</v>
      </c>
      <c r="D3910" s="37">
        <v>304.0</v>
      </c>
      <c r="E3910" s="37">
        <v>10.0</v>
      </c>
      <c r="F3910" s="24" t="str">
        <f t="array" ref="F3910">"https://www.google.com/maps/search/?api=1&amp;query=" &amp; A3910 &amp; "," &amp; B3910</f>
        <v>https://www.google.com/maps/search/?api=1&amp;query=-30.89647422014180,-55.55488212798930</v>
      </c>
      <c r="G3910" s="25" t="str">
        <f t="array" ref="G3910">"https://earth.google.com/web/search/" &amp; A3910 &amp; "," &amp; B3910</f>
        <v>https://earth.google.com/web/search/-30.89647422014180,-55.55488212798930</v>
      </c>
      <c r="H3910" s="12"/>
      <c r="I3910" s="12"/>
      <c r="J3910" s="12"/>
      <c r="K3910" s="12"/>
      <c r="L3910" s="12"/>
      <c r="M3910" s="12"/>
      <c r="N3910" s="12"/>
      <c r="O3910" s="12"/>
      <c r="P3910" s="12"/>
      <c r="Q3910" s="12"/>
      <c r="R3910" s="12"/>
      <c r="S3910" s="12"/>
      <c r="T3910" s="12"/>
      <c r="U3910" s="12"/>
      <c r="V3910" s="12"/>
      <c r="W3910" s="12"/>
      <c r="X3910" s="12"/>
      <c r="Y3910" s="12"/>
      <c r="Z3910" s="12"/>
      <c r="AA3910" s="12"/>
    </row>
    <row r="3911" ht="26.25" customHeight="1">
      <c r="A3911" s="28" t="s">
        <v>7832</v>
      </c>
      <c r="B3911" s="29" t="s">
        <v>7833</v>
      </c>
      <c r="C3911" s="30">
        <v>4.0</v>
      </c>
      <c r="D3911" s="31">
        <v>304.0</v>
      </c>
      <c r="E3911" s="31">
        <v>11.0</v>
      </c>
      <c r="F3911" s="32" t="str">
        <f t="array" ref="F3911">"https://www.google.com/maps/search/?api=1&amp;query=" &amp; A3911 &amp; "," &amp; B3911</f>
        <v>https://www.google.com/maps/search/?api=1&amp;query=-30.89663870150190,-55.55502841255750</v>
      </c>
      <c r="G3911" s="33" t="str">
        <f t="array" ref="G3911">"https://earth.google.com/web/search/" &amp; A3911 &amp; "," &amp; B3911</f>
        <v>https://earth.google.com/web/search/-30.89663870150190,-55.55502841255750</v>
      </c>
      <c r="H3911" s="12"/>
      <c r="I3911" s="12"/>
      <c r="J3911" s="12"/>
      <c r="K3911" s="12"/>
      <c r="L3911" s="12"/>
      <c r="M3911" s="12"/>
      <c r="N3911" s="12"/>
      <c r="O3911" s="12"/>
      <c r="P3911" s="12"/>
      <c r="Q3911" s="12"/>
      <c r="R3911" s="12"/>
      <c r="S3911" s="12"/>
      <c r="T3911" s="12"/>
      <c r="U3911" s="12"/>
      <c r="V3911" s="12"/>
      <c r="W3911" s="12"/>
      <c r="X3911" s="12"/>
      <c r="Y3911" s="12"/>
      <c r="Z3911" s="12"/>
      <c r="AA3911" s="12"/>
    </row>
    <row r="3912" ht="26.25" customHeight="1">
      <c r="A3912" s="34" t="s">
        <v>7834</v>
      </c>
      <c r="B3912" s="35" t="s">
        <v>7835</v>
      </c>
      <c r="C3912" s="36">
        <v>4.0</v>
      </c>
      <c r="D3912" s="37">
        <v>304.0</v>
      </c>
      <c r="E3912" s="37">
        <v>12.0</v>
      </c>
      <c r="F3912" s="24" t="str">
        <f t="array" ref="F3912">"https://www.google.com/maps/search/?api=1&amp;query=" &amp; A3912 &amp; "," &amp; B3912</f>
        <v>https://www.google.com/maps/search/?api=1&amp;query=-30.89674666659880,-55.55509604549440</v>
      </c>
      <c r="G3912" s="25" t="str">
        <f t="array" ref="G3912">"https://earth.google.com/web/search/" &amp; A3912 &amp; "," &amp; B3912</f>
        <v>https://earth.google.com/web/search/-30.89674666659880,-55.55509604549440</v>
      </c>
      <c r="H3912" s="12"/>
      <c r="I3912" s="12"/>
      <c r="J3912" s="12"/>
      <c r="K3912" s="12"/>
      <c r="L3912" s="12"/>
      <c r="M3912" s="12"/>
      <c r="N3912" s="12"/>
      <c r="O3912" s="12"/>
      <c r="P3912" s="12"/>
      <c r="Q3912" s="12"/>
      <c r="R3912" s="12"/>
      <c r="S3912" s="12"/>
      <c r="T3912" s="12"/>
      <c r="U3912" s="12"/>
      <c r="V3912" s="12"/>
      <c r="W3912" s="12"/>
      <c r="X3912" s="12"/>
      <c r="Y3912" s="12"/>
      <c r="Z3912" s="12"/>
      <c r="AA3912" s="12"/>
    </row>
    <row r="3913" ht="26.25" customHeight="1">
      <c r="A3913" s="28" t="s">
        <v>7836</v>
      </c>
      <c r="B3913" s="29" t="s">
        <v>7837</v>
      </c>
      <c r="C3913" s="30">
        <v>4.0</v>
      </c>
      <c r="D3913" s="31">
        <v>304.0</v>
      </c>
      <c r="E3913" s="31">
        <v>13.0</v>
      </c>
      <c r="F3913" s="32" t="str">
        <f t="array" ref="F3913">"https://www.google.com/maps/search/?api=1&amp;query=" &amp; A3913 &amp; "," &amp; B3913</f>
        <v>https://www.google.com/maps/search/?api=1&amp;query=-30.89682683528580,-55.55518148937900</v>
      </c>
      <c r="G3913" s="33" t="str">
        <f t="array" ref="G3913">"https://earth.google.com/web/search/" &amp; A3913 &amp; "," &amp; B3913</f>
        <v>https://earth.google.com/web/search/-30.89682683528580,-55.55518148937900</v>
      </c>
      <c r="H3913" s="12"/>
      <c r="I3913" s="12"/>
      <c r="J3913" s="12"/>
      <c r="K3913" s="12"/>
      <c r="L3913" s="12"/>
      <c r="M3913" s="12"/>
      <c r="N3913" s="12"/>
      <c r="O3913" s="12"/>
      <c r="P3913" s="12"/>
      <c r="Q3913" s="12"/>
      <c r="R3913" s="12"/>
      <c r="S3913" s="12"/>
      <c r="T3913" s="12"/>
      <c r="U3913" s="12"/>
      <c r="V3913" s="12"/>
      <c r="W3913" s="12"/>
      <c r="X3913" s="12"/>
      <c r="Y3913" s="12"/>
      <c r="Z3913" s="12"/>
      <c r="AA3913" s="12"/>
    </row>
    <row r="3914" ht="26.25" customHeight="1">
      <c r="A3914" s="34" t="s">
        <v>7838</v>
      </c>
      <c r="B3914" s="35" t="s">
        <v>7839</v>
      </c>
      <c r="C3914" s="36">
        <v>4.0</v>
      </c>
      <c r="D3914" s="37">
        <v>304.0</v>
      </c>
      <c r="E3914" s="37">
        <v>14.0</v>
      </c>
      <c r="F3914" s="24" t="str">
        <f t="array" ref="F3914">"https://www.google.com/maps/search/?api=1&amp;query=" &amp; A3914 &amp; "," &amp; B3914</f>
        <v>https://www.google.com/maps/search/?api=1&amp;query=-30.89690004708500,-55.55521731462990</v>
      </c>
      <c r="G3914" s="25" t="str">
        <f t="array" ref="G3914">"https://earth.google.com/web/search/" &amp; A3914 &amp; "," &amp; B3914</f>
        <v>https://earth.google.com/web/search/-30.89690004708500,-55.55521731462990</v>
      </c>
      <c r="H3914" s="12"/>
      <c r="I3914" s="12"/>
      <c r="J3914" s="12"/>
      <c r="K3914" s="12"/>
      <c r="L3914" s="12"/>
      <c r="M3914" s="12"/>
      <c r="N3914" s="12"/>
      <c r="O3914" s="12"/>
      <c r="P3914" s="12"/>
      <c r="Q3914" s="12"/>
      <c r="R3914" s="12"/>
      <c r="S3914" s="12"/>
      <c r="T3914" s="12"/>
      <c r="U3914" s="12"/>
      <c r="V3914" s="12"/>
      <c r="W3914" s="12"/>
      <c r="X3914" s="12"/>
      <c r="Y3914" s="12"/>
      <c r="Z3914" s="12"/>
      <c r="AA3914" s="12"/>
    </row>
    <row r="3915" ht="26.25" customHeight="1">
      <c r="A3915" s="28" t="s">
        <v>7840</v>
      </c>
      <c r="B3915" s="29" t="s">
        <v>7841</v>
      </c>
      <c r="C3915" s="30">
        <v>4.0</v>
      </c>
      <c r="D3915" s="31">
        <v>305.0</v>
      </c>
      <c r="E3915" s="31">
        <v>1.0</v>
      </c>
      <c r="F3915" s="32" t="str">
        <f t="array" ref="F3915">"https://www.google.com/maps/search/?api=1&amp;query=" &amp; A3915 &amp; "," &amp; B3915</f>
        <v>https://www.google.com/maps/search/?api=1&amp;query=-30.89689366518310,-55.55534615565470</v>
      </c>
      <c r="G3915" s="33" t="str">
        <f t="array" ref="G3915">"https://earth.google.com/web/search/" &amp; A3915 &amp; "," &amp; B3915</f>
        <v>https://earth.google.com/web/search/-30.89689366518310,-55.55534615565470</v>
      </c>
      <c r="H3915" s="12"/>
      <c r="I3915" s="12"/>
      <c r="J3915" s="12"/>
      <c r="K3915" s="12"/>
      <c r="L3915" s="12"/>
      <c r="M3915" s="12"/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/>
      <c r="AA3915" s="12"/>
    </row>
    <row r="3916" ht="26.25" customHeight="1">
      <c r="A3916" s="34" t="s">
        <v>7842</v>
      </c>
      <c r="B3916" s="35" t="s">
        <v>7843</v>
      </c>
      <c r="C3916" s="36">
        <v>4.0</v>
      </c>
      <c r="D3916" s="37">
        <v>305.0</v>
      </c>
      <c r="E3916" s="37">
        <v>2.0</v>
      </c>
      <c r="F3916" s="24" t="str">
        <f t="array" ref="F3916">"https://www.google.com/maps/search/?api=1&amp;query=" &amp; A3916 &amp; "," &amp; B3916</f>
        <v>https://www.google.com/maps/search/?api=1&amp;query=-30.89679026007730,-55.55526251972200</v>
      </c>
      <c r="G3916" s="25" t="str">
        <f t="array" ref="G3916">"https://earth.google.com/web/search/" &amp; A3916 &amp; "," &amp; B3916</f>
        <v>https://earth.google.com/web/search/-30.89679026007730,-55.55526251972200</v>
      </c>
      <c r="H3916" s="12"/>
      <c r="I3916" s="12"/>
      <c r="J3916" s="12"/>
      <c r="K3916" s="12"/>
      <c r="L3916" s="12"/>
      <c r="M3916" s="12"/>
      <c r="N3916" s="12"/>
      <c r="O3916" s="12"/>
      <c r="P3916" s="12"/>
      <c r="Q3916" s="12"/>
      <c r="R3916" s="12"/>
      <c r="S3916" s="12"/>
      <c r="T3916" s="12"/>
      <c r="U3916" s="12"/>
      <c r="V3916" s="12"/>
      <c r="W3916" s="12"/>
      <c r="X3916" s="12"/>
      <c r="Y3916" s="12"/>
      <c r="Z3916" s="12"/>
      <c r="AA3916" s="12"/>
    </row>
    <row r="3917" ht="26.25" customHeight="1">
      <c r="A3917" s="28" t="s">
        <v>7844</v>
      </c>
      <c r="B3917" s="29" t="s">
        <v>7845</v>
      </c>
      <c r="C3917" s="30">
        <v>4.0</v>
      </c>
      <c r="D3917" s="31">
        <v>305.0</v>
      </c>
      <c r="E3917" s="31">
        <v>3.0</v>
      </c>
      <c r="F3917" s="32" t="str">
        <f t="array" ref="F3917">"https://www.google.com/maps/search/?api=1&amp;query=" &amp; A3917 &amp; "," &amp; B3917</f>
        <v>https://www.google.com/maps/search/?api=1&amp;query=-30.89622742997320,-55.55512097536550</v>
      </c>
      <c r="G3917" s="33" t="str">
        <f t="array" ref="G3917">"https://earth.google.com/web/search/" &amp; A3917 &amp; "," &amp; B3917</f>
        <v>https://earth.google.com/web/search/-30.89622742997320,-55.55512097536550</v>
      </c>
      <c r="H3917" s="12"/>
      <c r="I3917" s="12"/>
      <c r="J3917" s="12"/>
      <c r="K3917" s="12"/>
      <c r="L3917" s="12"/>
      <c r="M3917" s="12"/>
      <c r="N3917" s="12"/>
      <c r="O3917" s="12"/>
      <c r="P3917" s="12"/>
      <c r="Q3917" s="12"/>
      <c r="R3917" s="12"/>
      <c r="S3917" s="12"/>
      <c r="T3917" s="12"/>
      <c r="U3917" s="12"/>
      <c r="V3917" s="12"/>
      <c r="W3917" s="12"/>
      <c r="X3917" s="12"/>
      <c r="Y3917" s="12"/>
      <c r="Z3917" s="12"/>
      <c r="AA3917" s="12"/>
    </row>
    <row r="3918" ht="26.25" customHeight="1">
      <c r="A3918" s="34" t="s">
        <v>7846</v>
      </c>
      <c r="B3918" s="35" t="s">
        <v>7847</v>
      </c>
      <c r="C3918" s="36">
        <v>4.0</v>
      </c>
      <c r="D3918" s="37">
        <v>305.0</v>
      </c>
      <c r="E3918" s="37">
        <v>4.0</v>
      </c>
      <c r="F3918" s="24" t="str">
        <f t="array" ref="F3918">"https://www.google.com/maps/search/?api=1&amp;query=" &amp; A3918 &amp; "," &amp; B3918</f>
        <v>https://www.google.com/maps/search/?api=1&amp;query=-30.89615086722840,-55.55525577402590</v>
      </c>
      <c r="G3918" s="25" t="str">
        <f t="array" ref="G3918">"https://earth.google.com/web/search/" &amp; A3918 &amp; "," &amp; B3918</f>
        <v>https://earth.google.com/web/search/-30.89615086722840,-55.55525577402590</v>
      </c>
      <c r="H3918" s="12"/>
      <c r="I3918" s="12"/>
      <c r="J3918" s="12"/>
      <c r="K3918" s="12"/>
      <c r="L3918" s="12"/>
      <c r="M3918" s="12"/>
      <c r="N3918" s="12"/>
      <c r="O3918" s="12"/>
      <c r="P3918" s="12"/>
      <c r="Q3918" s="12"/>
      <c r="R3918" s="12"/>
      <c r="S3918" s="12"/>
      <c r="T3918" s="12"/>
      <c r="U3918" s="12"/>
      <c r="V3918" s="12"/>
      <c r="W3918" s="12"/>
      <c r="X3918" s="12"/>
      <c r="Y3918" s="12"/>
      <c r="Z3918" s="12"/>
      <c r="AA3918" s="12"/>
    </row>
    <row r="3919" ht="26.25" customHeight="1">
      <c r="A3919" s="28" t="s">
        <v>7848</v>
      </c>
      <c r="B3919" s="29" t="s">
        <v>7849</v>
      </c>
      <c r="C3919" s="30">
        <v>4.0</v>
      </c>
      <c r="D3919" s="31">
        <v>305.0</v>
      </c>
      <c r="E3919" s="31">
        <v>5.0</v>
      </c>
      <c r="F3919" s="32" t="str">
        <f t="array" ref="F3919">"https://www.google.com/maps/search/?api=1&amp;query=" &amp; A3919 &amp; "," &amp; B3919</f>
        <v>https://www.google.com/maps/search/?api=1&amp;query=-30.89609100607610,-55.55538749356180</v>
      </c>
      <c r="G3919" s="33" t="str">
        <f t="array" ref="G3919">"https://earth.google.com/web/search/" &amp; A3919 &amp; "," &amp; B3919</f>
        <v>https://earth.google.com/web/search/-30.89609100607610,-55.55538749356180</v>
      </c>
      <c r="H3919" s="12"/>
      <c r="I3919" s="12"/>
      <c r="J3919" s="12"/>
      <c r="K3919" s="12"/>
      <c r="L3919" s="12"/>
      <c r="M3919" s="12"/>
      <c r="N3919" s="12"/>
      <c r="O3919" s="12"/>
      <c r="P3919" s="12"/>
      <c r="Q3919" s="12"/>
      <c r="R3919" s="12"/>
      <c r="S3919" s="12"/>
      <c r="T3919" s="12"/>
      <c r="U3919" s="12"/>
      <c r="V3919" s="12"/>
      <c r="W3919" s="12"/>
      <c r="X3919" s="12"/>
      <c r="Y3919" s="12"/>
      <c r="Z3919" s="12"/>
      <c r="AA3919" s="12"/>
    </row>
    <row r="3920" ht="26.25" customHeight="1">
      <c r="A3920" s="34" t="s">
        <v>7850</v>
      </c>
      <c r="B3920" s="35" t="s">
        <v>7851</v>
      </c>
      <c r="C3920" s="36">
        <v>4.0</v>
      </c>
      <c r="D3920" s="37">
        <v>305.0</v>
      </c>
      <c r="E3920" s="37">
        <v>6.0</v>
      </c>
      <c r="F3920" s="24" t="str">
        <f t="array" ref="F3920">"https://www.google.com/maps/search/?api=1&amp;query=" &amp; A3920 &amp; "," &amp; B3920</f>
        <v>https://www.google.com/maps/search/?api=1&amp;query=-30.89596710507680,-55.55577729194390</v>
      </c>
      <c r="G3920" s="25" t="str">
        <f t="array" ref="G3920">"https://earth.google.com/web/search/" &amp; A3920 &amp; "," &amp; B3920</f>
        <v>https://earth.google.com/web/search/-30.89596710507680,-55.55577729194390</v>
      </c>
      <c r="H3920" s="12"/>
      <c r="I3920" s="12"/>
      <c r="J3920" s="12"/>
      <c r="K3920" s="12"/>
      <c r="L3920" s="12"/>
      <c r="M3920" s="12"/>
      <c r="N3920" s="12"/>
      <c r="O3920" s="12"/>
      <c r="P3920" s="12"/>
      <c r="Q3920" s="12"/>
      <c r="R3920" s="12"/>
      <c r="S3920" s="12"/>
      <c r="T3920" s="12"/>
      <c r="U3920" s="12"/>
      <c r="V3920" s="12"/>
      <c r="W3920" s="12"/>
      <c r="X3920" s="12"/>
      <c r="Y3920" s="12"/>
      <c r="Z3920" s="12"/>
      <c r="AA3920" s="12"/>
    </row>
    <row r="3921" ht="26.25" customHeight="1">
      <c r="A3921" s="28" t="s">
        <v>7852</v>
      </c>
      <c r="B3921" s="29" t="s">
        <v>7853</v>
      </c>
      <c r="C3921" s="30">
        <v>4.0</v>
      </c>
      <c r="D3921" s="31">
        <v>305.0</v>
      </c>
      <c r="E3921" s="31">
        <v>7.0</v>
      </c>
      <c r="F3921" s="32" t="str">
        <f t="array" ref="F3921">"https://www.google.com/maps/search/?api=1&amp;query=" &amp; A3921 &amp; "," &amp; B3921</f>
        <v>https://www.google.com/maps/search/?api=1&amp;query=-30.89638401769750,-55.55609062342500</v>
      </c>
      <c r="G3921" s="33" t="str">
        <f t="array" ref="G3921">"https://earth.google.com/web/search/" &amp; A3921 &amp; "," &amp; B3921</f>
        <v>https://earth.google.com/web/search/-30.89638401769750,-55.55609062342500</v>
      </c>
      <c r="H3921" s="12"/>
      <c r="I3921" s="12"/>
      <c r="J3921" s="12"/>
      <c r="K3921" s="12"/>
      <c r="L3921" s="12"/>
      <c r="M3921" s="12"/>
      <c r="N3921" s="12"/>
      <c r="O3921" s="12"/>
      <c r="P3921" s="12"/>
      <c r="Q3921" s="12"/>
      <c r="R3921" s="12"/>
      <c r="S3921" s="12"/>
      <c r="T3921" s="12"/>
      <c r="U3921" s="12"/>
      <c r="V3921" s="12"/>
      <c r="W3921" s="12"/>
      <c r="X3921" s="12"/>
      <c r="Y3921" s="12"/>
      <c r="Z3921" s="12"/>
      <c r="AA3921" s="12"/>
    </row>
    <row r="3922" ht="26.25" customHeight="1">
      <c r="A3922" s="34" t="s">
        <v>7854</v>
      </c>
      <c r="B3922" s="35" t="s">
        <v>7855</v>
      </c>
      <c r="C3922" s="36">
        <v>4.0</v>
      </c>
      <c r="D3922" s="37">
        <v>306.0</v>
      </c>
      <c r="E3922" s="37">
        <v>1.0</v>
      </c>
      <c r="F3922" s="24" t="str">
        <f t="array" ref="F3922">"https://www.google.com/maps/search/?api=1&amp;query=" &amp; A3922 &amp; "," &amp; B3922</f>
        <v>https://www.google.com/maps/search/?api=1&amp;query=-30.89613517936580,-55.55709753447800</v>
      </c>
      <c r="G3922" s="25" t="str">
        <f t="array" ref="G3922">"https://earth.google.com/web/search/" &amp; A3922 &amp; "," &amp; B3922</f>
        <v>https://earth.google.com/web/search/-30.89613517936580,-55.55709753447800</v>
      </c>
      <c r="H3922" s="12"/>
      <c r="I3922" s="12"/>
      <c r="J3922" s="12"/>
      <c r="K3922" s="12"/>
      <c r="L3922" s="12"/>
      <c r="M3922" s="12"/>
      <c r="N3922" s="12"/>
      <c r="O3922" s="12"/>
      <c r="P3922" s="12"/>
      <c r="Q3922" s="12"/>
      <c r="R3922" s="12"/>
      <c r="S3922" s="12"/>
      <c r="T3922" s="12"/>
      <c r="U3922" s="12"/>
      <c r="V3922" s="12"/>
      <c r="W3922" s="12"/>
      <c r="X3922" s="12"/>
      <c r="Y3922" s="12"/>
      <c r="Z3922" s="12"/>
      <c r="AA3922" s="12"/>
    </row>
    <row r="3923" ht="26.25" customHeight="1">
      <c r="A3923" s="28" t="s">
        <v>7856</v>
      </c>
      <c r="B3923" s="29" t="s">
        <v>7857</v>
      </c>
      <c r="C3923" s="30">
        <v>4.0</v>
      </c>
      <c r="D3923" s="31">
        <v>306.0</v>
      </c>
      <c r="E3923" s="31">
        <v>2.0</v>
      </c>
      <c r="F3923" s="32" t="str">
        <f t="array" ref="F3923">"https://www.google.com/maps/search/?api=1&amp;query=" &amp; A3923 &amp; "," &amp; B3923</f>
        <v>https://www.google.com/maps/search/?api=1&amp;query=-30.89646539581190,-55.55645861113490</v>
      </c>
      <c r="G3923" s="33" t="str">
        <f t="array" ref="G3923">"https://earth.google.com/web/search/" &amp; A3923 &amp; "," &amp; B3923</f>
        <v>https://earth.google.com/web/search/-30.89646539581190,-55.55645861113490</v>
      </c>
      <c r="H3923" s="12"/>
      <c r="I3923" s="12"/>
      <c r="J3923" s="12"/>
      <c r="K3923" s="12"/>
      <c r="L3923" s="12"/>
      <c r="M3923" s="12"/>
      <c r="N3923" s="12"/>
      <c r="O3923" s="12"/>
      <c r="P3923" s="12"/>
      <c r="Q3923" s="12"/>
      <c r="R3923" s="12"/>
      <c r="S3923" s="12"/>
      <c r="T3923" s="12"/>
      <c r="U3923" s="12"/>
      <c r="V3923" s="12"/>
      <c r="W3923" s="12"/>
      <c r="X3923" s="12"/>
      <c r="Y3923" s="12"/>
      <c r="Z3923" s="12"/>
      <c r="AA3923" s="12"/>
    </row>
    <row r="3924" ht="26.25" customHeight="1">
      <c r="A3924" s="34" t="s">
        <v>7858</v>
      </c>
      <c r="B3924" s="35" t="s">
        <v>7859</v>
      </c>
      <c r="C3924" s="36">
        <v>4.0</v>
      </c>
      <c r="D3924" s="37">
        <v>306.0</v>
      </c>
      <c r="E3924" s="37">
        <v>3.0</v>
      </c>
      <c r="F3924" s="24" t="str">
        <f t="array" ref="F3924">"https://www.google.com/maps/search/?api=1&amp;query=" &amp; A3924 &amp; "," &amp; B3924</f>
        <v>https://www.google.com/maps/search/?api=1&amp;query=-30.89602134776760,-55.55596189257590</v>
      </c>
      <c r="G3924" s="25" t="str">
        <f t="array" ref="G3924">"https://earth.google.com/web/search/" &amp; A3924 &amp; "," &amp; B3924</f>
        <v>https://earth.google.com/web/search/-30.89602134776760,-55.55596189257590</v>
      </c>
      <c r="H3924" s="12"/>
      <c r="I3924" s="12"/>
      <c r="J3924" s="12"/>
      <c r="K3924" s="12"/>
      <c r="L3924" s="12"/>
      <c r="M3924" s="12"/>
      <c r="N3924" s="12"/>
      <c r="O3924" s="12"/>
      <c r="P3924" s="12"/>
      <c r="Q3924" s="12"/>
      <c r="R3924" s="12"/>
      <c r="S3924" s="12"/>
      <c r="T3924" s="12"/>
      <c r="U3924" s="12"/>
      <c r="V3924" s="12"/>
      <c r="W3924" s="12"/>
      <c r="X3924" s="12"/>
      <c r="Y3924" s="12"/>
      <c r="Z3924" s="12"/>
      <c r="AA3924" s="12"/>
    </row>
    <row r="3925" ht="26.25" customHeight="1">
      <c r="A3925" s="28" t="s">
        <v>7860</v>
      </c>
      <c r="B3925" s="29" t="s">
        <v>7861</v>
      </c>
      <c r="C3925" s="30">
        <v>4.0</v>
      </c>
      <c r="D3925" s="31">
        <v>306.0</v>
      </c>
      <c r="E3925" s="31">
        <v>4.0</v>
      </c>
      <c r="F3925" s="32" t="str">
        <f t="array" ref="F3925">"https://www.google.com/maps/search/?api=1&amp;query=" &amp; A3925 &amp; "," &amp; B3925</f>
        <v>https://www.google.com/maps/search/?api=1&amp;query=-30.89578223972990,-55.55596606607890</v>
      </c>
      <c r="G3925" s="33" t="str">
        <f t="array" ref="G3925">"https://earth.google.com/web/search/" &amp; A3925 &amp; "," &amp; B3925</f>
        <v>https://earth.google.com/web/search/-30.89578223972990,-55.55596606607890</v>
      </c>
      <c r="H3925" s="12"/>
      <c r="I3925" s="12"/>
      <c r="J3925" s="12"/>
      <c r="K3925" s="12"/>
      <c r="L3925" s="12"/>
      <c r="M3925" s="12"/>
      <c r="N3925" s="12"/>
      <c r="O3925" s="12"/>
      <c r="P3925" s="12"/>
      <c r="Q3925" s="12"/>
      <c r="R3925" s="12"/>
      <c r="S3925" s="12"/>
      <c r="T3925" s="12"/>
      <c r="U3925" s="12"/>
      <c r="V3925" s="12"/>
      <c r="W3925" s="12"/>
      <c r="X3925" s="12"/>
      <c r="Y3925" s="12"/>
      <c r="Z3925" s="12"/>
      <c r="AA3925" s="12"/>
    </row>
    <row r="3926" ht="26.25" customHeight="1">
      <c r="A3926" s="34" t="s">
        <v>7862</v>
      </c>
      <c r="B3926" s="35" t="s">
        <v>7863</v>
      </c>
      <c r="C3926" s="36">
        <v>4.0</v>
      </c>
      <c r="D3926" s="37">
        <v>306.0</v>
      </c>
      <c r="E3926" s="37">
        <v>5.0</v>
      </c>
      <c r="F3926" s="24" t="str">
        <f t="array" ref="F3926">"https://www.google.com/maps/search/?api=1&amp;query=" &amp; A3926 &amp; "," &amp; B3926</f>
        <v>https://www.google.com/maps/search/?api=1&amp;query=-30.89563394002700,-55.55623607926550</v>
      </c>
      <c r="G3926" s="25" t="str">
        <f t="array" ref="G3926">"https://earth.google.com/web/search/" &amp; A3926 &amp; "," &amp; B3926</f>
        <v>https://earth.google.com/web/search/-30.89563394002700,-55.55623607926550</v>
      </c>
      <c r="H3926" s="12"/>
      <c r="I3926" s="12"/>
      <c r="J3926" s="12"/>
      <c r="K3926" s="12"/>
      <c r="L3926" s="12"/>
      <c r="M3926" s="12"/>
      <c r="N3926" s="12"/>
      <c r="O3926" s="12"/>
      <c r="P3926" s="12"/>
      <c r="Q3926" s="12"/>
      <c r="R3926" s="12"/>
      <c r="S3926" s="12"/>
      <c r="T3926" s="12"/>
      <c r="U3926" s="12"/>
      <c r="V3926" s="12"/>
      <c r="W3926" s="12"/>
      <c r="X3926" s="12"/>
      <c r="Y3926" s="12"/>
      <c r="Z3926" s="12"/>
      <c r="AA3926" s="12"/>
    </row>
    <row r="3927" ht="26.25" customHeight="1">
      <c r="A3927" s="28" t="s">
        <v>7864</v>
      </c>
      <c r="B3927" s="29" t="s">
        <v>7865</v>
      </c>
      <c r="C3927" s="30">
        <v>4.0</v>
      </c>
      <c r="D3927" s="31">
        <v>306.0</v>
      </c>
      <c r="E3927" s="31">
        <v>6.0</v>
      </c>
      <c r="F3927" s="32" t="str">
        <f t="array" ref="F3927">"https://www.google.com/maps/search/?api=1&amp;query=" &amp; A3927 &amp; "," &amp; B3927</f>
        <v>https://www.google.com/maps/search/?api=1&amp;query=-30.89549115359450,-55.55648054504410</v>
      </c>
      <c r="G3927" s="33" t="str">
        <f t="array" ref="G3927">"https://earth.google.com/web/search/" &amp; A3927 &amp; "," &amp; B3927</f>
        <v>https://earth.google.com/web/search/-30.89549115359450,-55.55648054504410</v>
      </c>
      <c r="H3927" s="12"/>
      <c r="I3927" s="12"/>
      <c r="J3927" s="12"/>
      <c r="K3927" s="12"/>
      <c r="L3927" s="12"/>
      <c r="M3927" s="12"/>
      <c r="N3927" s="12"/>
      <c r="O3927" s="12"/>
      <c r="P3927" s="12"/>
      <c r="Q3927" s="12"/>
      <c r="R3927" s="12"/>
      <c r="S3927" s="12"/>
      <c r="T3927" s="12"/>
      <c r="U3927" s="12"/>
      <c r="V3927" s="12"/>
      <c r="W3927" s="12"/>
      <c r="X3927" s="12"/>
      <c r="Y3927" s="12"/>
      <c r="Z3927" s="12"/>
      <c r="AA3927" s="12"/>
    </row>
    <row r="3928" ht="26.25" customHeight="1">
      <c r="A3928" s="34" t="s">
        <v>7866</v>
      </c>
      <c r="B3928" s="35" t="s">
        <v>7867</v>
      </c>
      <c r="C3928" s="36">
        <v>4.0</v>
      </c>
      <c r="D3928" s="37">
        <v>306.0</v>
      </c>
      <c r="E3928" s="37">
        <v>7.0</v>
      </c>
      <c r="F3928" s="24" t="str">
        <f t="array" ref="F3928">"https://www.google.com/maps/search/?api=1&amp;query=" &amp; A3928 &amp; "," &amp; B3928</f>
        <v>https://www.google.com/maps/search/?api=1&amp;query=-30.89545425679550,-55.55658709800160</v>
      </c>
      <c r="G3928" s="25" t="str">
        <f t="array" ref="G3928">"https://earth.google.com/web/search/" &amp; A3928 &amp; "," &amp; B3928</f>
        <v>https://earth.google.com/web/search/-30.89545425679550,-55.55658709800160</v>
      </c>
      <c r="H3928" s="12"/>
      <c r="I3928" s="12"/>
      <c r="J3928" s="12"/>
      <c r="K3928" s="12"/>
      <c r="L3928" s="12"/>
      <c r="M3928" s="12"/>
      <c r="N3928" s="12"/>
      <c r="O3928" s="12"/>
      <c r="P3928" s="12"/>
      <c r="Q3928" s="12"/>
      <c r="R3928" s="12"/>
      <c r="S3928" s="12"/>
      <c r="T3928" s="12"/>
      <c r="U3928" s="12"/>
      <c r="V3928" s="12"/>
      <c r="W3928" s="12"/>
      <c r="X3928" s="12"/>
      <c r="Y3928" s="12"/>
      <c r="Z3928" s="12"/>
      <c r="AA3928" s="12"/>
    </row>
    <row r="3929" ht="26.25" customHeight="1">
      <c r="A3929" s="28" t="s">
        <v>7868</v>
      </c>
      <c r="B3929" s="29" t="s">
        <v>7869</v>
      </c>
      <c r="C3929" s="30">
        <v>4.0</v>
      </c>
      <c r="D3929" s="31">
        <v>306.0</v>
      </c>
      <c r="E3929" s="31">
        <v>8.0</v>
      </c>
      <c r="F3929" s="32" t="str">
        <f t="array" ref="F3929">"https://www.google.com/maps/search/?api=1&amp;query=" &amp; A3929 &amp; "," &amp; B3929</f>
        <v>https://www.google.com/maps/search/?api=1&amp;query=-30.89591895234580,-55.55701884898350</v>
      </c>
      <c r="G3929" s="33" t="str">
        <f t="array" ref="G3929">"https://earth.google.com/web/search/" &amp; A3929 &amp; "," &amp; B3929</f>
        <v>https://earth.google.com/web/search/-30.89591895234580,-55.55701884898350</v>
      </c>
      <c r="H3929" s="12"/>
      <c r="I3929" s="12"/>
      <c r="J3929" s="12"/>
      <c r="K3929" s="12"/>
      <c r="L3929" s="12"/>
      <c r="M3929" s="12"/>
      <c r="N3929" s="12"/>
      <c r="O3929" s="12"/>
      <c r="P3929" s="12"/>
      <c r="Q3929" s="12"/>
      <c r="R3929" s="12"/>
      <c r="S3929" s="12"/>
      <c r="T3929" s="12"/>
      <c r="U3929" s="12"/>
      <c r="V3929" s="12"/>
      <c r="W3929" s="12"/>
      <c r="X3929" s="12"/>
      <c r="Y3929" s="12"/>
      <c r="Z3929" s="12"/>
      <c r="AA3929" s="12"/>
    </row>
    <row r="3930" ht="26.25" customHeight="1">
      <c r="A3930" s="34" t="s">
        <v>7870</v>
      </c>
      <c r="B3930" s="35" t="s">
        <v>7871</v>
      </c>
      <c r="C3930" s="36">
        <v>4.0</v>
      </c>
      <c r="D3930" s="37">
        <v>307.0</v>
      </c>
      <c r="E3930" s="37">
        <v>1.0</v>
      </c>
      <c r="F3930" s="24" t="str">
        <f t="array" ref="F3930">"https://www.google.com/maps/search/?api=1&amp;query=" &amp; A3930 &amp; "," &amp; B3930</f>
        <v>https://www.google.com/maps/search/?api=1&amp;query=-30.89563421933490,-55.55802590556860</v>
      </c>
      <c r="G3930" s="25" t="str">
        <f t="array" ref="G3930">"https://earth.google.com/web/search/" &amp; A3930 &amp; "," &amp; B3930</f>
        <v>https://earth.google.com/web/search/-30.89563421933490,-55.55802590556860</v>
      </c>
      <c r="H3930" s="12"/>
      <c r="I3930" s="12"/>
      <c r="J3930" s="12"/>
      <c r="K3930" s="12"/>
      <c r="L3930" s="12"/>
      <c r="M3930" s="12"/>
      <c r="N3930" s="12"/>
      <c r="O3930" s="12"/>
      <c r="P3930" s="12"/>
      <c r="Q3930" s="12"/>
      <c r="R3930" s="12"/>
      <c r="S3930" s="12"/>
      <c r="T3930" s="12"/>
      <c r="U3930" s="12"/>
      <c r="V3930" s="12"/>
      <c r="W3930" s="12"/>
      <c r="X3930" s="12"/>
      <c r="Y3930" s="12"/>
      <c r="Z3930" s="12"/>
      <c r="AA3930" s="12"/>
    </row>
    <row r="3931" ht="26.25" customHeight="1">
      <c r="A3931" s="28" t="s">
        <v>7872</v>
      </c>
      <c r="B3931" s="29" t="s">
        <v>7873</v>
      </c>
      <c r="C3931" s="30">
        <v>4.0</v>
      </c>
      <c r="D3931" s="31">
        <v>307.0</v>
      </c>
      <c r="E3931" s="31">
        <v>2.0</v>
      </c>
      <c r="F3931" s="32" t="str">
        <f t="array" ref="F3931">"https://www.google.com/maps/search/?api=1&amp;query=" &amp; A3931 &amp; "," &amp; B3931</f>
        <v>https://www.google.com/maps/search/?api=1&amp;query=-30.89569703252650,-5.55578976683781</v>
      </c>
      <c r="G3931" s="33" t="str">
        <f t="array" ref="G3931">"https://earth.google.com/web/search/" &amp; A3931 &amp; "," &amp; B3931</f>
        <v>https://earth.google.com/web/search/-30.89569703252650,-5.55578976683781</v>
      </c>
      <c r="H3931" s="12"/>
      <c r="I3931" s="12"/>
      <c r="J3931" s="12"/>
      <c r="K3931" s="12"/>
      <c r="L3931" s="12"/>
      <c r="M3931" s="12"/>
      <c r="N3931" s="12"/>
      <c r="O3931" s="12"/>
      <c r="P3931" s="12"/>
      <c r="Q3931" s="12"/>
      <c r="R3931" s="12"/>
      <c r="S3931" s="12"/>
      <c r="T3931" s="12"/>
      <c r="U3931" s="12"/>
      <c r="V3931" s="12"/>
      <c r="W3931" s="12"/>
      <c r="X3931" s="12"/>
      <c r="Y3931" s="12"/>
      <c r="Z3931" s="12"/>
      <c r="AA3931" s="12"/>
    </row>
    <row r="3932" ht="26.25" customHeight="1">
      <c r="A3932" s="34" t="s">
        <v>7874</v>
      </c>
      <c r="B3932" s="35" t="s">
        <v>7875</v>
      </c>
      <c r="C3932" s="36">
        <v>4.0</v>
      </c>
      <c r="D3932" s="37">
        <v>307.0</v>
      </c>
      <c r="E3932" s="37">
        <v>3.0</v>
      </c>
      <c r="F3932" s="24" t="str">
        <f t="array" ref="F3932">"https://www.google.com/maps/search/?api=1&amp;query=" &amp; A3932 &amp; "," &amp; B3932</f>
        <v>https://www.google.com/maps/search/?api=1&amp;query=-30.89580613496540,-5.55577083671248</v>
      </c>
      <c r="G3932" s="25" t="str">
        <f t="array" ref="G3932">"https://earth.google.com/web/search/" &amp; A3932 &amp; "," &amp; B3932</f>
        <v>https://earth.google.com/web/search/-30.89580613496540,-5.55577083671248</v>
      </c>
      <c r="H3932" s="12"/>
      <c r="I3932" s="12"/>
      <c r="J3932" s="12"/>
      <c r="K3932" s="12"/>
      <c r="L3932" s="12"/>
      <c r="M3932" s="12"/>
      <c r="N3932" s="12"/>
      <c r="O3932" s="12"/>
      <c r="P3932" s="12"/>
      <c r="Q3932" s="12"/>
      <c r="R3932" s="12"/>
      <c r="S3932" s="12"/>
      <c r="T3932" s="12"/>
      <c r="U3932" s="12"/>
      <c r="V3932" s="12"/>
      <c r="W3932" s="12"/>
      <c r="X3932" s="12"/>
      <c r="Y3932" s="12"/>
      <c r="Z3932" s="12"/>
      <c r="AA3932" s="12"/>
    </row>
    <row r="3933" ht="26.25" customHeight="1">
      <c r="A3933" s="28" t="s">
        <v>7876</v>
      </c>
      <c r="B3933" s="29" t="s">
        <v>7877</v>
      </c>
      <c r="C3933" s="30">
        <v>4.0</v>
      </c>
      <c r="D3933" s="31">
        <v>307.0</v>
      </c>
      <c r="E3933" s="31">
        <v>4.0</v>
      </c>
      <c r="F3933" s="32" t="str">
        <f t="array" ref="F3933">"https://www.google.com/maps/search/?api=1&amp;query=" &amp; A3933 &amp; "," &amp; B3933</f>
        <v>https://www.google.com/maps/search/?api=1&amp;query=-30.89538242492280,-55.55679444204860</v>
      </c>
      <c r="G3933" s="33" t="str">
        <f t="array" ref="G3933">"https://earth.google.com/web/search/" &amp; A3933 &amp; "," &amp; B3933</f>
        <v>https://earth.google.com/web/search/-30.89538242492280,-55.55679444204860</v>
      </c>
      <c r="H3933" s="12"/>
      <c r="I3933" s="12"/>
      <c r="J3933" s="12"/>
      <c r="K3933" s="12"/>
      <c r="L3933" s="12"/>
      <c r="M3933" s="12"/>
      <c r="N3933" s="12"/>
      <c r="O3933" s="12"/>
      <c r="P3933" s="12"/>
      <c r="Q3933" s="12"/>
      <c r="R3933" s="12"/>
      <c r="S3933" s="12"/>
      <c r="T3933" s="12"/>
      <c r="U3933" s="12"/>
      <c r="V3933" s="12"/>
      <c r="W3933" s="12"/>
      <c r="X3933" s="12"/>
      <c r="Y3933" s="12"/>
      <c r="Z3933" s="12"/>
      <c r="AA3933" s="12"/>
    </row>
    <row r="3934" ht="26.25" customHeight="1">
      <c r="A3934" s="34" t="s">
        <v>7878</v>
      </c>
      <c r="B3934" s="35" t="s">
        <v>7879</v>
      </c>
      <c r="C3934" s="36">
        <v>4.0</v>
      </c>
      <c r="D3934" s="37">
        <v>307.0</v>
      </c>
      <c r="E3934" s="37">
        <v>5.0</v>
      </c>
      <c r="F3934" s="24" t="str">
        <f t="array" ref="F3934">"https://www.google.com/maps/search/?api=1&amp;query=" &amp; A3934 &amp; "," &amp; B3934</f>
        <v>https://www.google.com/maps/search/?api=1&amp;query=-30.89529399375930,-55.55687495896860</v>
      </c>
      <c r="G3934" s="25" t="str">
        <f t="array" ref="G3934">"https://earth.google.com/web/search/" &amp; A3934 &amp; "," &amp; B3934</f>
        <v>https://earth.google.com/web/search/-30.89529399375930,-55.55687495896860</v>
      </c>
      <c r="H3934" s="12"/>
      <c r="I3934" s="12"/>
      <c r="J3934" s="12"/>
      <c r="K3934" s="12"/>
      <c r="L3934" s="12"/>
      <c r="M3934" s="12"/>
      <c r="N3934" s="12"/>
      <c r="O3934" s="12"/>
      <c r="P3934" s="12"/>
      <c r="Q3934" s="12"/>
      <c r="R3934" s="12"/>
      <c r="S3934" s="12"/>
      <c r="T3934" s="12"/>
      <c r="U3934" s="12"/>
      <c r="V3934" s="12"/>
      <c r="W3934" s="12"/>
      <c r="X3934" s="12"/>
      <c r="Y3934" s="12"/>
      <c r="Z3934" s="12"/>
      <c r="AA3934" s="12"/>
    </row>
    <row r="3935" ht="26.25" customHeight="1">
      <c r="A3935" s="28" t="s">
        <v>7880</v>
      </c>
      <c r="B3935" s="29" t="s">
        <v>7881</v>
      </c>
      <c r="C3935" s="30">
        <v>4.0</v>
      </c>
      <c r="D3935" s="31">
        <v>307.0</v>
      </c>
      <c r="E3935" s="31">
        <v>6.0</v>
      </c>
      <c r="F3935" s="32" t="str">
        <f t="array" ref="F3935">"https://www.google.com/maps/search/?api=1&amp;query=" &amp; A3935 &amp; "," &amp; B3935</f>
        <v>https://www.google.com/maps/search/?api=1&amp;query=-30.89522679659550,-55.55700772906550</v>
      </c>
      <c r="G3935" s="33" t="str">
        <f t="array" ref="G3935">"https://earth.google.com/web/search/" &amp; A3935 &amp; "," &amp; B3935</f>
        <v>https://earth.google.com/web/search/-30.89522679659550,-55.55700772906550</v>
      </c>
      <c r="H3935" s="12"/>
      <c r="I3935" s="12"/>
      <c r="J3935" s="12"/>
      <c r="K3935" s="12"/>
      <c r="L3935" s="12"/>
      <c r="M3935" s="12"/>
      <c r="N3935" s="12"/>
      <c r="O3935" s="12"/>
      <c r="P3935" s="12"/>
      <c r="Q3935" s="12"/>
      <c r="R3935" s="12"/>
      <c r="S3935" s="12"/>
      <c r="T3935" s="12"/>
      <c r="U3935" s="12"/>
      <c r="V3935" s="12"/>
      <c r="W3935" s="12"/>
      <c r="X3935" s="12"/>
      <c r="Y3935" s="12"/>
      <c r="Z3935" s="12"/>
      <c r="AA3935" s="12"/>
    </row>
    <row r="3936" ht="26.25" customHeight="1">
      <c r="A3936" s="34" t="s">
        <v>7882</v>
      </c>
      <c r="B3936" s="35" t="s">
        <v>7883</v>
      </c>
      <c r="C3936" s="36">
        <v>4.0</v>
      </c>
      <c r="D3936" s="37">
        <v>307.0</v>
      </c>
      <c r="E3936" s="37">
        <v>7.0</v>
      </c>
      <c r="F3936" s="24" t="str">
        <f t="array" ref="F3936">"https://www.google.com/maps/search/?api=1&amp;query=" &amp; A3936 &amp; "," &amp; B3936</f>
        <v>https://www.google.com/maps/search/?api=1&amp;query=-30.89502158909730,-55.55733992872550</v>
      </c>
      <c r="G3936" s="25" t="str">
        <f t="array" ref="G3936">"https://earth.google.com/web/search/" &amp; A3936 &amp; "," &amp; B3936</f>
        <v>https://earth.google.com/web/search/-30.89502158909730,-55.55733992872550</v>
      </c>
      <c r="H3936" s="12"/>
      <c r="I3936" s="12"/>
      <c r="J3936" s="12"/>
      <c r="K3936" s="12"/>
      <c r="L3936" s="12"/>
      <c r="M3936" s="12"/>
      <c r="N3936" s="12"/>
      <c r="O3936" s="12"/>
      <c r="P3936" s="12"/>
      <c r="Q3936" s="12"/>
      <c r="R3936" s="12"/>
      <c r="S3936" s="12"/>
      <c r="T3936" s="12"/>
      <c r="U3936" s="12"/>
      <c r="V3936" s="12"/>
      <c r="W3936" s="12"/>
      <c r="X3936" s="12"/>
      <c r="Y3936" s="12"/>
      <c r="Z3936" s="12"/>
      <c r="AA3936" s="12"/>
    </row>
    <row r="3937" ht="26.25" customHeight="1">
      <c r="A3937" s="28" t="s">
        <v>7884</v>
      </c>
      <c r="B3937" s="29" t="s">
        <v>7885</v>
      </c>
      <c r="C3937" s="30">
        <v>4.0</v>
      </c>
      <c r="D3937" s="31">
        <v>307.0</v>
      </c>
      <c r="E3937" s="31">
        <v>8.0</v>
      </c>
      <c r="F3937" s="32" t="str">
        <f t="array" ref="F3937">"https://www.google.com/maps/search/?api=1&amp;query=" &amp; A3937 &amp; "," &amp; B3937</f>
        <v>https://www.google.com/maps/search/?api=1&amp;query=-30.89495990202290,-55.55746724786040</v>
      </c>
      <c r="G3937" s="33" t="str">
        <f t="array" ref="G3937">"https://earth.google.com/web/search/" &amp; A3937 &amp; "," &amp; B3937</f>
        <v>https://earth.google.com/web/search/-30.89495990202290,-55.55746724786040</v>
      </c>
      <c r="H3937" s="12"/>
      <c r="I3937" s="12"/>
      <c r="J3937" s="12"/>
      <c r="K3937" s="12"/>
      <c r="L3937" s="12"/>
      <c r="M3937" s="12"/>
      <c r="N3937" s="12"/>
      <c r="O3937" s="12"/>
      <c r="P3937" s="12"/>
      <c r="Q3937" s="12"/>
      <c r="R3937" s="12"/>
      <c r="S3937" s="12"/>
      <c r="T3937" s="12"/>
      <c r="U3937" s="12"/>
      <c r="V3937" s="12"/>
      <c r="W3937" s="12"/>
      <c r="X3937" s="12"/>
      <c r="Y3937" s="12"/>
      <c r="Z3937" s="12"/>
      <c r="AA3937" s="12"/>
    </row>
    <row r="3938" ht="26.25" customHeight="1">
      <c r="A3938" s="34" t="s">
        <v>7886</v>
      </c>
      <c r="B3938" s="35" t="s">
        <v>7887</v>
      </c>
      <c r="C3938" s="36">
        <v>4.0</v>
      </c>
      <c r="D3938" s="37">
        <v>307.0</v>
      </c>
      <c r="E3938" s="37">
        <v>9.0</v>
      </c>
      <c r="F3938" s="24" t="str">
        <f t="array" ref="F3938">"https://www.google.com/maps/search/?api=1&amp;query=" &amp; A3938 &amp; "," &amp; B3938</f>
        <v>https://www.google.com/maps/search/?api=1&amp;query=-30.89526415315290,-5.55578019528953</v>
      </c>
      <c r="G3938" s="25" t="str">
        <f t="array" ref="G3938">"https://earth.google.com/web/search/" &amp; A3938 &amp; "," &amp; B3938</f>
        <v>https://earth.google.com/web/search/-30.89526415315290,-5.55578019528953</v>
      </c>
      <c r="H3938" s="12"/>
      <c r="I3938" s="12"/>
      <c r="J3938" s="12"/>
      <c r="K3938" s="12"/>
      <c r="L3938" s="12"/>
      <c r="M3938" s="12"/>
      <c r="N3938" s="12"/>
      <c r="O3938" s="12"/>
      <c r="P3938" s="12"/>
      <c r="Q3938" s="12"/>
      <c r="R3938" s="12"/>
      <c r="S3938" s="12"/>
      <c r="T3938" s="12"/>
      <c r="U3938" s="12"/>
      <c r="V3938" s="12"/>
      <c r="W3938" s="12"/>
      <c r="X3938" s="12"/>
      <c r="Y3938" s="12"/>
      <c r="Z3938" s="12"/>
      <c r="AA3938" s="12"/>
    </row>
    <row r="3939" ht="26.25" customHeight="1">
      <c r="A3939" s="28" t="s">
        <v>7888</v>
      </c>
      <c r="B3939" s="29" t="s">
        <v>7889</v>
      </c>
      <c r="C3939" s="30">
        <v>4.0</v>
      </c>
      <c r="D3939" s="31">
        <v>307.0</v>
      </c>
      <c r="E3939" s="31">
        <v>10.0</v>
      </c>
      <c r="F3939" s="32" t="str">
        <f t="array" ref="F3939">"https://www.google.com/maps/search/?api=1&amp;query=" &amp; A3939 &amp; "," &amp; B3939</f>
        <v>https://www.google.com/maps/search/?api=1&amp;query=-30.89543291453360,-55.55792540621500</v>
      </c>
      <c r="G3939" s="33" t="str">
        <f t="array" ref="G3939">"https://earth.google.com/web/search/" &amp; A3939 &amp; "," &amp; B3939</f>
        <v>https://earth.google.com/web/search/-30.89543291453360,-55.55792540621500</v>
      </c>
      <c r="H3939" s="12"/>
      <c r="I3939" s="12"/>
      <c r="J3939" s="12"/>
      <c r="K3939" s="12"/>
      <c r="L3939" s="12"/>
      <c r="M3939" s="12"/>
      <c r="N3939" s="12"/>
      <c r="O3939" s="12"/>
      <c r="P3939" s="12"/>
      <c r="Q3939" s="12"/>
      <c r="R3939" s="12"/>
      <c r="S3939" s="12"/>
      <c r="T3939" s="12"/>
      <c r="U3939" s="12"/>
      <c r="V3939" s="12"/>
      <c r="W3939" s="12"/>
      <c r="X3939" s="12"/>
      <c r="Y3939" s="12"/>
      <c r="Z3939" s="12"/>
      <c r="AA3939" s="12"/>
    </row>
    <row r="3940" ht="26.25" customHeight="1">
      <c r="A3940" s="34" t="s">
        <v>7890</v>
      </c>
      <c r="B3940" s="35" t="s">
        <v>7891</v>
      </c>
      <c r="C3940" s="36">
        <v>4.0</v>
      </c>
      <c r="D3940" s="37">
        <v>312.0</v>
      </c>
      <c r="E3940" s="37">
        <v>1.0</v>
      </c>
      <c r="F3940" s="24" t="str">
        <f t="array" ref="F3940">"https://www.google.com/maps/search/?api=1&amp;query=" &amp; A3940 &amp; "," &amp; B3940</f>
        <v>https://www.google.com/maps/search/?api=1&amp;query=-30.89664053110840,-55.55819994183490</v>
      </c>
      <c r="G3940" s="25" t="str">
        <f t="array" ref="G3940">"https://earth.google.com/web/search/" &amp; A3940 &amp; "," &amp; B3940</f>
        <v>https://earth.google.com/web/search/-30.89664053110840,-55.55819994183490</v>
      </c>
      <c r="H3940" s="12"/>
      <c r="I3940" s="12"/>
      <c r="J3940" s="12"/>
      <c r="K3940" s="12"/>
      <c r="L3940" s="12"/>
      <c r="M3940" s="12"/>
      <c r="N3940" s="12"/>
      <c r="O3940" s="12"/>
      <c r="P3940" s="12"/>
      <c r="Q3940" s="12"/>
      <c r="R3940" s="12"/>
      <c r="S3940" s="12"/>
      <c r="T3940" s="12"/>
      <c r="U3940" s="12"/>
      <c r="V3940" s="12"/>
      <c r="W3940" s="12"/>
      <c r="X3940" s="12"/>
      <c r="Y3940" s="12"/>
      <c r="Z3940" s="12"/>
      <c r="AA3940" s="12"/>
    </row>
    <row r="3941" ht="26.25" customHeight="1">
      <c r="A3941" s="28" t="s">
        <v>7892</v>
      </c>
      <c r="B3941" s="29" t="s">
        <v>7893</v>
      </c>
      <c r="C3941" s="30">
        <v>4.0</v>
      </c>
      <c r="D3941" s="31">
        <v>312.0</v>
      </c>
      <c r="E3941" s="31">
        <v>2.0</v>
      </c>
      <c r="F3941" s="32" t="str">
        <f t="array" ref="F3941">"https://www.google.com/maps/search/?api=1&amp;query=" &amp; A3941 &amp; "," &amp; B3941</f>
        <v>https://www.google.com/maps/search/?api=1&amp;query=-30.89675546710010,-55.55793924489690</v>
      </c>
      <c r="G3941" s="33" t="str">
        <f t="array" ref="G3941">"https://earth.google.com/web/search/" &amp; A3941 &amp; "," &amp; B3941</f>
        <v>https://earth.google.com/web/search/-30.89675546710010,-55.55793924489690</v>
      </c>
      <c r="H3941" s="12"/>
      <c r="I3941" s="12"/>
      <c r="J3941" s="12"/>
      <c r="K3941" s="12"/>
      <c r="L3941" s="12"/>
      <c r="M3941" s="12"/>
      <c r="N3941" s="12"/>
      <c r="O3941" s="12"/>
      <c r="P3941" s="12"/>
      <c r="Q3941" s="12"/>
      <c r="R3941" s="12"/>
      <c r="S3941" s="12"/>
      <c r="T3941" s="12"/>
      <c r="U3941" s="12"/>
      <c r="V3941" s="12"/>
      <c r="W3941" s="12"/>
      <c r="X3941" s="12"/>
      <c r="Y3941" s="12"/>
      <c r="Z3941" s="12"/>
      <c r="AA3941" s="12"/>
    </row>
    <row r="3942" ht="26.25" customHeight="1">
      <c r="A3942" s="34" t="s">
        <v>7894</v>
      </c>
      <c r="B3942" s="35" t="s">
        <v>7895</v>
      </c>
      <c r="C3942" s="36">
        <v>4.0</v>
      </c>
      <c r="D3942" s="37">
        <v>312.0</v>
      </c>
      <c r="E3942" s="37">
        <v>3.0</v>
      </c>
      <c r="F3942" s="24" t="str">
        <f t="array" ref="F3942">"https://www.google.com/maps/search/?api=1&amp;query=" &amp; A3942 &amp; "," &amp; B3942</f>
        <v>https://www.google.com/maps/search/?api=1&amp;query=-30.89678270355990,-5.55578210348997</v>
      </c>
      <c r="G3942" s="25" t="str">
        <f t="array" ref="G3942">"https://earth.google.com/web/search/" &amp; A3942 &amp; "," &amp; B3942</f>
        <v>https://earth.google.com/web/search/-30.89678270355990,-5.55578210348997</v>
      </c>
      <c r="H3942" s="12"/>
      <c r="I3942" s="12"/>
      <c r="J3942" s="12"/>
      <c r="K3942" s="12"/>
      <c r="L3942" s="12"/>
      <c r="M3942" s="12"/>
      <c r="N3942" s="12"/>
      <c r="O3942" s="12"/>
      <c r="P3942" s="12"/>
      <c r="Q3942" s="12"/>
      <c r="R3942" s="12"/>
      <c r="S3942" s="12"/>
      <c r="T3942" s="12"/>
      <c r="U3942" s="12"/>
      <c r="V3942" s="12"/>
      <c r="W3942" s="12"/>
      <c r="X3942" s="12"/>
      <c r="Y3942" s="12"/>
      <c r="Z3942" s="12"/>
      <c r="AA3942" s="12"/>
    </row>
    <row r="3943" ht="26.25" customHeight="1">
      <c r="A3943" s="28" t="s">
        <v>7896</v>
      </c>
      <c r="B3943" s="29" t="s">
        <v>7897</v>
      </c>
      <c r="C3943" s="30">
        <v>4.0</v>
      </c>
      <c r="D3943" s="31">
        <v>312.0</v>
      </c>
      <c r="E3943" s="31">
        <v>4.0</v>
      </c>
      <c r="F3943" s="32" t="str">
        <f t="array" ref="F3943">"https://www.google.com/maps/search/?api=1&amp;query=" &amp; A3943 &amp; "," &amp; B3943</f>
        <v>https://www.google.com/maps/search/?api=1&amp;query=-30.89646152428590,-55.55755830219550</v>
      </c>
      <c r="G3943" s="33" t="str">
        <f t="array" ref="G3943">"https://earth.google.com/web/search/" &amp; A3943 &amp; "," &amp; B3943</f>
        <v>https://earth.google.com/web/search/-30.89646152428590,-55.55755830219550</v>
      </c>
      <c r="H3943" s="12"/>
      <c r="I3943" s="12"/>
      <c r="J3943" s="12"/>
      <c r="K3943" s="12"/>
      <c r="L3943" s="12"/>
      <c r="M3943" s="12"/>
      <c r="N3943" s="12"/>
      <c r="O3943" s="12"/>
      <c r="P3943" s="12"/>
      <c r="Q3943" s="12"/>
      <c r="R3943" s="12"/>
      <c r="S3943" s="12"/>
      <c r="T3943" s="12"/>
      <c r="U3943" s="12"/>
      <c r="V3943" s="12"/>
      <c r="W3943" s="12"/>
      <c r="X3943" s="12"/>
      <c r="Y3943" s="12"/>
      <c r="Z3943" s="12"/>
      <c r="AA3943" s="12"/>
    </row>
    <row r="3944" ht="26.25" customHeight="1">
      <c r="A3944" s="34" t="s">
        <v>7898</v>
      </c>
      <c r="B3944" s="35" t="s">
        <v>7899</v>
      </c>
      <c r="C3944" s="36">
        <v>4.0</v>
      </c>
      <c r="D3944" s="37">
        <v>312.0</v>
      </c>
      <c r="E3944" s="37">
        <v>5.0</v>
      </c>
      <c r="F3944" s="24" t="str">
        <f t="array" ref="F3944">"https://www.google.com/maps/search/?api=1&amp;query=" &amp; A3944 &amp; "," &amp; B3944</f>
        <v>https://www.google.com/maps/search/?api=1&amp;query=-30.89634903055560,-55.55746832412670</v>
      </c>
      <c r="G3944" s="25" t="str">
        <f t="array" ref="G3944">"https://earth.google.com/web/search/" &amp; A3944 &amp; "," &amp; B3944</f>
        <v>https://earth.google.com/web/search/-30.89634903055560,-55.55746832412670</v>
      </c>
      <c r="H3944" s="12"/>
      <c r="I3944" s="12"/>
      <c r="J3944" s="12"/>
      <c r="K3944" s="12"/>
      <c r="L3944" s="12"/>
      <c r="M3944" s="12"/>
      <c r="N3944" s="12"/>
      <c r="O3944" s="12"/>
      <c r="P3944" s="12"/>
      <c r="Q3944" s="12"/>
      <c r="R3944" s="12"/>
      <c r="S3944" s="12"/>
      <c r="T3944" s="12"/>
      <c r="U3944" s="12"/>
      <c r="V3944" s="12"/>
      <c r="W3944" s="12"/>
      <c r="X3944" s="12"/>
      <c r="Y3944" s="12"/>
      <c r="Z3944" s="12"/>
      <c r="AA3944" s="12"/>
    </row>
    <row r="3945" ht="26.25" customHeight="1">
      <c r="A3945" s="28" t="s">
        <v>7900</v>
      </c>
      <c r="B3945" s="29" t="s">
        <v>7901</v>
      </c>
      <c r="C3945" s="30">
        <v>4.0</v>
      </c>
      <c r="D3945" s="31">
        <v>312.0</v>
      </c>
      <c r="E3945" s="31">
        <v>6.0</v>
      </c>
      <c r="F3945" s="32" t="str">
        <f t="array" ref="F3945">"https://www.google.com/maps/search/?api=1&amp;query=" &amp; A3945 &amp; "," &amp; B3945</f>
        <v>https://www.google.com/maps/search/?api=1&amp;query=-30.89585166513120,-55.55823478520930</v>
      </c>
      <c r="G3945" s="33" t="str">
        <f t="array" ref="G3945">"https://earth.google.com/web/search/" &amp; A3945 &amp; "," &amp; B3945</f>
        <v>https://earth.google.com/web/search/-30.89585166513120,-55.55823478520930</v>
      </c>
      <c r="H3945" s="12"/>
      <c r="I3945" s="12"/>
      <c r="J3945" s="12"/>
      <c r="K3945" s="12"/>
      <c r="L3945" s="12"/>
      <c r="M3945" s="12"/>
      <c r="N3945" s="12"/>
      <c r="O3945" s="12"/>
      <c r="P3945" s="12"/>
      <c r="Q3945" s="12"/>
      <c r="R3945" s="12"/>
      <c r="S3945" s="12"/>
      <c r="T3945" s="12"/>
      <c r="U3945" s="12"/>
      <c r="V3945" s="12"/>
      <c r="W3945" s="12"/>
      <c r="X3945" s="12"/>
      <c r="Y3945" s="12"/>
      <c r="Z3945" s="12"/>
      <c r="AA3945" s="12"/>
    </row>
    <row r="3946" ht="26.25" customHeight="1">
      <c r="A3946" s="34" t="s">
        <v>7902</v>
      </c>
      <c r="B3946" s="35" t="s">
        <v>7903</v>
      </c>
      <c r="C3946" s="36">
        <v>4.0</v>
      </c>
      <c r="D3946" s="37">
        <v>312.0</v>
      </c>
      <c r="E3946" s="37">
        <v>7.0</v>
      </c>
      <c r="F3946" s="24" t="str">
        <f t="array" ref="F3946">"https://www.google.com/maps/search/?api=1&amp;query=" &amp; A3946 &amp; "," &amp; B3946</f>
        <v>https://www.google.com/maps/search/?api=1&amp;query=-30.89607901062810,-55.55839250773080</v>
      </c>
      <c r="G3946" s="25" t="str">
        <f t="array" ref="G3946">"https://earth.google.com/web/search/" &amp; A3946 &amp; "," &amp; B3946</f>
        <v>https://earth.google.com/web/search/-30.89607901062810,-55.55839250773080</v>
      </c>
      <c r="H3946" s="12"/>
      <c r="I3946" s="12"/>
      <c r="J3946" s="12"/>
      <c r="K3946" s="12"/>
      <c r="L3946" s="12"/>
      <c r="M3946" s="12"/>
      <c r="N3946" s="12"/>
      <c r="O3946" s="12"/>
      <c r="P3946" s="12"/>
      <c r="Q3946" s="12"/>
      <c r="R3946" s="12"/>
      <c r="S3946" s="12"/>
      <c r="T3946" s="12"/>
      <c r="U3946" s="12"/>
      <c r="V3946" s="12"/>
      <c r="W3946" s="12"/>
      <c r="X3946" s="12"/>
      <c r="Y3946" s="12"/>
      <c r="Z3946" s="12"/>
      <c r="AA3946" s="12"/>
    </row>
    <row r="3947" ht="26.25" customHeight="1">
      <c r="A3947" s="28" t="s">
        <v>7904</v>
      </c>
      <c r="B3947" s="29" t="s">
        <v>7905</v>
      </c>
      <c r="C3947" s="30">
        <v>4.0</v>
      </c>
      <c r="D3947" s="31">
        <v>312.0</v>
      </c>
      <c r="E3947" s="31">
        <v>8.0</v>
      </c>
      <c r="F3947" s="32" t="str">
        <f t="array" ref="F3947">"https://www.google.com/maps/search/?api=1&amp;query=" &amp; A3947 &amp; "," &amp; B3947</f>
        <v>https://www.google.com/maps/search/?api=1&amp;query=-30.89626642022240,-0.55558496476923</v>
      </c>
      <c r="G3947" s="33" t="str">
        <f t="array" ref="G3947">"https://earth.google.com/web/search/" &amp; A3947 &amp; "," &amp; B3947</f>
        <v>https://earth.google.com/web/search/-30.89626642022240,-0.55558496476923</v>
      </c>
      <c r="H3947" s="12"/>
      <c r="I3947" s="12"/>
      <c r="J3947" s="12"/>
      <c r="K3947" s="12"/>
      <c r="L3947" s="12"/>
      <c r="M3947" s="12"/>
      <c r="N3947" s="12"/>
      <c r="O3947" s="12"/>
      <c r="P3947" s="12"/>
      <c r="Q3947" s="12"/>
      <c r="R3947" s="12"/>
      <c r="S3947" s="12"/>
      <c r="T3947" s="12"/>
      <c r="U3947" s="12"/>
      <c r="V3947" s="12"/>
      <c r="W3947" s="12"/>
      <c r="X3947" s="12"/>
      <c r="Y3947" s="12"/>
      <c r="Z3947" s="12"/>
      <c r="AA3947" s="12"/>
    </row>
    <row r="3948" ht="26.25" customHeight="1">
      <c r="A3948" s="34" t="s">
        <v>7906</v>
      </c>
      <c r="B3948" s="35" t="s">
        <v>7907</v>
      </c>
      <c r="C3948" s="36">
        <v>4.0</v>
      </c>
      <c r="D3948" s="37">
        <v>312.0</v>
      </c>
      <c r="E3948" s="37">
        <v>9.0</v>
      </c>
      <c r="F3948" s="24" t="str">
        <f t="array" ref="F3948">"https://www.google.com/maps/search/?api=1&amp;query=" &amp; A3948 &amp; "," &amp; B3948</f>
        <v>https://www.google.com/maps/search/?api=1&amp;query=-30.89638563072400,-55.55860003559040</v>
      </c>
      <c r="G3948" s="25" t="str">
        <f t="array" ref="G3948">"https://earth.google.com/web/search/" &amp; A3948 &amp; "," &amp; B3948</f>
        <v>https://earth.google.com/web/search/-30.89638563072400,-55.55860003559040</v>
      </c>
      <c r="H3948" s="12"/>
      <c r="I3948" s="12"/>
      <c r="J3948" s="12"/>
      <c r="K3948" s="12"/>
      <c r="L3948" s="12"/>
      <c r="M3948" s="12"/>
      <c r="N3948" s="12"/>
      <c r="O3948" s="12"/>
      <c r="P3948" s="12"/>
      <c r="Q3948" s="12"/>
      <c r="R3948" s="12"/>
      <c r="S3948" s="12"/>
      <c r="T3948" s="12"/>
      <c r="U3948" s="12"/>
      <c r="V3948" s="12"/>
      <c r="W3948" s="12"/>
      <c r="X3948" s="12"/>
      <c r="Y3948" s="12"/>
      <c r="Z3948" s="12"/>
      <c r="AA3948" s="12"/>
    </row>
    <row r="3949" ht="26.25" customHeight="1">
      <c r="A3949" s="28" t="s">
        <v>7908</v>
      </c>
      <c r="B3949" s="29" t="s">
        <v>7909</v>
      </c>
      <c r="C3949" s="30">
        <v>4.0</v>
      </c>
      <c r="D3949" s="31">
        <v>313.0</v>
      </c>
      <c r="E3949" s="31">
        <v>1.0</v>
      </c>
      <c r="F3949" s="32" t="str">
        <f t="array" ref="F3949">"https://www.google.com/maps/search/?api=1&amp;query=" &amp; A3949 &amp; "," &amp; B3949</f>
        <v>https://www.google.com/maps/search/?api=1&amp;query=-30.89657692265420,-55.55652144903790</v>
      </c>
      <c r="G3949" s="33" t="str">
        <f t="array" ref="G3949">"https://earth.google.com/web/search/" &amp; A3949 &amp; "," &amp; B3949</f>
        <v>https://earth.google.com/web/search/-30.89657692265420,-55.55652144903790</v>
      </c>
      <c r="H3949" s="12"/>
      <c r="I3949" s="12"/>
      <c r="J3949" s="12"/>
      <c r="K3949" s="12"/>
      <c r="L3949" s="12"/>
      <c r="M3949" s="12"/>
      <c r="N3949" s="12"/>
      <c r="O3949" s="12"/>
      <c r="P3949" s="12"/>
      <c r="Q3949" s="12"/>
      <c r="R3949" s="12"/>
      <c r="S3949" s="12"/>
      <c r="T3949" s="12"/>
      <c r="U3949" s="12"/>
      <c r="V3949" s="12"/>
      <c r="W3949" s="12"/>
      <c r="X3949" s="12"/>
      <c r="Y3949" s="12"/>
      <c r="Z3949" s="12"/>
      <c r="AA3949" s="12"/>
    </row>
    <row r="3950" ht="26.25" customHeight="1">
      <c r="A3950" s="34" t="s">
        <v>7910</v>
      </c>
      <c r="B3950" s="35" t="s">
        <v>7911</v>
      </c>
      <c r="C3950" s="36">
        <v>4.0</v>
      </c>
      <c r="D3950" s="37">
        <v>313.0</v>
      </c>
      <c r="E3950" s="37">
        <v>2.0</v>
      </c>
      <c r="F3950" s="24" t="str">
        <f t="array" ref="F3950">"https://www.google.com/maps/search/?api=1&amp;query=" &amp; A3950 &amp; "," &amp; B3950</f>
        <v>https://www.google.com/maps/search/?api=1&amp;query=-30.89684045480800,-55.55767122557540</v>
      </c>
      <c r="G3950" s="25" t="str">
        <f t="array" ref="G3950">"https://earth.google.com/web/search/" &amp; A3950 &amp; "," &amp; B3950</f>
        <v>https://earth.google.com/web/search/-30.89684045480800,-55.55767122557540</v>
      </c>
      <c r="H3950" s="12"/>
      <c r="I3950" s="12"/>
      <c r="J3950" s="12"/>
      <c r="K3950" s="12"/>
      <c r="L3950" s="12"/>
      <c r="M3950" s="12"/>
      <c r="N3950" s="12"/>
      <c r="O3950" s="12"/>
      <c r="P3950" s="12"/>
      <c r="Q3950" s="12"/>
      <c r="R3950" s="12"/>
      <c r="S3950" s="12"/>
      <c r="T3950" s="12"/>
      <c r="U3950" s="12"/>
      <c r="V3950" s="12"/>
      <c r="W3950" s="12"/>
      <c r="X3950" s="12"/>
      <c r="Y3950" s="12"/>
      <c r="Z3950" s="12"/>
      <c r="AA3950" s="12"/>
    </row>
    <row r="3951" ht="26.25" customHeight="1">
      <c r="A3951" s="28" t="s">
        <v>7912</v>
      </c>
      <c r="B3951" s="29" t="s">
        <v>7913</v>
      </c>
      <c r="C3951" s="30">
        <v>4.0</v>
      </c>
      <c r="D3951" s="31">
        <v>313.0</v>
      </c>
      <c r="E3951" s="31">
        <v>3.0</v>
      </c>
      <c r="F3951" s="32" t="str">
        <f t="array" ref="F3951">"https://www.google.com/maps/search/?api=1&amp;query=" &amp; A3951 &amp; "," &amp; B3951</f>
        <v>https://www.google.com/maps/search/?api=1&amp;query=-30.89719078971050,-55.55708040924070</v>
      </c>
      <c r="G3951" s="33" t="str">
        <f t="array" ref="G3951">"https://earth.google.com/web/search/" &amp; A3951 &amp; "," &amp; B3951</f>
        <v>https://earth.google.com/web/search/-30.89719078971050,-55.55708040924070</v>
      </c>
      <c r="H3951" s="12"/>
      <c r="I3951" s="12"/>
      <c r="J3951" s="12"/>
      <c r="K3951" s="12"/>
      <c r="L3951" s="12"/>
      <c r="M3951" s="12"/>
      <c r="N3951" s="12"/>
      <c r="O3951" s="12"/>
      <c r="P3951" s="12"/>
      <c r="Q3951" s="12"/>
      <c r="R3951" s="12"/>
      <c r="S3951" s="12"/>
      <c r="T3951" s="12"/>
      <c r="U3951" s="12"/>
      <c r="V3951" s="12"/>
      <c r="W3951" s="12"/>
      <c r="X3951" s="12"/>
      <c r="Y3951" s="12"/>
      <c r="Z3951" s="12"/>
      <c r="AA3951" s="12"/>
    </row>
    <row r="3952" ht="26.25" customHeight="1">
      <c r="A3952" s="34" t="s">
        <v>7914</v>
      </c>
      <c r="B3952" s="35" t="s">
        <v>7915</v>
      </c>
      <c r="C3952" s="36">
        <v>4.0</v>
      </c>
      <c r="D3952" s="37">
        <v>314.0</v>
      </c>
      <c r="E3952" s="37">
        <v>1.0</v>
      </c>
      <c r="F3952" s="24" t="str">
        <f t="array" ref="F3952">"https://www.google.com/maps/search/?api=1&amp;query=" &amp; A3952 &amp; "," &amp; B3952</f>
        <v>https://www.google.com/maps/search/?api=1&amp;query=-30.89742759354130,-55.55670152326700</v>
      </c>
      <c r="G3952" s="25" t="str">
        <f t="array" ref="G3952">"https://earth.google.com/web/search/" &amp; A3952 &amp; "," &amp; B3952</f>
        <v>https://earth.google.com/web/search/-30.89742759354130,-55.55670152326700</v>
      </c>
      <c r="H3952" s="12"/>
      <c r="I3952" s="12"/>
      <c r="J3952" s="12"/>
      <c r="K3952" s="12"/>
      <c r="L3952" s="12"/>
      <c r="M3952" s="12"/>
      <c r="N3952" s="12"/>
      <c r="O3952" s="12"/>
      <c r="P3952" s="12"/>
      <c r="Q3952" s="12"/>
      <c r="R3952" s="12"/>
      <c r="S3952" s="12"/>
      <c r="T3952" s="12"/>
      <c r="U3952" s="12"/>
      <c r="V3952" s="12"/>
      <c r="W3952" s="12"/>
      <c r="X3952" s="12"/>
      <c r="Y3952" s="12"/>
      <c r="Z3952" s="12"/>
      <c r="AA3952" s="12"/>
    </row>
    <row r="3953" ht="26.25" customHeight="1">
      <c r="A3953" s="28" t="s">
        <v>7916</v>
      </c>
      <c r="B3953" s="29" t="s">
        <v>7917</v>
      </c>
      <c r="C3953" s="30">
        <v>4.0</v>
      </c>
      <c r="D3953" s="31">
        <v>314.0</v>
      </c>
      <c r="E3953" s="31">
        <v>2.0</v>
      </c>
      <c r="F3953" s="32" t="str">
        <f t="array" ref="F3953">"https://www.google.com/maps/search/?api=1&amp;query=" &amp; A3953 &amp; "," &amp; B3953</f>
        <v>https://www.google.com/maps/search/?api=1&amp;query=-30.89747626806170,-55.55654733563540</v>
      </c>
      <c r="G3953" s="33" t="str">
        <f t="array" ref="G3953">"https://earth.google.com/web/search/" &amp; A3953 &amp; "," &amp; B3953</f>
        <v>https://earth.google.com/web/search/-30.89747626806170,-55.55654733563540</v>
      </c>
      <c r="H3953" s="12"/>
      <c r="I3953" s="12"/>
      <c r="J3953" s="12"/>
      <c r="K3953" s="12"/>
      <c r="L3953" s="12"/>
      <c r="M3953" s="12"/>
      <c r="N3953" s="12"/>
      <c r="O3953" s="12"/>
      <c r="P3953" s="12"/>
      <c r="Q3953" s="12"/>
      <c r="R3953" s="12"/>
      <c r="S3953" s="12"/>
      <c r="T3953" s="12"/>
      <c r="U3953" s="12"/>
      <c r="V3953" s="12"/>
      <c r="W3953" s="12"/>
      <c r="X3953" s="12"/>
      <c r="Y3953" s="12"/>
      <c r="Z3953" s="12"/>
      <c r="AA3953" s="12"/>
    </row>
    <row r="3954" ht="26.25" customHeight="1">
      <c r="A3954" s="34" t="s">
        <v>7918</v>
      </c>
      <c r="B3954" s="35" t="s">
        <v>7919</v>
      </c>
      <c r="C3954" s="36">
        <v>4.0</v>
      </c>
      <c r="D3954" s="37">
        <v>314.0</v>
      </c>
      <c r="E3954" s="37">
        <v>3.0</v>
      </c>
      <c r="F3954" s="24" t="str">
        <f t="array" ref="F3954">"https://www.google.com/maps/search/?api=1&amp;query=" &amp; A3954 &amp; "," &amp; B3954</f>
        <v>https://www.google.com/maps/search/?api=1&amp;query=-30.89761696569570,-55.55636604627540</v>
      </c>
      <c r="G3954" s="25" t="str">
        <f t="array" ref="G3954">"https://earth.google.com/web/search/" &amp; A3954 &amp; "," &amp; B3954</f>
        <v>https://earth.google.com/web/search/-30.89761696569570,-55.55636604627540</v>
      </c>
      <c r="H3954" s="12"/>
      <c r="I3954" s="12"/>
      <c r="J3954" s="12"/>
      <c r="K3954" s="12"/>
      <c r="L3954" s="12"/>
      <c r="M3954" s="12"/>
      <c r="N3954" s="12"/>
      <c r="O3954" s="12"/>
      <c r="P3954" s="12"/>
      <c r="Q3954" s="12"/>
      <c r="R3954" s="12"/>
      <c r="S3954" s="12"/>
      <c r="T3954" s="12"/>
      <c r="U3954" s="12"/>
      <c r="V3954" s="12"/>
      <c r="W3954" s="12"/>
      <c r="X3954" s="12"/>
      <c r="Y3954" s="12"/>
      <c r="Z3954" s="12"/>
      <c r="AA3954" s="12"/>
    </row>
    <row r="3955" ht="26.25" customHeight="1">
      <c r="A3955" s="28" t="s">
        <v>7920</v>
      </c>
      <c r="B3955" s="29" t="s">
        <v>7921</v>
      </c>
      <c r="C3955" s="30">
        <v>4.0</v>
      </c>
      <c r="D3955" s="31">
        <v>314.0</v>
      </c>
      <c r="E3955" s="31">
        <v>4.0</v>
      </c>
      <c r="F3955" s="32" t="str">
        <f t="array" ref="F3955">"https://www.google.com/maps/search/?api=1&amp;query=" &amp; A3955 &amp; "," &amp; B3955</f>
        <v>https://www.google.com/maps/search/?api=1&amp;query=-30.89771561695810,-55.55614377365090</v>
      </c>
      <c r="G3955" s="33" t="str">
        <f t="array" ref="G3955">"https://earth.google.com/web/search/" &amp; A3955 &amp; "," &amp; B3955</f>
        <v>https://earth.google.com/web/search/-30.89771561695810,-55.55614377365090</v>
      </c>
      <c r="H3955" s="12"/>
      <c r="I3955" s="12"/>
      <c r="J3955" s="12"/>
      <c r="K3955" s="12"/>
      <c r="L3955" s="12"/>
      <c r="M3955" s="12"/>
      <c r="N3955" s="12"/>
      <c r="O3955" s="12"/>
      <c r="P3955" s="12"/>
      <c r="Q3955" s="12"/>
      <c r="R3955" s="12"/>
      <c r="S3955" s="12"/>
      <c r="T3955" s="12"/>
      <c r="U3955" s="12"/>
      <c r="V3955" s="12"/>
      <c r="W3955" s="12"/>
      <c r="X3955" s="12"/>
      <c r="Y3955" s="12"/>
      <c r="Z3955" s="12"/>
      <c r="AA3955" s="12"/>
    </row>
    <row r="3956" ht="26.25" customHeight="1">
      <c r="A3956" s="34" t="s">
        <v>7922</v>
      </c>
      <c r="B3956" s="35" t="s">
        <v>7923</v>
      </c>
      <c r="C3956" s="36">
        <v>4.0</v>
      </c>
      <c r="D3956" s="37">
        <v>314.0</v>
      </c>
      <c r="E3956" s="37">
        <v>5.0</v>
      </c>
      <c r="F3956" s="24" t="str">
        <f t="array" ref="F3956">"https://www.google.com/maps/search/?api=1&amp;query=" &amp; A3956 &amp; "," &amp; B3956</f>
        <v>https://www.google.com/maps/search/?api=1&amp;query=-30.89775770088430,-55.55603200932990</v>
      </c>
      <c r="G3956" s="25" t="str">
        <f t="array" ref="G3956">"https://earth.google.com/web/search/" &amp; A3956 &amp; "," &amp; B3956</f>
        <v>https://earth.google.com/web/search/-30.89775770088430,-55.55603200932990</v>
      </c>
      <c r="H3956" s="12"/>
      <c r="I3956" s="12"/>
      <c r="J3956" s="12"/>
      <c r="K3956" s="12"/>
      <c r="L3956" s="12"/>
      <c r="M3956" s="12"/>
      <c r="N3956" s="12"/>
      <c r="O3956" s="12"/>
      <c r="P3956" s="12"/>
      <c r="Q3956" s="12"/>
      <c r="R3956" s="12"/>
      <c r="S3956" s="12"/>
      <c r="T3956" s="12"/>
      <c r="U3956" s="12"/>
      <c r="V3956" s="12"/>
      <c r="W3956" s="12"/>
      <c r="X3956" s="12"/>
      <c r="Y3956" s="12"/>
      <c r="Z3956" s="12"/>
      <c r="AA3956" s="12"/>
    </row>
    <row r="3957" ht="26.25" customHeight="1">
      <c r="A3957" s="28" t="s">
        <v>7924</v>
      </c>
      <c r="B3957" s="29" t="s">
        <v>7925</v>
      </c>
      <c r="C3957" s="30">
        <v>4.0</v>
      </c>
      <c r="D3957" s="31">
        <v>314.0</v>
      </c>
      <c r="E3957" s="31">
        <v>6.0</v>
      </c>
      <c r="F3957" s="32" t="str">
        <f t="array" ref="F3957">"https://www.google.com/maps/search/?api=1&amp;query=" &amp; A3957 &amp; "," &amp; B3957</f>
        <v>https://www.google.com/maps/search/?api=1&amp;query=-30.89754857640830,-55.55582493215150</v>
      </c>
      <c r="G3957" s="33" t="str">
        <f t="array" ref="G3957">"https://earth.google.com/web/search/" &amp; A3957 &amp; "," &amp; B3957</f>
        <v>https://earth.google.com/web/search/-30.89754857640830,-55.55582493215150</v>
      </c>
      <c r="H3957" s="12"/>
      <c r="I3957" s="12"/>
      <c r="J3957" s="12"/>
      <c r="K3957" s="12"/>
      <c r="L3957" s="12"/>
      <c r="M3957" s="12"/>
      <c r="N3957" s="12"/>
      <c r="O3957" s="12"/>
      <c r="P3957" s="12"/>
      <c r="Q3957" s="12"/>
      <c r="R3957" s="12"/>
      <c r="S3957" s="12"/>
      <c r="T3957" s="12"/>
      <c r="U3957" s="12"/>
      <c r="V3957" s="12"/>
      <c r="W3957" s="12"/>
      <c r="X3957" s="12"/>
      <c r="Y3957" s="12"/>
      <c r="Z3957" s="12"/>
      <c r="AA3957" s="12"/>
    </row>
    <row r="3958" ht="26.25" customHeight="1">
      <c r="A3958" s="34" t="s">
        <v>7926</v>
      </c>
      <c r="B3958" s="35" t="s">
        <v>7927</v>
      </c>
      <c r="C3958" s="36">
        <v>4.0</v>
      </c>
      <c r="D3958" s="37">
        <v>314.0</v>
      </c>
      <c r="E3958" s="37">
        <v>7.0</v>
      </c>
      <c r="F3958" s="24" t="str">
        <f t="array" ref="F3958">"https://www.google.com/maps/search/?api=1&amp;query=" &amp; A3958 &amp; "," &amp; B3958</f>
        <v>https://www.google.com/maps/search/?api=1&amp;query=-30.89733918954820,-55.55566761747040</v>
      </c>
      <c r="G3958" s="25" t="str">
        <f t="array" ref="G3958">"https://earth.google.com/web/search/" &amp; A3958 &amp; "," &amp; B3958</f>
        <v>https://earth.google.com/web/search/-30.89733918954820,-55.55566761747040</v>
      </c>
      <c r="H3958" s="12"/>
      <c r="I3958" s="12"/>
      <c r="J3958" s="12"/>
      <c r="K3958" s="12"/>
      <c r="L3958" s="12"/>
      <c r="M3958" s="12"/>
      <c r="N3958" s="12"/>
      <c r="O3958" s="12"/>
      <c r="P3958" s="12"/>
      <c r="Q3958" s="12"/>
      <c r="R3958" s="12"/>
      <c r="S3958" s="12"/>
      <c r="T3958" s="12"/>
      <c r="U3958" s="12"/>
      <c r="V3958" s="12"/>
      <c r="W3958" s="12"/>
      <c r="X3958" s="12"/>
      <c r="Y3958" s="12"/>
      <c r="Z3958" s="12"/>
      <c r="AA3958" s="12"/>
    </row>
    <row r="3959" ht="26.25" customHeight="1">
      <c r="A3959" s="28" t="s">
        <v>7928</v>
      </c>
      <c r="B3959" s="29" t="s">
        <v>7929</v>
      </c>
      <c r="C3959" s="30">
        <v>4.0</v>
      </c>
      <c r="D3959" s="31">
        <v>314.0</v>
      </c>
      <c r="E3959" s="31">
        <v>8.0</v>
      </c>
      <c r="F3959" s="32" t="str">
        <f t="array" ref="F3959">"https://www.google.com/maps/search/?api=1&amp;query=" &amp; A3959 &amp; "," &amp; B3959</f>
        <v>https://www.google.com/maps/search/?api=1&amp;query=-30.89708357713730,-55.55559568432190</v>
      </c>
      <c r="G3959" s="33" t="str">
        <f t="array" ref="G3959">"https://earth.google.com/web/search/" &amp; A3959 &amp; "," &amp; B3959</f>
        <v>https://earth.google.com/web/search/-30.89708357713730,-55.55559568432190</v>
      </c>
      <c r="H3959" s="12"/>
      <c r="I3959" s="12"/>
      <c r="J3959" s="12"/>
      <c r="K3959" s="12"/>
      <c r="L3959" s="12"/>
      <c r="M3959" s="12"/>
      <c r="N3959" s="12"/>
      <c r="O3959" s="12"/>
      <c r="P3959" s="12"/>
      <c r="Q3959" s="12"/>
      <c r="R3959" s="12"/>
      <c r="S3959" s="12"/>
      <c r="T3959" s="12"/>
      <c r="U3959" s="12"/>
      <c r="V3959" s="12"/>
      <c r="W3959" s="12"/>
      <c r="X3959" s="12"/>
      <c r="Y3959" s="12"/>
      <c r="Z3959" s="12"/>
      <c r="AA3959" s="12"/>
    </row>
    <row r="3960" ht="26.25" customHeight="1">
      <c r="A3960" s="34" t="s">
        <v>7930</v>
      </c>
      <c r="B3960" s="35" t="s">
        <v>7931</v>
      </c>
      <c r="C3960" s="36">
        <v>4.0</v>
      </c>
      <c r="D3960" s="37">
        <v>314.0</v>
      </c>
      <c r="E3960" s="37">
        <v>9.0</v>
      </c>
      <c r="F3960" s="24" t="str">
        <f t="array" ref="F3960">"https://www.google.com/maps/search/?api=1&amp;query=" &amp; A3960 &amp; "," &amp; B3960</f>
        <v>https://www.google.com/maps/search/?api=1&amp;query=-30.89672992411380,-55.55619300540110</v>
      </c>
      <c r="G3960" s="25" t="str">
        <f t="array" ref="G3960">"https://earth.google.com/web/search/" &amp; A3960 &amp; "," &amp; B3960</f>
        <v>https://earth.google.com/web/search/-30.89672992411380,-55.55619300540110</v>
      </c>
      <c r="H3960" s="12"/>
      <c r="I3960" s="12"/>
      <c r="J3960" s="12"/>
      <c r="K3960" s="12"/>
      <c r="L3960" s="12"/>
      <c r="M3960" s="12"/>
      <c r="N3960" s="12"/>
      <c r="O3960" s="12"/>
      <c r="P3960" s="12"/>
      <c r="Q3960" s="12"/>
      <c r="R3960" s="12"/>
      <c r="S3960" s="12"/>
      <c r="T3960" s="12"/>
      <c r="U3960" s="12"/>
      <c r="V3960" s="12"/>
      <c r="W3960" s="12"/>
      <c r="X3960" s="12"/>
      <c r="Y3960" s="12"/>
      <c r="Z3960" s="12"/>
      <c r="AA3960" s="12"/>
    </row>
    <row r="3961" ht="26.25" customHeight="1">
      <c r="A3961" s="28" t="s">
        <v>7932</v>
      </c>
      <c r="B3961" s="29" t="s">
        <v>7933</v>
      </c>
      <c r="C3961" s="30">
        <v>4.0</v>
      </c>
      <c r="D3961" s="31">
        <v>314.0</v>
      </c>
      <c r="E3961" s="31">
        <v>10.0</v>
      </c>
      <c r="F3961" s="32" t="str">
        <f t="array" ref="F3961">"https://www.google.com/maps/search/?api=1&amp;query=" &amp; A3961 &amp; "," &amp; B3961</f>
        <v>https://www.google.com/maps/search/?api=1&amp;query=-30.89672473270750,-55.55636566924770</v>
      </c>
      <c r="G3961" s="33" t="str">
        <f t="array" ref="G3961">"https://earth.google.com/web/search/" &amp; A3961 &amp; "," &amp; B3961</f>
        <v>https://earth.google.com/web/search/-30.89672473270750,-55.55636566924770</v>
      </c>
      <c r="H3961" s="12"/>
      <c r="I3961" s="12"/>
      <c r="J3961" s="12"/>
      <c r="K3961" s="12"/>
      <c r="L3961" s="12"/>
      <c r="M3961" s="12"/>
      <c r="N3961" s="12"/>
      <c r="O3961" s="12"/>
      <c r="P3961" s="12"/>
      <c r="Q3961" s="12"/>
      <c r="R3961" s="12"/>
      <c r="S3961" s="12"/>
      <c r="T3961" s="12"/>
      <c r="U3961" s="12"/>
      <c r="V3961" s="12"/>
      <c r="W3961" s="12"/>
      <c r="X3961" s="12"/>
      <c r="Y3961" s="12"/>
      <c r="Z3961" s="12"/>
      <c r="AA3961" s="12"/>
    </row>
    <row r="3962" ht="26.25" customHeight="1">
      <c r="A3962" s="34" t="s">
        <v>7934</v>
      </c>
      <c r="B3962" s="35" t="s">
        <v>7935</v>
      </c>
      <c r="C3962" s="36">
        <v>4.0</v>
      </c>
      <c r="D3962" s="37">
        <v>314.0</v>
      </c>
      <c r="E3962" s="37">
        <v>11.0</v>
      </c>
      <c r="F3962" s="24" t="str">
        <f t="array" ref="F3962">"https://www.google.com/maps/search/?api=1&amp;query=" &amp; A3962 &amp; "," &amp; B3962</f>
        <v>https://www.google.com/maps/search/?api=1&amp;query=-30.89683290035740,-55.55642030116290</v>
      </c>
      <c r="G3962" s="25" t="str">
        <f t="array" ref="G3962">"https://earth.google.com/web/search/" &amp; A3962 &amp; "," &amp; B3962</f>
        <v>https://earth.google.com/web/search/-30.89683290035740,-55.55642030116290</v>
      </c>
      <c r="H3962" s="12"/>
      <c r="I3962" s="12"/>
      <c r="J3962" s="12"/>
      <c r="K3962" s="12"/>
      <c r="L3962" s="12"/>
      <c r="M3962" s="12"/>
      <c r="N3962" s="12"/>
      <c r="O3962" s="12"/>
      <c r="P3962" s="12"/>
      <c r="Q3962" s="12"/>
      <c r="R3962" s="12"/>
      <c r="S3962" s="12"/>
      <c r="T3962" s="12"/>
      <c r="U3962" s="12"/>
      <c r="V3962" s="12"/>
      <c r="W3962" s="12"/>
      <c r="X3962" s="12"/>
      <c r="Y3962" s="12"/>
      <c r="Z3962" s="12"/>
      <c r="AA3962" s="12"/>
    </row>
    <row r="3963" ht="26.25" customHeight="1">
      <c r="A3963" s="28" t="s">
        <v>7936</v>
      </c>
      <c r="B3963" s="29" t="s">
        <v>7937</v>
      </c>
      <c r="C3963" s="30">
        <v>4.0</v>
      </c>
      <c r="D3963" s="31">
        <v>314.0</v>
      </c>
      <c r="E3963" s="31">
        <v>12.0</v>
      </c>
      <c r="F3963" s="32" t="str">
        <f t="array" ref="F3963">"https://www.google.com/maps/search/?api=1&amp;query=" &amp; A3963 &amp; "," &amp; B3963</f>
        <v>https://www.google.com/maps/search/?api=1&amp;query=-30.89690985057270,-55.55646204477120</v>
      </c>
      <c r="G3963" s="33" t="str">
        <f t="array" ref="G3963">"https://earth.google.com/web/search/" &amp; A3963 &amp; "," &amp; B3963</f>
        <v>https://earth.google.com/web/search/-30.89690985057270,-55.55646204477120</v>
      </c>
      <c r="H3963" s="12"/>
      <c r="I3963" s="12"/>
      <c r="J3963" s="12"/>
      <c r="K3963" s="12"/>
      <c r="L3963" s="12"/>
      <c r="M3963" s="12"/>
      <c r="N3963" s="12"/>
      <c r="O3963" s="12"/>
      <c r="P3963" s="12"/>
      <c r="Q3963" s="12"/>
      <c r="R3963" s="12"/>
      <c r="S3963" s="12"/>
      <c r="T3963" s="12"/>
      <c r="U3963" s="12"/>
      <c r="V3963" s="12"/>
      <c r="W3963" s="12"/>
      <c r="X3963" s="12"/>
      <c r="Y3963" s="12"/>
      <c r="Z3963" s="12"/>
      <c r="AA3963" s="12"/>
    </row>
    <row r="3964" ht="26.25" customHeight="1">
      <c r="A3964" s="34" t="s">
        <v>7938</v>
      </c>
      <c r="B3964" s="35" t="s">
        <v>7939</v>
      </c>
      <c r="C3964" s="36">
        <v>4.0</v>
      </c>
      <c r="D3964" s="37">
        <v>314.0</v>
      </c>
      <c r="E3964" s="37">
        <v>13.0</v>
      </c>
      <c r="F3964" s="24" t="str">
        <f t="array" ref="F3964">"https://www.google.com/maps/search/?api=1&amp;query=" &amp; A3964 &amp; "," &amp; B3964</f>
        <v>https://www.google.com/maps/search/?api=1&amp;query=-30.89699394337580,-55.55654400855820</v>
      </c>
      <c r="G3964" s="25" t="str">
        <f t="array" ref="G3964">"https://earth.google.com/web/search/" &amp; A3964 &amp; "," &amp; B3964</f>
        <v>https://earth.google.com/web/search/-30.89699394337580,-55.55654400855820</v>
      </c>
      <c r="H3964" s="12"/>
      <c r="I3964" s="12"/>
      <c r="J3964" s="12"/>
      <c r="K3964" s="12"/>
      <c r="L3964" s="12"/>
      <c r="M3964" s="12"/>
      <c r="N3964" s="12"/>
      <c r="O3964" s="12"/>
      <c r="P3964" s="12"/>
      <c r="Q3964" s="12"/>
      <c r="R3964" s="12"/>
      <c r="S3964" s="12"/>
      <c r="T3964" s="12"/>
      <c r="U3964" s="12"/>
      <c r="V3964" s="12"/>
      <c r="W3964" s="12"/>
      <c r="X3964" s="12"/>
      <c r="Y3964" s="12"/>
      <c r="Z3964" s="12"/>
      <c r="AA3964" s="12"/>
    </row>
    <row r="3965" ht="26.25" customHeight="1">
      <c r="A3965" s="28" t="s">
        <v>7940</v>
      </c>
      <c r="B3965" s="29" t="s">
        <v>7941</v>
      </c>
      <c r="C3965" s="30">
        <v>4.0</v>
      </c>
      <c r="D3965" s="31">
        <v>314.0</v>
      </c>
      <c r="E3965" s="31">
        <v>14.0</v>
      </c>
      <c r="F3965" s="32" t="str">
        <f t="array" ref="F3965">"https://www.google.com/maps/search/?api=1&amp;query=" &amp; A3965 &amp; "," &amp; B3965</f>
        <v>https://www.google.com/maps/search/?api=1&amp;query=-30.89726873149560,-55.55672622628260</v>
      </c>
      <c r="G3965" s="33" t="str">
        <f t="array" ref="G3965">"https://earth.google.com/web/search/" &amp; A3965 &amp; "," &amp; B3965</f>
        <v>https://earth.google.com/web/search/-30.89726873149560,-55.55672622628260</v>
      </c>
      <c r="H3965" s="12"/>
      <c r="I3965" s="12"/>
      <c r="J3965" s="12"/>
      <c r="K3965" s="12"/>
      <c r="L3965" s="12"/>
      <c r="M3965" s="12"/>
      <c r="N3965" s="12"/>
      <c r="O3965" s="12"/>
      <c r="P3965" s="12"/>
      <c r="Q3965" s="12"/>
      <c r="R3965" s="12"/>
      <c r="S3965" s="12"/>
      <c r="T3965" s="12"/>
      <c r="U3965" s="12"/>
      <c r="V3965" s="12"/>
      <c r="W3965" s="12"/>
      <c r="X3965" s="12"/>
      <c r="Y3965" s="12"/>
      <c r="Z3965" s="12"/>
      <c r="AA3965" s="12"/>
    </row>
    <row r="3966" ht="26.25" customHeight="1">
      <c r="A3966" s="34" t="s">
        <v>7942</v>
      </c>
      <c r="B3966" s="35" t="s">
        <v>7943</v>
      </c>
      <c r="C3966" s="36">
        <v>4.0</v>
      </c>
      <c r="D3966" s="37">
        <v>314.0</v>
      </c>
      <c r="E3966" s="37">
        <v>15.0</v>
      </c>
      <c r="F3966" s="24" t="str">
        <f t="array" ref="F3966">"https://www.google.com/maps/search/?api=1&amp;query=" &amp; A3966 &amp; "," &amp; B3966</f>
        <v>https://www.google.com/maps/search/?api=1&amp;query=-30.89734793207250,-0.55556778348435</v>
      </c>
      <c r="G3966" s="25" t="str">
        <f t="array" ref="G3966">"https://earth.google.com/web/search/" &amp; A3966 &amp; "," &amp; B3966</f>
        <v>https://earth.google.com/web/search/-30.89734793207250,-0.55556778348435</v>
      </c>
      <c r="H3966" s="12"/>
      <c r="I3966" s="12"/>
      <c r="J3966" s="12"/>
      <c r="K3966" s="12"/>
      <c r="L3966" s="12"/>
      <c r="M3966" s="12"/>
      <c r="N3966" s="12"/>
      <c r="O3966" s="12"/>
      <c r="P3966" s="12"/>
      <c r="Q3966" s="12"/>
      <c r="R3966" s="12"/>
      <c r="S3966" s="12"/>
      <c r="T3966" s="12"/>
      <c r="U3966" s="12"/>
      <c r="V3966" s="12"/>
      <c r="W3966" s="12"/>
      <c r="X3966" s="12"/>
      <c r="Y3966" s="12"/>
      <c r="Z3966" s="12"/>
      <c r="AA3966" s="12"/>
    </row>
    <row r="3967" ht="26.25" customHeight="1">
      <c r="A3967" s="28" t="s">
        <v>7944</v>
      </c>
      <c r="B3967" s="29" t="s">
        <v>7945</v>
      </c>
      <c r="C3967" s="30">
        <v>4.0</v>
      </c>
      <c r="D3967" s="31">
        <v>315.0</v>
      </c>
      <c r="E3967" s="31">
        <v>1.0</v>
      </c>
      <c r="F3967" s="32" t="str">
        <f t="array" ref="F3967">"https://www.google.com/maps/search/?api=1&amp;query=" &amp; A3967 &amp; "," &amp; B3967</f>
        <v>https://www.google.com/maps/search/?api=1&amp;query=-30.89786418536010,-55.55584829531620</v>
      </c>
      <c r="G3967" s="33" t="str">
        <f t="array" ref="G3967">"https://earth.google.com/web/search/" &amp; A3967 &amp; "," &amp; B3967</f>
        <v>https://earth.google.com/web/search/-30.89786418536010,-55.55584829531620</v>
      </c>
      <c r="H3967" s="12"/>
      <c r="I3967" s="12"/>
      <c r="J3967" s="12"/>
      <c r="K3967" s="12"/>
      <c r="L3967" s="12"/>
      <c r="M3967" s="12"/>
      <c r="N3967" s="12"/>
      <c r="O3967" s="12"/>
      <c r="P3967" s="12"/>
      <c r="Q3967" s="12"/>
      <c r="R3967" s="12"/>
      <c r="S3967" s="12"/>
      <c r="T3967" s="12"/>
      <c r="U3967" s="12"/>
      <c r="V3967" s="12"/>
      <c r="W3967" s="12"/>
      <c r="X3967" s="12"/>
      <c r="Y3967" s="12"/>
      <c r="Z3967" s="12"/>
      <c r="AA3967" s="12"/>
    </row>
    <row r="3968" ht="26.25" customHeight="1">
      <c r="A3968" s="34" t="s">
        <v>7946</v>
      </c>
      <c r="B3968" s="35" t="s">
        <v>7947</v>
      </c>
      <c r="C3968" s="36">
        <v>4.0</v>
      </c>
      <c r="D3968" s="37">
        <v>315.0</v>
      </c>
      <c r="E3968" s="37">
        <v>2.0</v>
      </c>
      <c r="F3968" s="24" t="str">
        <f t="array" ref="F3968">"https://www.google.com/maps/search/?api=1&amp;query=" &amp; A3968 &amp; "," &amp; B3968</f>
        <v>https://www.google.com/maps/search/?api=1&amp;query=-30.89793607719300,-55.55570862542170</v>
      </c>
      <c r="G3968" s="25" t="str">
        <f t="array" ref="G3968">"https://earth.google.com/web/search/" &amp; A3968 &amp; "," &amp; B3968</f>
        <v>https://earth.google.com/web/search/-30.89793607719300,-55.55570862542170</v>
      </c>
      <c r="H3968" s="12"/>
      <c r="I3968" s="12"/>
      <c r="J3968" s="12"/>
      <c r="K3968" s="12"/>
      <c r="L3968" s="12"/>
      <c r="M3968" s="12"/>
      <c r="N3968" s="12"/>
      <c r="O3968" s="12"/>
      <c r="P3968" s="12"/>
      <c r="Q3968" s="12"/>
      <c r="R3968" s="12"/>
      <c r="S3968" s="12"/>
      <c r="T3968" s="12"/>
      <c r="U3968" s="12"/>
      <c r="V3968" s="12"/>
      <c r="W3968" s="12"/>
      <c r="X3968" s="12"/>
      <c r="Y3968" s="12"/>
      <c r="Z3968" s="12"/>
      <c r="AA3968" s="12"/>
    </row>
    <row r="3969" ht="26.25" customHeight="1">
      <c r="A3969" s="28" t="s">
        <v>7948</v>
      </c>
      <c r="B3969" s="29" t="s">
        <v>7949</v>
      </c>
      <c r="C3969" s="30">
        <v>4.0</v>
      </c>
      <c r="D3969" s="31">
        <v>315.0</v>
      </c>
      <c r="E3969" s="31">
        <v>3.0</v>
      </c>
      <c r="F3969" s="32" t="str">
        <f t="array" ref="F3969">"https://www.google.com/maps/search/?api=1&amp;query=" &amp; A3969 &amp; "," &amp; B3969</f>
        <v>https://www.google.com/maps/search/?api=1&amp;query=-30.89801049939630,-55.55552229963660</v>
      </c>
      <c r="G3969" s="33" t="str">
        <f t="array" ref="G3969">"https://earth.google.com/web/search/" &amp; A3969 &amp; "," &amp; B3969</f>
        <v>https://earth.google.com/web/search/-30.89801049939630,-55.55552229963660</v>
      </c>
      <c r="H3969" s="12"/>
      <c r="I3969" s="12"/>
      <c r="J3969" s="12"/>
      <c r="K3969" s="12"/>
      <c r="L3969" s="12"/>
      <c r="M3969" s="12"/>
      <c r="N3969" s="12"/>
      <c r="O3969" s="12"/>
      <c r="P3969" s="12"/>
      <c r="Q3969" s="12"/>
      <c r="R3969" s="12"/>
      <c r="S3969" s="12"/>
      <c r="T3969" s="12"/>
      <c r="U3969" s="12"/>
      <c r="V3969" s="12"/>
      <c r="W3969" s="12"/>
      <c r="X3969" s="12"/>
      <c r="Y3969" s="12"/>
      <c r="Z3969" s="12"/>
      <c r="AA3969" s="12"/>
    </row>
    <row r="3970" ht="26.25" customHeight="1">
      <c r="A3970" s="34" t="s">
        <v>7950</v>
      </c>
      <c r="B3970" s="35" t="s">
        <v>7951</v>
      </c>
      <c r="C3970" s="36">
        <v>4.0</v>
      </c>
      <c r="D3970" s="37">
        <v>315.0</v>
      </c>
      <c r="E3970" s="37">
        <v>4.0</v>
      </c>
      <c r="F3970" s="24" t="str">
        <f t="array" ref="F3970">"https://www.google.com/maps/search/?api=1&amp;query=" &amp; A3970 &amp; "," &amp; B3970</f>
        <v>https://www.google.com/maps/search/?api=1&amp;query=-30.89817867607350,-5.55552675176248</v>
      </c>
      <c r="G3970" s="25" t="str">
        <f t="array" ref="G3970">"https://earth.google.com/web/search/" &amp; A3970 &amp; "," &amp; B3970</f>
        <v>https://earth.google.com/web/search/-30.89817867607350,-5.55552675176248</v>
      </c>
      <c r="H3970" s="12"/>
      <c r="I3970" s="12"/>
      <c r="J3970" s="12"/>
      <c r="K3970" s="12"/>
      <c r="L3970" s="12"/>
      <c r="M3970" s="12"/>
      <c r="N3970" s="12"/>
      <c r="O3970" s="12"/>
      <c r="P3970" s="12"/>
      <c r="Q3970" s="12"/>
      <c r="R3970" s="12"/>
      <c r="S3970" s="12"/>
      <c r="T3970" s="12"/>
      <c r="U3970" s="12"/>
      <c r="V3970" s="12"/>
      <c r="W3970" s="12"/>
      <c r="X3970" s="12"/>
      <c r="Y3970" s="12"/>
      <c r="Z3970" s="12"/>
      <c r="AA3970" s="12"/>
    </row>
    <row r="3971" ht="26.25" customHeight="1">
      <c r="A3971" s="28" t="s">
        <v>7952</v>
      </c>
      <c r="B3971" s="29" t="s">
        <v>7953</v>
      </c>
      <c r="C3971" s="30">
        <v>4.0</v>
      </c>
      <c r="D3971" s="31">
        <v>315.0</v>
      </c>
      <c r="E3971" s="31">
        <v>5.0</v>
      </c>
      <c r="F3971" s="32" t="str">
        <f t="array" ref="F3971">"https://www.google.com/maps/search/?api=1&amp;query=" &amp; A3971 &amp; "," &amp; B3971</f>
        <v>https://www.google.com/maps/search/?api=1&amp;query=-30.89825920098980,-55.55515130361500</v>
      </c>
      <c r="G3971" s="33" t="str">
        <f t="array" ref="G3971">"https://earth.google.com/web/search/" &amp; A3971 &amp; "," &amp; B3971</f>
        <v>https://earth.google.com/web/search/-30.89825920098980,-55.55515130361500</v>
      </c>
      <c r="H3971" s="12"/>
      <c r="I3971" s="12"/>
      <c r="J3971" s="12"/>
      <c r="K3971" s="12"/>
      <c r="L3971" s="12"/>
      <c r="M3971" s="12"/>
      <c r="N3971" s="12"/>
      <c r="O3971" s="12"/>
      <c r="P3971" s="12"/>
      <c r="Q3971" s="12"/>
      <c r="R3971" s="12"/>
      <c r="S3971" s="12"/>
      <c r="T3971" s="12"/>
      <c r="U3971" s="12"/>
      <c r="V3971" s="12"/>
      <c r="W3971" s="12"/>
      <c r="X3971" s="12"/>
      <c r="Y3971" s="12"/>
      <c r="Z3971" s="12"/>
      <c r="AA3971" s="12"/>
    </row>
    <row r="3972" ht="26.25" customHeight="1">
      <c r="A3972" s="34" t="s">
        <v>7954</v>
      </c>
      <c r="B3972" s="35" t="s">
        <v>7955</v>
      </c>
      <c r="C3972" s="36">
        <v>4.0</v>
      </c>
      <c r="D3972" s="37">
        <v>315.0</v>
      </c>
      <c r="E3972" s="37">
        <v>6.0</v>
      </c>
      <c r="F3972" s="24" t="str">
        <f t="array" ref="F3972">"https://www.google.com/maps/search/?api=1&amp;query=" &amp; A3972 &amp; "," &amp; B3972</f>
        <v>https://www.google.com/maps/search/?api=1&amp;query=-30.89754007486320,-55.55471061036960</v>
      </c>
      <c r="G3972" s="25" t="str">
        <f t="array" ref="G3972">"https://earth.google.com/web/search/" &amp; A3972 &amp; "," &amp; B3972</f>
        <v>https://earth.google.com/web/search/-30.89754007486320,-55.55471061036960</v>
      </c>
      <c r="H3972" s="12"/>
      <c r="I3972" s="12"/>
      <c r="J3972" s="12"/>
      <c r="K3972" s="12"/>
      <c r="L3972" s="12"/>
      <c r="M3972" s="12"/>
      <c r="N3972" s="12"/>
      <c r="O3972" s="12"/>
      <c r="P3972" s="12"/>
      <c r="Q3972" s="12"/>
      <c r="R3972" s="12"/>
      <c r="S3972" s="12"/>
      <c r="T3972" s="12"/>
      <c r="U3972" s="12"/>
      <c r="V3972" s="12"/>
      <c r="W3972" s="12"/>
      <c r="X3972" s="12"/>
      <c r="Y3972" s="12"/>
      <c r="Z3972" s="12"/>
      <c r="AA3972" s="12"/>
    </row>
    <row r="3973" ht="26.25" customHeight="1">
      <c r="A3973" s="28" t="s">
        <v>7956</v>
      </c>
      <c r="B3973" s="29" t="s">
        <v>7957</v>
      </c>
      <c r="C3973" s="30">
        <v>4.0</v>
      </c>
      <c r="D3973" s="31">
        <v>315.0</v>
      </c>
      <c r="E3973" s="31">
        <v>7.0</v>
      </c>
      <c r="F3973" s="32" t="str">
        <f t="array" ref="F3973">"https://www.google.com/maps/search/?api=1&amp;query=" &amp; A3973 &amp; "," &amp; B3973</f>
        <v>https://www.google.com/maps/search/?api=1&amp;query=-30.89748585739390,-55.55475654060080</v>
      </c>
      <c r="G3973" s="33" t="str">
        <f t="array" ref="G3973">"https://earth.google.com/web/search/" &amp; A3973 &amp; "," &amp; B3973</f>
        <v>https://earth.google.com/web/search/-30.89748585739390,-55.55475654060080</v>
      </c>
      <c r="H3973" s="12"/>
      <c r="I3973" s="12"/>
      <c r="J3973" s="12"/>
      <c r="K3973" s="12"/>
      <c r="L3973" s="12"/>
      <c r="M3973" s="12"/>
      <c r="N3973" s="12"/>
      <c r="O3973" s="12"/>
      <c r="P3973" s="12"/>
      <c r="Q3973" s="12"/>
      <c r="R3973" s="12"/>
      <c r="S3973" s="12"/>
      <c r="T3973" s="12"/>
      <c r="U3973" s="12"/>
      <c r="V3973" s="12"/>
      <c r="W3973" s="12"/>
      <c r="X3973" s="12"/>
      <c r="Y3973" s="12"/>
      <c r="Z3973" s="12"/>
      <c r="AA3973" s="12"/>
    </row>
    <row r="3974" ht="26.25" customHeight="1">
      <c r="A3974" s="34" t="s">
        <v>7958</v>
      </c>
      <c r="B3974" s="35" t="s">
        <v>7959</v>
      </c>
      <c r="C3974" s="36">
        <v>4.0</v>
      </c>
      <c r="D3974" s="37">
        <v>315.0</v>
      </c>
      <c r="E3974" s="37">
        <v>8.0</v>
      </c>
      <c r="F3974" s="24" t="str">
        <f t="array" ref="F3974">"https://www.google.com/maps/search/?api=1&amp;query=" &amp; A3974 &amp; "," &amp; B3974</f>
        <v>https://www.google.com/maps/search/?api=1&amp;query=-30.89746020961380,-55.55487115849900</v>
      </c>
      <c r="G3974" s="25" t="str">
        <f t="array" ref="G3974">"https://earth.google.com/web/search/" &amp; A3974 &amp; "," &amp; B3974</f>
        <v>https://earth.google.com/web/search/-30.89746020961380,-55.55487115849900</v>
      </c>
      <c r="H3974" s="12"/>
      <c r="I3974" s="12"/>
      <c r="J3974" s="12"/>
      <c r="K3974" s="12"/>
      <c r="L3974" s="12"/>
      <c r="M3974" s="12"/>
      <c r="N3974" s="12"/>
      <c r="O3974" s="12"/>
      <c r="P3974" s="12"/>
      <c r="Q3974" s="12"/>
      <c r="R3974" s="12"/>
      <c r="S3974" s="12"/>
      <c r="T3974" s="12"/>
      <c r="U3974" s="12"/>
      <c r="V3974" s="12"/>
      <c r="W3974" s="12"/>
      <c r="X3974" s="12"/>
      <c r="Y3974" s="12"/>
      <c r="Z3974" s="12"/>
      <c r="AA3974" s="12"/>
    </row>
    <row r="3975" ht="26.25" customHeight="1">
      <c r="A3975" s="28" t="s">
        <v>7960</v>
      </c>
      <c r="B3975" s="29" t="s">
        <v>7961</v>
      </c>
      <c r="C3975" s="30">
        <v>4.0</v>
      </c>
      <c r="D3975" s="31">
        <v>315.0</v>
      </c>
      <c r="E3975" s="31">
        <v>9.0</v>
      </c>
      <c r="F3975" s="32" t="str">
        <f t="array" ref="F3975">"https://www.google.com/maps/search/?api=1&amp;query=" &amp; A3975 &amp; "," &amp; B3975</f>
        <v>https://www.google.com/maps/search/?api=1&amp;query=-3.08974123247934,-55.55494803148670</v>
      </c>
      <c r="G3975" s="33" t="str">
        <f t="array" ref="G3975">"https://earth.google.com/web/search/" &amp; A3975 &amp; "," &amp; B3975</f>
        <v>https://earth.google.com/web/search/-3.08974123247934,-55.55494803148670</v>
      </c>
      <c r="H3975" s="12"/>
      <c r="I3975" s="12"/>
      <c r="J3975" s="12"/>
      <c r="K3975" s="12"/>
      <c r="L3975" s="12"/>
      <c r="M3975" s="12"/>
      <c r="N3975" s="12"/>
      <c r="O3975" s="12"/>
      <c r="P3975" s="12"/>
      <c r="Q3975" s="12"/>
      <c r="R3975" s="12"/>
      <c r="S3975" s="12"/>
      <c r="T3975" s="12"/>
      <c r="U3975" s="12"/>
      <c r="V3975" s="12"/>
      <c r="W3975" s="12"/>
      <c r="X3975" s="12"/>
      <c r="Y3975" s="12"/>
      <c r="Z3975" s="12"/>
      <c r="AA3975" s="12"/>
    </row>
    <row r="3976" ht="26.25" customHeight="1">
      <c r="A3976" s="34" t="s">
        <v>7962</v>
      </c>
      <c r="B3976" s="35" t="s">
        <v>7963</v>
      </c>
      <c r="C3976" s="36">
        <v>4.0</v>
      </c>
      <c r="D3976" s="37">
        <v>315.0</v>
      </c>
      <c r="E3976" s="37">
        <v>10.0</v>
      </c>
      <c r="F3976" s="24" t="str">
        <f t="array" ref="F3976">"https://www.google.com/maps/search/?api=1&amp;query=" &amp; A3976 &amp; "," &amp; B3976</f>
        <v>https://www.google.com/maps/search/?api=1&amp;query=-30.89723330951030,-55.55544033571790</v>
      </c>
      <c r="G3976" s="25" t="str">
        <f t="array" ref="G3976">"https://earth.google.com/web/search/" &amp; A3976 &amp; "," &amp; B3976</f>
        <v>https://earth.google.com/web/search/-30.89723330951030,-55.55544033571790</v>
      </c>
      <c r="H3976" s="12"/>
      <c r="I3976" s="12"/>
      <c r="J3976" s="12"/>
      <c r="K3976" s="12"/>
      <c r="L3976" s="12"/>
      <c r="M3976" s="12"/>
      <c r="N3976" s="12"/>
      <c r="O3976" s="12"/>
      <c r="P3976" s="12"/>
      <c r="Q3976" s="12"/>
      <c r="R3976" s="12"/>
      <c r="S3976" s="12"/>
      <c r="T3976" s="12"/>
      <c r="U3976" s="12"/>
      <c r="V3976" s="12"/>
      <c r="W3976" s="12"/>
      <c r="X3976" s="12"/>
      <c r="Y3976" s="12"/>
      <c r="Z3976" s="12"/>
      <c r="AA3976" s="12"/>
    </row>
    <row r="3977" ht="26.25" customHeight="1">
      <c r="A3977" s="28" t="s">
        <v>7964</v>
      </c>
      <c r="B3977" s="29" t="s">
        <v>7965</v>
      </c>
      <c r="C3977" s="30">
        <v>4.0</v>
      </c>
      <c r="D3977" s="31">
        <v>315.0</v>
      </c>
      <c r="E3977" s="31">
        <v>11.0</v>
      </c>
      <c r="F3977" s="32" t="str">
        <f t="array" ref="F3977">"https://www.google.com/maps/search/?api=1&amp;query=" &amp; A3977 &amp; "," &amp; B3977</f>
        <v>https://www.google.com/maps/search/?api=1&amp;query=-30.89731862093610,-55.55550577173620</v>
      </c>
      <c r="G3977" s="33" t="str">
        <f t="array" ref="G3977">"https://earth.google.com/web/search/" &amp; A3977 &amp; "," &amp; B3977</f>
        <v>https://earth.google.com/web/search/-30.89731862093610,-55.55550577173620</v>
      </c>
      <c r="H3977" s="12"/>
      <c r="I3977" s="12"/>
      <c r="J3977" s="12"/>
      <c r="K3977" s="12"/>
      <c r="L3977" s="12"/>
      <c r="M3977" s="12"/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/>
      <c r="AA3977" s="12"/>
    </row>
    <row r="3978" ht="26.25" customHeight="1">
      <c r="A3978" s="34" t="s">
        <v>7966</v>
      </c>
      <c r="B3978" s="35" t="s">
        <v>7967</v>
      </c>
      <c r="C3978" s="36">
        <v>4.0</v>
      </c>
      <c r="D3978" s="37">
        <v>315.0</v>
      </c>
      <c r="E3978" s="37">
        <v>12.0</v>
      </c>
      <c r="F3978" s="24" t="str">
        <f t="array" ref="F3978">"https://www.google.com/maps/search/?api=1&amp;query=" &amp; A3978 &amp; "," &amp; B3978</f>
        <v>https://www.google.com/maps/search/?api=1&amp;query=-30.89746975345860,-55.55561927051000</v>
      </c>
      <c r="G3978" s="25" t="str">
        <f t="array" ref="G3978">"https://earth.google.com/web/search/" &amp; A3978 &amp; "," &amp; B3978</f>
        <v>https://earth.google.com/web/search/-30.89746975345860,-55.55561927051000</v>
      </c>
      <c r="H3978" s="12"/>
      <c r="I3978" s="12"/>
      <c r="J3978" s="12"/>
      <c r="K3978" s="12"/>
      <c r="L3978" s="12"/>
      <c r="M3978" s="12"/>
      <c r="N3978" s="12"/>
      <c r="O3978" s="12"/>
      <c r="P3978" s="12"/>
      <c r="Q3978" s="12"/>
      <c r="R3978" s="12"/>
      <c r="S3978" s="12"/>
      <c r="T3978" s="12"/>
      <c r="U3978" s="12"/>
      <c r="V3978" s="12"/>
      <c r="W3978" s="12"/>
      <c r="X3978" s="12"/>
      <c r="Y3978" s="12"/>
      <c r="Z3978" s="12"/>
      <c r="AA3978" s="12"/>
    </row>
    <row r="3979" ht="26.25" customHeight="1">
      <c r="A3979" s="28" t="s">
        <v>7968</v>
      </c>
      <c r="B3979" s="29" t="s">
        <v>7969</v>
      </c>
      <c r="C3979" s="30">
        <v>4.0</v>
      </c>
      <c r="D3979" s="31">
        <v>315.0</v>
      </c>
      <c r="E3979" s="31">
        <v>13.0</v>
      </c>
      <c r="F3979" s="32" t="str">
        <f t="array" ref="F3979">"https://www.google.com/maps/search/?api=1&amp;query=" &amp; A3979 &amp; "," &amp; B3979</f>
        <v>https://www.google.com/maps/search/?api=1&amp;query=-30.89765622393210,-55.55573851446200</v>
      </c>
      <c r="G3979" s="33" t="str">
        <f t="array" ref="G3979">"https://earth.google.com/web/search/" &amp; A3979 &amp; "," &amp; B3979</f>
        <v>https://earth.google.com/web/search/-30.89765622393210,-55.55573851446200</v>
      </c>
      <c r="H3979" s="12"/>
      <c r="I3979" s="12"/>
      <c r="J3979" s="12"/>
      <c r="K3979" s="12"/>
      <c r="L3979" s="12"/>
      <c r="M3979" s="12"/>
      <c r="N3979" s="12"/>
      <c r="O3979" s="12"/>
      <c r="P3979" s="12"/>
      <c r="Q3979" s="12"/>
      <c r="R3979" s="12"/>
      <c r="S3979" s="12"/>
      <c r="T3979" s="12"/>
      <c r="U3979" s="12"/>
      <c r="V3979" s="12"/>
      <c r="W3979" s="12"/>
      <c r="X3979" s="12"/>
      <c r="Y3979" s="12"/>
      <c r="Z3979" s="12"/>
      <c r="AA3979" s="12"/>
    </row>
    <row r="3980" ht="26.25" customHeight="1">
      <c r="A3980" s="34" t="s">
        <v>7970</v>
      </c>
      <c r="B3980" s="35" t="s">
        <v>7971</v>
      </c>
      <c r="C3980" s="36">
        <v>4.0</v>
      </c>
      <c r="D3980" s="37">
        <v>315.0</v>
      </c>
      <c r="E3980" s="37">
        <v>14.0</v>
      </c>
      <c r="F3980" s="24" t="str">
        <f t="array" ref="F3980">"https://www.google.com/maps/search/?api=1&amp;query=" &amp; A3980 &amp; "," &amp; B3980</f>
        <v>https://www.google.com/maps/search/?api=1&amp;query=-30.89774580947650,-55.55581269040660</v>
      </c>
      <c r="G3980" s="25" t="str">
        <f t="array" ref="G3980">"https://earth.google.com/web/search/" &amp; A3980 &amp; "," &amp; B3980</f>
        <v>https://earth.google.com/web/search/-30.89774580947650,-55.55581269040660</v>
      </c>
      <c r="H3980" s="12"/>
      <c r="I3980" s="12"/>
      <c r="J3980" s="12"/>
      <c r="K3980" s="12"/>
      <c r="L3980" s="12"/>
      <c r="M3980" s="12"/>
      <c r="N3980" s="12"/>
      <c r="O3980" s="12"/>
      <c r="P3980" s="12"/>
      <c r="Q3980" s="12"/>
      <c r="R3980" s="12"/>
      <c r="S3980" s="12"/>
      <c r="T3980" s="12"/>
      <c r="U3980" s="12"/>
      <c r="V3980" s="12"/>
      <c r="W3980" s="12"/>
      <c r="X3980" s="12"/>
      <c r="Y3980" s="12"/>
      <c r="Z3980" s="12"/>
      <c r="AA3980" s="12"/>
    </row>
    <row r="3981" ht="26.25" customHeight="1">
      <c r="A3981" s="28" t="s">
        <v>7972</v>
      </c>
      <c r="B3981" s="29" t="s">
        <v>7973</v>
      </c>
      <c r="C3981" s="30">
        <v>4.0</v>
      </c>
      <c r="D3981" s="31">
        <v>316.0</v>
      </c>
      <c r="E3981" s="31">
        <v>1.0</v>
      </c>
      <c r="F3981" s="32" t="str">
        <f t="array" ref="F3981">"https://www.google.com/maps/search/?api=1&amp;query=" &amp; A3981 &amp; "," &amp; B3981</f>
        <v>https://www.google.com/maps/search/?api=1&amp;query=-3.08985240745513,-55.55457614037110</v>
      </c>
      <c r="G3981" s="33" t="str">
        <f t="array" ref="G3981">"https://earth.google.com/web/search/" &amp; A3981 &amp; "," &amp; B3981</f>
        <v>https://earth.google.com/web/search/-3.08985240745513,-55.55457614037110</v>
      </c>
      <c r="H3981" s="12"/>
      <c r="I3981" s="12"/>
      <c r="J3981" s="12"/>
      <c r="K3981" s="12"/>
      <c r="L3981" s="12"/>
      <c r="M3981" s="12"/>
      <c r="N3981" s="12"/>
      <c r="O3981" s="12"/>
      <c r="P3981" s="12"/>
      <c r="Q3981" s="12"/>
      <c r="R3981" s="12"/>
      <c r="S3981" s="12"/>
      <c r="T3981" s="12"/>
      <c r="U3981" s="12"/>
      <c r="V3981" s="12"/>
      <c r="W3981" s="12"/>
      <c r="X3981" s="12"/>
      <c r="Y3981" s="12"/>
      <c r="Z3981" s="12"/>
      <c r="AA3981" s="12"/>
    </row>
    <row r="3982" ht="26.25" customHeight="1">
      <c r="A3982" s="34" t="s">
        <v>7974</v>
      </c>
      <c r="B3982" s="35" t="s">
        <v>7975</v>
      </c>
      <c r="C3982" s="36">
        <v>4.0</v>
      </c>
      <c r="D3982" s="37">
        <v>316.0</v>
      </c>
      <c r="E3982" s="37">
        <v>2.0</v>
      </c>
      <c r="F3982" s="24" t="str">
        <f t="array" ref="F3982">"https://www.google.com/maps/search/?api=1&amp;query=" &amp; A3982 &amp; "," &amp; B3982</f>
        <v>https://www.google.com/maps/search/?api=1&amp;query=-30.89861187463260,-55.55442366853780</v>
      </c>
      <c r="G3982" s="25" t="str">
        <f t="array" ref="G3982">"https://earth.google.com/web/search/" &amp; A3982 &amp; "," &amp; B3982</f>
        <v>https://earth.google.com/web/search/-30.89861187463260,-55.55442366853780</v>
      </c>
      <c r="H3982" s="12"/>
      <c r="I3982" s="12"/>
      <c r="J3982" s="12"/>
      <c r="K3982" s="12"/>
      <c r="L3982" s="12"/>
      <c r="M3982" s="12"/>
      <c r="N3982" s="12"/>
      <c r="O3982" s="12"/>
      <c r="P3982" s="12"/>
      <c r="Q3982" s="12"/>
      <c r="R3982" s="12"/>
      <c r="S3982" s="12"/>
      <c r="T3982" s="12"/>
      <c r="U3982" s="12"/>
      <c r="V3982" s="12"/>
      <c r="W3982" s="12"/>
      <c r="X3982" s="12"/>
      <c r="Y3982" s="12"/>
      <c r="Z3982" s="12"/>
      <c r="AA3982" s="12"/>
    </row>
    <row r="3983" ht="26.25" customHeight="1">
      <c r="A3983" s="28" t="s">
        <v>7976</v>
      </c>
      <c r="B3983" s="29" t="s">
        <v>7977</v>
      </c>
      <c r="C3983" s="30">
        <v>4.0</v>
      </c>
      <c r="D3983" s="31">
        <v>316.0</v>
      </c>
      <c r="E3983" s="31">
        <v>3.0</v>
      </c>
      <c r="F3983" s="32" t="str">
        <f t="array" ref="F3983">"https://www.google.com/maps/search/?api=1&amp;query=" &amp; A3983 &amp; "," &amp; B3983</f>
        <v>https://www.google.com/maps/search/?api=1&amp;query=-30.89817114185500,-55.55374157854630</v>
      </c>
      <c r="G3983" s="33" t="str">
        <f t="array" ref="G3983">"https://earth.google.com/web/search/" &amp; A3983 &amp; "," &amp; B3983</f>
        <v>https://earth.google.com/web/search/-30.89817114185500,-55.55374157854630</v>
      </c>
      <c r="H3983" s="12"/>
      <c r="I3983" s="12"/>
      <c r="J3983" s="12"/>
      <c r="K3983" s="12"/>
      <c r="L3983" s="12"/>
      <c r="M3983" s="12"/>
      <c r="N3983" s="12"/>
      <c r="O3983" s="12"/>
      <c r="P3983" s="12"/>
      <c r="Q3983" s="12"/>
      <c r="R3983" s="12"/>
      <c r="S3983" s="12"/>
      <c r="T3983" s="12"/>
      <c r="U3983" s="12"/>
      <c r="V3983" s="12"/>
      <c r="W3983" s="12"/>
      <c r="X3983" s="12"/>
      <c r="Y3983" s="12"/>
      <c r="Z3983" s="12"/>
      <c r="AA3983" s="12"/>
    </row>
    <row r="3984" ht="26.25" customHeight="1">
      <c r="A3984" s="34" t="s">
        <v>7978</v>
      </c>
      <c r="B3984" s="35" t="s">
        <v>7979</v>
      </c>
      <c r="C3984" s="36">
        <v>4.0</v>
      </c>
      <c r="D3984" s="37">
        <v>316.0</v>
      </c>
      <c r="E3984" s="37">
        <v>4.0</v>
      </c>
      <c r="F3984" s="24" t="str">
        <f t="array" ref="F3984">"https://www.google.com/maps/search/?api=1&amp;query=" &amp; A3984 &amp; "," &amp; B3984</f>
        <v>https://www.google.com/maps/search/?api=1&amp;query=-30.89804820569690,-55.55373487133910</v>
      </c>
      <c r="G3984" s="25" t="str">
        <f t="array" ref="G3984">"https://earth.google.com/web/search/" &amp; A3984 &amp; "," &amp; B3984</f>
        <v>https://earth.google.com/web/search/-30.89804820569690,-55.55373487133910</v>
      </c>
      <c r="H3984" s="12"/>
      <c r="I3984" s="12"/>
      <c r="J3984" s="12"/>
      <c r="K3984" s="12"/>
      <c r="L3984" s="12"/>
      <c r="M3984" s="12"/>
      <c r="N3984" s="12"/>
      <c r="O3984" s="12"/>
      <c r="P3984" s="12"/>
      <c r="Q3984" s="12"/>
      <c r="R3984" s="12"/>
      <c r="S3984" s="12"/>
      <c r="T3984" s="12"/>
      <c r="U3984" s="12"/>
      <c r="V3984" s="12"/>
      <c r="W3984" s="12"/>
      <c r="X3984" s="12"/>
      <c r="Y3984" s="12"/>
      <c r="Z3984" s="12"/>
      <c r="AA3984" s="12"/>
    </row>
    <row r="3985" ht="26.25" customHeight="1">
      <c r="A3985" s="28" t="s">
        <v>7980</v>
      </c>
      <c r="B3985" s="29" t="s">
        <v>7981</v>
      </c>
      <c r="C3985" s="30">
        <v>4.0</v>
      </c>
      <c r="D3985" s="31">
        <v>316.0</v>
      </c>
      <c r="E3985" s="31">
        <v>5.0</v>
      </c>
      <c r="F3985" s="32" t="str">
        <f t="array" ref="F3985">"https://www.google.com/maps/search/?api=1&amp;query=" &amp; A3985 &amp; "," &amp; B3985</f>
        <v>https://www.google.com/maps/search/?api=1&amp;query=-30.89763015587230,-5.55544494739021</v>
      </c>
      <c r="G3985" s="33" t="str">
        <f t="array" ref="G3985">"https://earth.google.com/web/search/" &amp; A3985 &amp; "," &amp; B3985</f>
        <v>https://earth.google.com/web/search/-30.89763015587230,-5.55544494739021</v>
      </c>
      <c r="H3985" s="12"/>
      <c r="I3985" s="12"/>
      <c r="J3985" s="12"/>
      <c r="K3985" s="12"/>
      <c r="L3985" s="12"/>
      <c r="M3985" s="12"/>
      <c r="N3985" s="12"/>
      <c r="O3985" s="12"/>
      <c r="P3985" s="12"/>
      <c r="Q3985" s="12"/>
      <c r="R3985" s="12"/>
      <c r="S3985" s="12"/>
      <c r="T3985" s="12"/>
      <c r="U3985" s="12"/>
      <c r="V3985" s="12"/>
      <c r="W3985" s="12"/>
      <c r="X3985" s="12"/>
      <c r="Y3985" s="12"/>
      <c r="Z3985" s="12"/>
      <c r="AA3985" s="12"/>
    </row>
    <row r="3986" ht="26.25" customHeight="1">
      <c r="A3986" s="34" t="s">
        <v>7982</v>
      </c>
      <c r="B3986" s="35" t="s">
        <v>7983</v>
      </c>
      <c r="C3986" s="36">
        <v>4.0</v>
      </c>
      <c r="D3986" s="37">
        <v>316.0</v>
      </c>
      <c r="E3986" s="37">
        <v>6.0</v>
      </c>
      <c r="F3986" s="24" t="str">
        <f t="array" ref="F3986">"https://www.google.com/maps/search/?api=1&amp;query=" &amp; A3986 &amp; "," &amp; B3986</f>
        <v>https://www.google.com/maps/search/?api=1&amp;query=-30.89776545133620,-55.55460039913410</v>
      </c>
      <c r="G3986" s="25" t="str">
        <f t="array" ref="G3986">"https://earth.google.com/web/search/" &amp; A3986 &amp; "," &amp; B3986</f>
        <v>https://earth.google.com/web/search/-30.89776545133620,-55.55460039913410</v>
      </c>
      <c r="H3986" s="12"/>
      <c r="I3986" s="12"/>
      <c r="J3986" s="12"/>
      <c r="K3986" s="12"/>
      <c r="L3986" s="12"/>
      <c r="M3986" s="12"/>
      <c r="N3986" s="12"/>
      <c r="O3986" s="12"/>
      <c r="P3986" s="12"/>
      <c r="Q3986" s="12"/>
      <c r="R3986" s="12"/>
      <c r="S3986" s="12"/>
      <c r="T3986" s="12"/>
      <c r="U3986" s="12"/>
      <c r="V3986" s="12"/>
      <c r="W3986" s="12"/>
      <c r="X3986" s="12"/>
      <c r="Y3986" s="12"/>
      <c r="Z3986" s="12"/>
      <c r="AA3986" s="12"/>
    </row>
    <row r="3987" ht="26.25" customHeight="1">
      <c r="A3987" s="28" t="s">
        <v>7984</v>
      </c>
      <c r="B3987" s="29" t="s">
        <v>7985</v>
      </c>
      <c r="C3987" s="30">
        <v>4.0</v>
      </c>
      <c r="D3987" s="31">
        <v>316.0</v>
      </c>
      <c r="E3987" s="31">
        <v>7.0</v>
      </c>
      <c r="F3987" s="32" t="str">
        <f t="array" ref="F3987">"https://www.google.com/maps/search/?api=1&amp;query=" &amp; A3987 &amp; "," &amp; B3987</f>
        <v>https://www.google.com/maps/search/?api=1&amp;query=-30.89812592081570,-55.55483107282400</v>
      </c>
      <c r="G3987" s="33" t="str">
        <f t="array" ref="G3987">"https://earth.google.com/web/search/" &amp; A3987 &amp; "," &amp; B3987</f>
        <v>https://earth.google.com/web/search/-30.89812592081570,-55.55483107282400</v>
      </c>
      <c r="H3987" s="12"/>
      <c r="I3987" s="12"/>
      <c r="J3987" s="12"/>
      <c r="K3987" s="12"/>
      <c r="L3987" s="12"/>
      <c r="M3987" s="12"/>
      <c r="N3987" s="12"/>
      <c r="O3987" s="12"/>
      <c r="P3987" s="12"/>
      <c r="Q3987" s="12"/>
      <c r="R3987" s="12"/>
      <c r="S3987" s="12"/>
      <c r="T3987" s="12"/>
      <c r="U3987" s="12"/>
      <c r="V3987" s="12"/>
      <c r="W3987" s="12"/>
      <c r="X3987" s="12"/>
      <c r="Y3987" s="12"/>
      <c r="Z3987" s="12"/>
      <c r="AA3987" s="12"/>
    </row>
    <row r="3988" ht="26.25" customHeight="1">
      <c r="A3988" s="34" t="s">
        <v>7986</v>
      </c>
      <c r="B3988" s="35" t="s">
        <v>7987</v>
      </c>
      <c r="C3988" s="36">
        <v>4.0</v>
      </c>
      <c r="D3988" s="37">
        <v>317.0</v>
      </c>
      <c r="E3988" s="37">
        <v>2.0</v>
      </c>
      <c r="F3988" s="24" t="str">
        <f t="array" ref="F3988">"https://www.google.com/maps/search/?api=1&amp;query=" &amp; A3988 &amp; "," &amp; B3988</f>
        <v>https://www.google.com/maps/search/?api=1&amp;query=-30.89897859955900,-55.55308829247200</v>
      </c>
      <c r="G3988" s="25" t="str">
        <f t="array" ref="G3988">"https://earth.google.com/web/search/" &amp; A3988 &amp; "," &amp; B3988</f>
        <v>https://earth.google.com/web/search/-30.89897859955900,-55.55308829247200</v>
      </c>
      <c r="H3988" s="12"/>
      <c r="I3988" s="12"/>
      <c r="J3988" s="12"/>
      <c r="K3988" s="12"/>
      <c r="L3988" s="12"/>
      <c r="M3988" s="12"/>
      <c r="N3988" s="12"/>
      <c r="O3988" s="12"/>
      <c r="P3988" s="12"/>
      <c r="Q3988" s="12"/>
      <c r="R3988" s="12"/>
      <c r="S3988" s="12"/>
      <c r="T3988" s="12"/>
      <c r="U3988" s="12"/>
      <c r="V3988" s="12"/>
      <c r="W3988" s="12"/>
      <c r="X3988" s="12"/>
      <c r="Y3988" s="12"/>
      <c r="Z3988" s="12"/>
      <c r="AA3988" s="12"/>
    </row>
    <row r="3989" ht="26.25" customHeight="1">
      <c r="A3989" s="28" t="s">
        <v>7988</v>
      </c>
      <c r="B3989" s="29" t="s">
        <v>7989</v>
      </c>
      <c r="C3989" s="30">
        <v>4.0</v>
      </c>
      <c r="D3989" s="31">
        <v>317.0</v>
      </c>
      <c r="E3989" s="31">
        <v>1.0</v>
      </c>
      <c r="F3989" s="32" t="str">
        <f t="array" ref="F3989">"https://www.google.com/maps/search/?api=1&amp;query=" &amp; A3989 &amp; "," &amp; B3989</f>
        <v>https://www.google.com/maps/search/?api=1&amp;query=-30.89917818014260,-55.55341210194890</v>
      </c>
      <c r="G3989" s="33" t="str">
        <f t="array" ref="G3989">"https://earth.google.com/web/search/" &amp; A3989 &amp; "," &amp; B3989</f>
        <v>https://earth.google.com/web/search/-30.89917818014260,-55.55341210194890</v>
      </c>
      <c r="H3989" s="12"/>
      <c r="I3989" s="12"/>
      <c r="J3989" s="12"/>
      <c r="K3989" s="12"/>
      <c r="L3989" s="12"/>
      <c r="M3989" s="12"/>
      <c r="N3989" s="12"/>
      <c r="O3989" s="12"/>
      <c r="P3989" s="12"/>
      <c r="Q3989" s="12"/>
      <c r="R3989" s="12"/>
      <c r="S3989" s="12"/>
      <c r="T3989" s="12"/>
      <c r="U3989" s="12"/>
      <c r="V3989" s="12"/>
      <c r="W3989" s="12"/>
      <c r="X3989" s="12"/>
      <c r="Y3989" s="12"/>
      <c r="Z3989" s="12"/>
      <c r="AA3989" s="12"/>
    </row>
    <row r="3990" ht="26.25" customHeight="1">
      <c r="A3990" s="34" t="s">
        <v>7990</v>
      </c>
      <c r="B3990" s="35" t="s">
        <v>7991</v>
      </c>
      <c r="C3990" s="36">
        <v>4.0</v>
      </c>
      <c r="D3990" s="37">
        <v>317.0</v>
      </c>
      <c r="E3990" s="37">
        <v>3.0</v>
      </c>
      <c r="F3990" s="24" t="str">
        <f t="array" ref="F3990">"https://www.google.com/maps/search/?api=1&amp;query=" &amp; A3990 &amp; "," &amp; B3990</f>
        <v>https://www.google.com/maps/search/?api=1&amp;query=-30.89821872225710,-55.55335700715710</v>
      </c>
      <c r="G3990" s="25" t="str">
        <f t="array" ref="G3990">"https://earth.google.com/web/search/" &amp; A3990 &amp; "," &amp; B3990</f>
        <v>https://earth.google.com/web/search/-30.89821872225710,-55.55335700715710</v>
      </c>
      <c r="H3990" s="12"/>
      <c r="I3990" s="12"/>
      <c r="J3990" s="12"/>
      <c r="K3990" s="12"/>
      <c r="L3990" s="12"/>
      <c r="M3990" s="12"/>
      <c r="N3990" s="12"/>
      <c r="O3990" s="12"/>
      <c r="P3990" s="12"/>
      <c r="Q3990" s="12"/>
      <c r="R3990" s="12"/>
      <c r="S3990" s="12"/>
      <c r="T3990" s="12"/>
      <c r="U3990" s="12"/>
      <c r="V3990" s="12"/>
      <c r="W3990" s="12"/>
      <c r="X3990" s="12"/>
      <c r="Y3990" s="12"/>
      <c r="Z3990" s="12"/>
      <c r="AA3990" s="12"/>
    </row>
    <row r="3991" ht="26.25" customHeight="1">
      <c r="A3991" s="28" t="s">
        <v>7992</v>
      </c>
      <c r="B3991" s="29" t="s">
        <v>7993</v>
      </c>
      <c r="C3991" s="30">
        <v>4.0</v>
      </c>
      <c r="D3991" s="31">
        <v>317.0</v>
      </c>
      <c r="E3991" s="31">
        <v>4.0</v>
      </c>
      <c r="F3991" s="32" t="str">
        <f t="array" ref="F3991">"https://www.google.com/maps/search/?api=1&amp;query=" &amp; A3991 &amp; "," &amp; B3991</f>
        <v>https://www.google.com/maps/search/?api=1&amp;query=-30.89815895463430,-55.55351271749040</v>
      </c>
      <c r="G3991" s="33" t="str">
        <f t="array" ref="G3991">"https://earth.google.com/web/search/" &amp; A3991 &amp; "," &amp; B3991</f>
        <v>https://earth.google.com/web/search/-30.89815895463430,-55.55351271749040</v>
      </c>
      <c r="H3991" s="12"/>
      <c r="I3991" s="12"/>
      <c r="J3991" s="12"/>
      <c r="K3991" s="12"/>
      <c r="L3991" s="12"/>
      <c r="M3991" s="12"/>
      <c r="N3991" s="12"/>
      <c r="O3991" s="12"/>
      <c r="P3991" s="12"/>
      <c r="Q3991" s="12"/>
      <c r="R3991" s="12"/>
      <c r="S3991" s="12"/>
      <c r="T3991" s="12"/>
      <c r="U3991" s="12"/>
      <c r="V3991" s="12"/>
      <c r="W3991" s="12"/>
      <c r="X3991" s="12"/>
      <c r="Y3991" s="12"/>
      <c r="Z3991" s="12"/>
      <c r="AA3991" s="12"/>
    </row>
    <row r="3992" ht="26.25" customHeight="1">
      <c r="A3992" s="34" t="s">
        <v>7994</v>
      </c>
      <c r="B3992" s="35" t="s">
        <v>7995</v>
      </c>
      <c r="C3992" s="36">
        <v>4.0</v>
      </c>
      <c r="D3992" s="37">
        <v>317.0</v>
      </c>
      <c r="E3992" s="37">
        <v>5.0</v>
      </c>
      <c r="F3992" s="24" t="str">
        <f t="array" ref="F3992">"https://www.google.com/maps/search/?api=1&amp;query=" &amp; A3992 &amp; "," &amp; B3992</f>
        <v>https://www.google.com/maps/search/?api=1&amp;query=-30.89837798028870,-55.55375362752870</v>
      </c>
      <c r="G3992" s="25" t="str">
        <f t="array" ref="G3992">"https://earth.google.com/web/search/" &amp; A3992 &amp; "," &amp; B3992</f>
        <v>https://earth.google.com/web/search/-30.89837798028870,-55.55375362752870</v>
      </c>
      <c r="H3992" s="12"/>
      <c r="I3992" s="12"/>
      <c r="J3992" s="12"/>
      <c r="K3992" s="12"/>
      <c r="L3992" s="12"/>
      <c r="M3992" s="12"/>
      <c r="N3992" s="12"/>
      <c r="O3992" s="12"/>
      <c r="P3992" s="12"/>
      <c r="Q3992" s="12"/>
      <c r="R3992" s="12"/>
      <c r="S3992" s="12"/>
      <c r="T3992" s="12"/>
      <c r="U3992" s="12"/>
      <c r="V3992" s="12"/>
      <c r="W3992" s="12"/>
      <c r="X3992" s="12"/>
      <c r="Y3992" s="12"/>
      <c r="Z3992" s="12"/>
      <c r="AA3992" s="12"/>
    </row>
    <row r="3993" ht="26.25" customHeight="1">
      <c r="A3993" s="28" t="s">
        <v>7996</v>
      </c>
      <c r="B3993" s="29" t="s">
        <v>7997</v>
      </c>
      <c r="C3993" s="30">
        <v>4.0</v>
      </c>
      <c r="D3993" s="31">
        <v>317.0</v>
      </c>
      <c r="E3993" s="31">
        <v>6.0</v>
      </c>
      <c r="F3993" s="32" t="str">
        <f t="array" ref="F3993">"https://www.google.com/maps/search/?api=1&amp;query=" &amp; A3993 &amp; "," &amp; B3993</f>
        <v>https://www.google.com/maps/search/?api=1&amp;query=-3.08985768063481,-55.55390034036660</v>
      </c>
      <c r="G3993" s="33" t="str">
        <f t="array" ref="G3993">"https://earth.google.com/web/search/" &amp; A3993 &amp; "," &amp; B3993</f>
        <v>https://earth.google.com/web/search/-3.08985768063481,-55.55390034036660</v>
      </c>
      <c r="H3993" s="12"/>
      <c r="I3993" s="12"/>
      <c r="J3993" s="12"/>
      <c r="K3993" s="12"/>
      <c r="L3993" s="12"/>
      <c r="M3993" s="12"/>
      <c r="N3993" s="12"/>
      <c r="O3993" s="12"/>
      <c r="P3993" s="12"/>
      <c r="Q3993" s="12"/>
      <c r="R3993" s="12"/>
      <c r="S3993" s="12"/>
      <c r="T3993" s="12"/>
      <c r="U3993" s="12"/>
      <c r="V3993" s="12"/>
      <c r="W3993" s="12"/>
      <c r="X3993" s="12"/>
      <c r="Y3993" s="12"/>
      <c r="Z3993" s="12"/>
      <c r="AA3993" s="12"/>
    </row>
    <row r="3994" ht="26.25" customHeight="1">
      <c r="A3994" s="34" t="s">
        <v>7998</v>
      </c>
      <c r="B3994" s="35" t="s">
        <v>7999</v>
      </c>
      <c r="C3994" s="36">
        <v>4.0</v>
      </c>
      <c r="D3994" s="37">
        <v>317.0</v>
      </c>
      <c r="E3994" s="37">
        <v>7.0</v>
      </c>
      <c r="F3994" s="24" t="str">
        <f t="array" ref="F3994">"https://www.google.com/maps/search/?api=1&amp;query=" &amp; A3994 &amp; "," &amp; B3994</f>
        <v>https://www.google.com/maps/search/?api=1&amp;query=-30.89876078440440,-55.55402425285470</v>
      </c>
      <c r="G3994" s="25" t="str">
        <f t="array" ref="G3994">"https://earth.google.com/web/search/" &amp; A3994 &amp; "," &amp; B3994</f>
        <v>https://earth.google.com/web/search/-30.89876078440440,-55.55402425285470</v>
      </c>
      <c r="H3994" s="12"/>
      <c r="I3994" s="12"/>
      <c r="J3994" s="12"/>
      <c r="K3994" s="12"/>
      <c r="L3994" s="12"/>
      <c r="M3994" s="12"/>
      <c r="N3994" s="12"/>
      <c r="O3994" s="12"/>
      <c r="P3994" s="12"/>
      <c r="Q3994" s="12"/>
      <c r="R3994" s="12"/>
      <c r="S3994" s="12"/>
      <c r="T3994" s="12"/>
      <c r="U3994" s="12"/>
      <c r="V3994" s="12"/>
      <c r="W3994" s="12"/>
      <c r="X3994" s="12"/>
      <c r="Y3994" s="12"/>
      <c r="Z3994" s="12"/>
      <c r="AA3994" s="12"/>
    </row>
    <row r="3995" ht="26.25" customHeight="1">
      <c r="A3995" s="28" t="s">
        <v>8000</v>
      </c>
      <c r="B3995" s="29" t="s">
        <v>8001</v>
      </c>
      <c r="C3995" s="30">
        <v>4.0</v>
      </c>
      <c r="D3995" s="31">
        <v>318.0</v>
      </c>
      <c r="E3995" s="31">
        <v>1.0</v>
      </c>
      <c r="F3995" s="32" t="str">
        <f t="array" ref="F3995">"https://www.google.com/maps/search/?api=1&amp;query=" &amp; A3995 &amp; "," &amp; B3995</f>
        <v>https://www.google.com/maps/search/?api=1&amp;query=-30.89939912346930,-55.55301092285890</v>
      </c>
      <c r="G3995" s="33" t="str">
        <f t="array" ref="G3995">"https://earth.google.com/web/search/" &amp; A3995 &amp; "," &amp; B3995</f>
        <v>https://earth.google.com/web/search/-30.89939912346930,-55.55301092285890</v>
      </c>
      <c r="H3995" s="12"/>
      <c r="I3995" s="12"/>
      <c r="J3995" s="12"/>
      <c r="K3995" s="12"/>
      <c r="L3995" s="12"/>
      <c r="M3995" s="12"/>
      <c r="N3995" s="12"/>
      <c r="O3995" s="12"/>
      <c r="P3995" s="12"/>
      <c r="Q3995" s="12"/>
      <c r="R3995" s="12"/>
      <c r="S3995" s="12"/>
      <c r="T3995" s="12"/>
      <c r="U3995" s="12"/>
      <c r="V3995" s="12"/>
      <c r="W3995" s="12"/>
      <c r="X3995" s="12"/>
      <c r="Y3995" s="12"/>
      <c r="Z3995" s="12"/>
      <c r="AA3995" s="12"/>
    </row>
    <row r="3996" ht="26.25" customHeight="1">
      <c r="A3996" s="34" t="s">
        <v>8002</v>
      </c>
      <c r="B3996" s="35" t="s">
        <v>8003</v>
      </c>
      <c r="C3996" s="36">
        <v>4.0</v>
      </c>
      <c r="D3996" s="37">
        <v>318.0</v>
      </c>
      <c r="E3996" s="37">
        <v>2.0</v>
      </c>
      <c r="F3996" s="24" t="str">
        <f t="array" ref="F3996">"https://www.google.com/maps/search/?api=1&amp;query=" &amp; A3996 &amp; "," &amp; B3996</f>
        <v>https://www.google.com/maps/search/?api=1&amp;query=-30.89893328494390,-55.55293019774870</v>
      </c>
      <c r="G3996" s="25" t="str">
        <f t="array" ref="G3996">"https://earth.google.com/web/search/" &amp; A3996 &amp; "," &amp; B3996</f>
        <v>https://earth.google.com/web/search/-30.89893328494390,-55.55293019774870</v>
      </c>
      <c r="H3996" s="12"/>
      <c r="I3996" s="12"/>
      <c r="J3996" s="12"/>
      <c r="K3996" s="12"/>
      <c r="L3996" s="12"/>
      <c r="M3996" s="12"/>
      <c r="N3996" s="12"/>
      <c r="O3996" s="12"/>
      <c r="P3996" s="12"/>
      <c r="Q3996" s="12"/>
      <c r="R3996" s="12"/>
      <c r="S3996" s="12"/>
      <c r="T3996" s="12"/>
      <c r="U3996" s="12"/>
      <c r="V3996" s="12"/>
      <c r="W3996" s="12"/>
      <c r="X3996" s="12"/>
      <c r="Y3996" s="12"/>
      <c r="Z3996" s="12"/>
      <c r="AA3996" s="12"/>
    </row>
    <row r="3997" ht="26.25" customHeight="1">
      <c r="A3997" s="28" t="s">
        <v>8004</v>
      </c>
      <c r="B3997" s="29" t="s">
        <v>8005</v>
      </c>
      <c r="C3997" s="30">
        <v>4.0</v>
      </c>
      <c r="D3997" s="31">
        <v>318.0</v>
      </c>
      <c r="E3997" s="31">
        <v>3.0</v>
      </c>
      <c r="F3997" s="32" t="str">
        <f t="array" ref="F3997">"https://www.google.com/maps/search/?api=1&amp;query=" &amp; A3997 &amp; "," &amp; B3997</f>
        <v>https://www.google.com/maps/search/?api=1&amp;query=-30.89907644542400,-55.55302971275220</v>
      </c>
      <c r="G3997" s="33" t="str">
        <f t="array" ref="G3997">"https://earth.google.com/web/search/" &amp; A3997 &amp; "," &amp; B3997</f>
        <v>https://earth.google.com/web/search/-30.89907644542400,-55.55302971275220</v>
      </c>
      <c r="H3997" s="12"/>
      <c r="I3997" s="12"/>
      <c r="J3997" s="12"/>
      <c r="K3997" s="12"/>
      <c r="L3997" s="12"/>
      <c r="M3997" s="12"/>
      <c r="N3997" s="12"/>
      <c r="O3997" s="12"/>
      <c r="P3997" s="12"/>
      <c r="Q3997" s="12"/>
      <c r="R3997" s="12"/>
      <c r="S3997" s="12"/>
      <c r="T3997" s="12"/>
      <c r="U3997" s="12"/>
      <c r="V3997" s="12"/>
      <c r="W3997" s="12"/>
      <c r="X3997" s="12"/>
      <c r="Y3997" s="12"/>
      <c r="Z3997" s="12"/>
      <c r="AA3997" s="12"/>
    </row>
    <row r="3998" ht="26.25" customHeight="1">
      <c r="A3998" s="34" t="s">
        <v>8006</v>
      </c>
      <c r="B3998" s="35" t="s">
        <v>8007</v>
      </c>
      <c r="C3998" s="36">
        <v>4.0</v>
      </c>
      <c r="D3998" s="37">
        <v>318.0</v>
      </c>
      <c r="E3998" s="37">
        <v>4.0</v>
      </c>
      <c r="F3998" s="24" t="str">
        <f t="array" ref="F3998">"https://www.google.com/maps/search/?api=1&amp;query=" &amp; A3998 &amp; "," &amp; B3998</f>
        <v>https://www.google.com/maps/search/?api=1&amp;query=-30.89913736746350,-5.55530645591402</v>
      </c>
      <c r="G3998" s="25" t="str">
        <f t="array" ref="G3998">"https://earth.google.com/web/search/" &amp; A3998 &amp; "," &amp; B3998</f>
        <v>https://earth.google.com/web/search/-30.89913736746350,-5.55530645591402</v>
      </c>
      <c r="H3998" s="12"/>
      <c r="I3998" s="12"/>
      <c r="J3998" s="12"/>
      <c r="K3998" s="12"/>
      <c r="L3998" s="12"/>
      <c r="M3998" s="12"/>
      <c r="N3998" s="12"/>
      <c r="O3998" s="12"/>
      <c r="P3998" s="12"/>
      <c r="Q3998" s="12"/>
      <c r="R3998" s="12"/>
      <c r="S3998" s="12"/>
      <c r="T3998" s="12"/>
      <c r="U3998" s="12"/>
      <c r="V3998" s="12"/>
      <c r="W3998" s="12"/>
      <c r="X3998" s="12"/>
      <c r="Y3998" s="12"/>
      <c r="Z3998" s="12"/>
      <c r="AA3998" s="12"/>
    </row>
    <row r="3999" ht="26.25" customHeight="1">
      <c r="A3999" s="28" t="s">
        <v>8008</v>
      </c>
      <c r="B3999" s="29" t="s">
        <v>8009</v>
      </c>
      <c r="C3999" s="30">
        <v>4.0</v>
      </c>
      <c r="D3999" s="31">
        <v>318.0</v>
      </c>
      <c r="E3999" s="31">
        <v>5.0</v>
      </c>
      <c r="F3999" s="32" t="str">
        <f t="array" ref="F3999">"https://www.google.com/maps/search/?api=1&amp;query=" &amp; A3999 &amp; "," &amp; B3999</f>
        <v>https://www.google.com/maps/search/?api=1&amp;query=-30.89916138740700,-55.55310756901120</v>
      </c>
      <c r="G3999" s="33" t="str">
        <f t="array" ref="G3999">"https://earth.google.com/web/search/" &amp; A3999 &amp; "," &amp; B3999</f>
        <v>https://earth.google.com/web/search/-30.89916138740700,-55.55310756901120</v>
      </c>
      <c r="H3999" s="12"/>
      <c r="I3999" s="12"/>
      <c r="J3999" s="12"/>
      <c r="K3999" s="12"/>
      <c r="L3999" s="12"/>
      <c r="M3999" s="12"/>
      <c r="N3999" s="12"/>
      <c r="O3999" s="12"/>
      <c r="P3999" s="12"/>
      <c r="Q3999" s="12"/>
      <c r="R3999" s="12"/>
      <c r="S3999" s="12"/>
      <c r="T3999" s="12"/>
      <c r="U3999" s="12"/>
      <c r="V3999" s="12"/>
      <c r="W3999" s="12"/>
      <c r="X3999" s="12"/>
      <c r="Y3999" s="12"/>
      <c r="Z3999" s="12"/>
      <c r="AA3999" s="12"/>
    </row>
    <row r="4000" ht="26.25" customHeight="1">
      <c r="A4000" s="34" t="s">
        <v>8010</v>
      </c>
      <c r="B4000" s="35" t="s">
        <v>8011</v>
      </c>
      <c r="C4000" s="36">
        <v>4.0</v>
      </c>
      <c r="D4000" s="37">
        <v>318.0</v>
      </c>
      <c r="E4000" s="37">
        <v>6.0</v>
      </c>
      <c r="F4000" s="24" t="str">
        <f t="array" ref="F4000">"https://www.google.com/maps/search/?api=1&amp;query=" &amp; A4000 &amp; "," &amp; B4000</f>
        <v>https://www.google.com/maps/search/?api=1&amp;query=-30.89920423180840,-55.55312080999300</v>
      </c>
      <c r="G4000" s="25" t="str">
        <f t="array" ref="G4000">"https://earth.google.com/web/search/" &amp; A4000 &amp; "," &amp; B4000</f>
        <v>https://earth.google.com/web/search/-30.89920423180840,-55.55312080999300</v>
      </c>
      <c r="H4000" s="12"/>
      <c r="I4000" s="12"/>
      <c r="J4000" s="12"/>
      <c r="K4000" s="12"/>
      <c r="L4000" s="12"/>
      <c r="M4000" s="12"/>
      <c r="N4000" s="12"/>
      <c r="O4000" s="12"/>
      <c r="P4000" s="12"/>
      <c r="Q4000" s="12"/>
      <c r="R4000" s="12"/>
      <c r="S4000" s="12"/>
      <c r="T4000" s="12"/>
      <c r="U4000" s="12"/>
      <c r="V4000" s="12"/>
      <c r="W4000" s="12"/>
      <c r="X4000" s="12"/>
      <c r="Y4000" s="12"/>
      <c r="Z4000" s="12"/>
      <c r="AA4000" s="12"/>
    </row>
    <row r="4001" ht="26.25" customHeight="1">
      <c r="A4001" s="28" t="s">
        <v>8012</v>
      </c>
      <c r="B4001" s="29" t="s">
        <v>8013</v>
      </c>
      <c r="C4001" s="30">
        <v>4.0</v>
      </c>
      <c r="D4001" s="31">
        <v>348.0</v>
      </c>
      <c r="E4001" s="31">
        <v>1.0</v>
      </c>
      <c r="F4001" s="32" t="str">
        <f t="array" ref="F4001">"https://www.google.com/maps/search/?api=1&amp;query=" &amp; A4001 &amp; "," &amp; B4001</f>
        <v>https://www.google.com/maps/search/?api=1&amp;query=-30.90036471205260,-55.55322796734480</v>
      </c>
      <c r="G4001" s="33" t="str">
        <f t="array" ref="G4001">"https://earth.google.com/web/search/" &amp; A4001 &amp; "," &amp; B4001</f>
        <v>https://earth.google.com/web/search/-30.90036471205260,-55.55322796734480</v>
      </c>
      <c r="H4001" s="12"/>
      <c r="I4001" s="12"/>
      <c r="J4001" s="12"/>
      <c r="K4001" s="12"/>
      <c r="L4001" s="12"/>
      <c r="M4001" s="12"/>
      <c r="N4001" s="12"/>
      <c r="O4001" s="12"/>
      <c r="P4001" s="12"/>
      <c r="Q4001" s="12"/>
      <c r="R4001" s="12"/>
      <c r="S4001" s="12"/>
      <c r="T4001" s="12"/>
      <c r="U4001" s="12"/>
      <c r="V4001" s="12"/>
      <c r="W4001" s="12"/>
      <c r="X4001" s="12"/>
      <c r="Y4001" s="12"/>
      <c r="Z4001" s="12"/>
      <c r="AA4001" s="12"/>
    </row>
    <row r="4002" ht="26.25" customHeight="1">
      <c r="A4002" s="34" t="s">
        <v>8014</v>
      </c>
      <c r="B4002" s="35" t="s">
        <v>8015</v>
      </c>
      <c r="C4002" s="36">
        <v>4.0</v>
      </c>
      <c r="D4002" s="37">
        <v>348.0</v>
      </c>
      <c r="E4002" s="37">
        <v>2.0</v>
      </c>
      <c r="F4002" s="24" t="str">
        <f t="array" ref="F4002">"https://www.google.com/maps/search/?api=1&amp;query=" &amp; A4002 &amp; "," &amp; B4002</f>
        <v>https://www.google.com/maps/search/?api=1&amp;query=-30.90039334492460,-55.55318615321150</v>
      </c>
      <c r="G4002" s="25" t="str">
        <f t="array" ref="G4002">"https://earth.google.com/web/search/" &amp; A4002 &amp; "," &amp; B4002</f>
        <v>https://earth.google.com/web/search/-30.90039334492460,-55.55318615321150</v>
      </c>
      <c r="H4002" s="12"/>
      <c r="I4002" s="12"/>
      <c r="J4002" s="12"/>
      <c r="K4002" s="12"/>
      <c r="L4002" s="12"/>
      <c r="M4002" s="12"/>
      <c r="N4002" s="12"/>
      <c r="O4002" s="12"/>
      <c r="P4002" s="12"/>
      <c r="Q4002" s="12"/>
      <c r="R4002" s="12"/>
      <c r="S4002" s="12"/>
      <c r="T4002" s="12"/>
      <c r="U4002" s="12"/>
      <c r="V4002" s="12"/>
      <c r="W4002" s="12"/>
      <c r="X4002" s="12"/>
      <c r="Y4002" s="12"/>
      <c r="Z4002" s="12"/>
      <c r="AA4002" s="12"/>
    </row>
    <row r="4003" ht="26.25" customHeight="1">
      <c r="A4003" s="28" t="s">
        <v>8016</v>
      </c>
      <c r="B4003" s="29" t="s">
        <v>8017</v>
      </c>
      <c r="C4003" s="30">
        <v>4.0</v>
      </c>
      <c r="D4003" s="31">
        <v>348.0</v>
      </c>
      <c r="E4003" s="31">
        <v>3.0</v>
      </c>
      <c r="F4003" s="32" t="str">
        <f t="array" ref="F4003">"https://www.google.com/maps/search/?api=1&amp;query=" &amp; A4003 &amp; "," &amp; B4003</f>
        <v>https://www.google.com/maps/search/?api=1&amp;query=-30.89944347539450,-5.55530854627116</v>
      </c>
      <c r="G4003" s="33" t="str">
        <f t="array" ref="G4003">"https://earth.google.com/web/search/" &amp; A4003 &amp; "," &amp; B4003</f>
        <v>https://earth.google.com/web/search/-30.89944347539450,-5.55530854627116</v>
      </c>
      <c r="H4003" s="12"/>
      <c r="I4003" s="12"/>
      <c r="J4003" s="12"/>
      <c r="K4003" s="12"/>
      <c r="L4003" s="12"/>
      <c r="M4003" s="12"/>
      <c r="N4003" s="12"/>
      <c r="O4003" s="12"/>
      <c r="P4003" s="12"/>
      <c r="Q4003" s="12"/>
      <c r="R4003" s="12"/>
      <c r="S4003" s="12"/>
      <c r="T4003" s="12"/>
      <c r="U4003" s="12"/>
      <c r="V4003" s="12"/>
      <c r="W4003" s="12"/>
      <c r="X4003" s="12"/>
      <c r="Y4003" s="12"/>
      <c r="Z4003" s="12"/>
      <c r="AA4003" s="12"/>
    </row>
    <row r="4004" ht="26.25" customHeight="1">
      <c r="A4004" s="34" t="s">
        <v>8018</v>
      </c>
      <c r="B4004" s="35" t="s">
        <v>8019</v>
      </c>
      <c r="C4004" s="36">
        <v>4.0</v>
      </c>
      <c r="D4004" s="37">
        <v>348.0</v>
      </c>
      <c r="E4004" s="37">
        <v>4.0</v>
      </c>
      <c r="F4004" s="24" t="str">
        <f t="array" ref="F4004">"https://www.google.com/maps/search/?api=1&amp;query=" &amp; A4004 &amp; "," &amp; B4004</f>
        <v>https://www.google.com/maps/search/?api=1&amp;query=-30.89968229437830,-55.55344913026070</v>
      </c>
      <c r="G4004" s="25" t="str">
        <f t="array" ref="G4004">"https://earth.google.com/web/search/" &amp; A4004 &amp; "," &amp; B4004</f>
        <v>https://earth.google.com/web/search/-30.89968229437830,-55.55344913026070</v>
      </c>
      <c r="H4004" s="12"/>
      <c r="I4004" s="12"/>
      <c r="J4004" s="12"/>
      <c r="K4004" s="12"/>
      <c r="L4004" s="12"/>
      <c r="M4004" s="12"/>
      <c r="N4004" s="12"/>
      <c r="O4004" s="12"/>
      <c r="P4004" s="12"/>
      <c r="Q4004" s="12"/>
      <c r="R4004" s="12"/>
      <c r="S4004" s="12"/>
      <c r="T4004" s="12"/>
      <c r="U4004" s="12"/>
      <c r="V4004" s="12"/>
      <c r="W4004" s="12"/>
      <c r="X4004" s="12"/>
      <c r="Y4004" s="12"/>
      <c r="Z4004" s="12"/>
      <c r="AA4004" s="12"/>
    </row>
    <row r="4005" ht="26.25" customHeight="1">
      <c r="A4005" s="28" t="s">
        <v>8020</v>
      </c>
      <c r="B4005" s="29" t="s">
        <v>8021</v>
      </c>
      <c r="C4005" s="30">
        <v>4.0</v>
      </c>
      <c r="D4005" s="31">
        <v>348.0</v>
      </c>
      <c r="E4005" s="31">
        <v>5.0</v>
      </c>
      <c r="F4005" s="32" t="str">
        <f t="array" ref="F4005">"https://www.google.com/maps/search/?api=1&amp;query=" &amp; A4005 &amp; "," &amp; B4005</f>
        <v>https://www.google.com/maps/search/?api=1&amp;query=-30.89987766213870,-55.55359931703010</v>
      </c>
      <c r="G4005" s="33" t="str">
        <f t="array" ref="G4005">"https://earth.google.com/web/search/" &amp; A4005 &amp; "," &amp; B4005</f>
        <v>https://earth.google.com/web/search/-30.89987766213870,-55.55359931703010</v>
      </c>
      <c r="H4005" s="12"/>
      <c r="I4005" s="12"/>
      <c r="J4005" s="12"/>
      <c r="K4005" s="12"/>
      <c r="L4005" s="12"/>
      <c r="M4005" s="12"/>
      <c r="N4005" s="12"/>
      <c r="O4005" s="12"/>
      <c r="P4005" s="12"/>
      <c r="Q4005" s="12"/>
      <c r="R4005" s="12"/>
      <c r="S4005" s="12"/>
      <c r="T4005" s="12"/>
      <c r="U4005" s="12"/>
      <c r="V4005" s="12"/>
      <c r="W4005" s="12"/>
      <c r="X4005" s="12"/>
      <c r="Y4005" s="12"/>
      <c r="Z4005" s="12"/>
      <c r="AA4005" s="12"/>
    </row>
    <row r="4006" ht="26.25" customHeight="1">
      <c r="A4006" s="34" t="s">
        <v>8022</v>
      </c>
      <c r="B4006" s="35" t="s">
        <v>8023</v>
      </c>
      <c r="C4006" s="36">
        <v>4.0</v>
      </c>
      <c r="D4006" s="37">
        <v>348.0</v>
      </c>
      <c r="E4006" s="37">
        <v>6.0</v>
      </c>
      <c r="F4006" s="24" t="str">
        <f t="array" ref="F4006">"https://www.google.com/maps/search/?api=1&amp;query=" &amp; A4006 &amp; "," &amp; B4006</f>
        <v>https://www.google.com/maps/search/?api=1&amp;query=-30.90000560825010,-55.55370576545470</v>
      </c>
      <c r="G4006" s="25" t="str">
        <f t="array" ref="G4006">"https://earth.google.com/web/search/" &amp; A4006 &amp; "," &amp; B4006</f>
        <v>https://earth.google.com/web/search/-30.90000560825010,-55.55370576545470</v>
      </c>
      <c r="H4006" s="12"/>
      <c r="I4006" s="12"/>
      <c r="J4006" s="12"/>
      <c r="K4006" s="12"/>
      <c r="L4006" s="12"/>
      <c r="M4006" s="12"/>
      <c r="N4006" s="12"/>
      <c r="O4006" s="12"/>
      <c r="P4006" s="12"/>
      <c r="Q4006" s="12"/>
      <c r="R4006" s="12"/>
      <c r="S4006" s="12"/>
      <c r="T4006" s="12"/>
      <c r="U4006" s="12"/>
      <c r="V4006" s="12"/>
      <c r="W4006" s="12"/>
      <c r="X4006" s="12"/>
      <c r="Y4006" s="12"/>
      <c r="Z4006" s="12"/>
      <c r="AA4006" s="12"/>
    </row>
    <row r="4007" ht="26.25" customHeight="1">
      <c r="A4007" s="28" t="s">
        <v>8024</v>
      </c>
      <c r="B4007" s="29" t="s">
        <v>8025</v>
      </c>
      <c r="C4007" s="30">
        <v>4.0</v>
      </c>
      <c r="D4007" s="31">
        <v>348.0</v>
      </c>
      <c r="E4007" s="31">
        <v>7.0</v>
      </c>
      <c r="F4007" s="32" t="str">
        <f t="array" ref="F4007">"https://www.google.com/maps/search/?api=1&amp;query=" &amp; A4007 &amp; "," &amp; B4007</f>
        <v>https://www.google.com/maps/search/?api=1&amp;query=-30.90004962564360,-55.55373431222420</v>
      </c>
      <c r="G4007" s="33" t="str">
        <f t="array" ref="G4007">"https://earth.google.com/web/search/" &amp; A4007 &amp; "," &amp; B4007</f>
        <v>https://earth.google.com/web/search/-30.90004962564360,-55.55373431222420</v>
      </c>
      <c r="H4007" s="12"/>
      <c r="I4007" s="12"/>
      <c r="J4007" s="12"/>
      <c r="K4007" s="12"/>
      <c r="L4007" s="12"/>
      <c r="M4007" s="12"/>
      <c r="N4007" s="12"/>
      <c r="O4007" s="12"/>
      <c r="P4007" s="12"/>
      <c r="Q4007" s="12"/>
      <c r="R4007" s="12"/>
      <c r="S4007" s="12"/>
      <c r="T4007" s="12"/>
      <c r="U4007" s="12"/>
      <c r="V4007" s="12"/>
      <c r="W4007" s="12"/>
      <c r="X4007" s="12"/>
      <c r="Y4007" s="12"/>
      <c r="Z4007" s="12"/>
      <c r="AA4007" s="12"/>
    </row>
    <row r="4008" ht="26.25" customHeight="1">
      <c r="A4008" s="34" t="s">
        <v>8026</v>
      </c>
      <c r="B4008" s="35" t="s">
        <v>8027</v>
      </c>
      <c r="C4008" s="36">
        <v>4.0</v>
      </c>
      <c r="D4008" s="37">
        <v>349.0</v>
      </c>
      <c r="E4008" s="37">
        <v>1.0</v>
      </c>
      <c r="F4008" s="24" t="str">
        <f t="array" ref="F4008">"https://www.google.com/maps/search/?api=1&amp;query=" &amp; A4008 &amp; "," &amp; B4008</f>
        <v>https://www.google.com/maps/search/?api=1&amp;query=-30.89961128529750,-55.55462128001970</v>
      </c>
      <c r="G4008" s="25" t="str">
        <f t="array" ref="G4008">"https://earth.google.com/web/search/" &amp; A4008 &amp; "," &amp; B4008</f>
        <v>https://earth.google.com/web/search/-30.89961128529750,-55.55462128001970</v>
      </c>
      <c r="H4008" s="12"/>
      <c r="I4008" s="12"/>
      <c r="J4008" s="12"/>
      <c r="K4008" s="12"/>
      <c r="L4008" s="12"/>
      <c r="M4008" s="12"/>
      <c r="N4008" s="12"/>
      <c r="O4008" s="12"/>
      <c r="P4008" s="12"/>
      <c r="Q4008" s="12"/>
      <c r="R4008" s="12"/>
      <c r="S4008" s="12"/>
      <c r="T4008" s="12"/>
      <c r="U4008" s="12"/>
      <c r="V4008" s="12"/>
      <c r="W4008" s="12"/>
      <c r="X4008" s="12"/>
      <c r="Y4008" s="12"/>
      <c r="Z4008" s="12"/>
      <c r="AA4008" s="12"/>
    </row>
    <row r="4009" ht="26.25" customHeight="1">
      <c r="A4009" s="28" t="s">
        <v>8028</v>
      </c>
      <c r="B4009" s="29" t="s">
        <v>8029</v>
      </c>
      <c r="C4009" s="30">
        <v>4.0</v>
      </c>
      <c r="D4009" s="31">
        <v>349.0</v>
      </c>
      <c r="E4009" s="31">
        <v>2.0</v>
      </c>
      <c r="F4009" s="32" t="str">
        <f t="array" ref="F4009">"https://www.google.com/maps/search/?api=1&amp;query=" &amp; A4009 &amp; "," &amp; B4009</f>
        <v>https://www.google.com/maps/search/?api=1&amp;query=-30.89975900877750,-55.55432733994620</v>
      </c>
      <c r="G4009" s="33" t="str">
        <f t="array" ref="G4009">"https://earth.google.com/web/search/" &amp; A4009 &amp; "," &amp; B4009</f>
        <v>https://earth.google.com/web/search/-30.89975900877750,-55.55432733994620</v>
      </c>
      <c r="H4009" s="12"/>
      <c r="I4009" s="12"/>
      <c r="J4009" s="12"/>
      <c r="K4009" s="12"/>
      <c r="L4009" s="12"/>
      <c r="M4009" s="12"/>
      <c r="N4009" s="12"/>
      <c r="O4009" s="12"/>
      <c r="P4009" s="12"/>
      <c r="Q4009" s="12"/>
      <c r="R4009" s="12"/>
      <c r="S4009" s="12"/>
      <c r="T4009" s="12"/>
      <c r="U4009" s="12"/>
      <c r="V4009" s="12"/>
      <c r="W4009" s="12"/>
      <c r="X4009" s="12"/>
      <c r="Y4009" s="12"/>
      <c r="Z4009" s="12"/>
      <c r="AA4009" s="12"/>
    </row>
    <row r="4010" ht="26.25" customHeight="1">
      <c r="A4010" s="34" t="s">
        <v>8030</v>
      </c>
      <c r="B4010" s="35" t="s">
        <v>8031</v>
      </c>
      <c r="C4010" s="36">
        <v>4.0</v>
      </c>
      <c r="D4010" s="37">
        <v>349.0</v>
      </c>
      <c r="E4010" s="37">
        <v>3.0</v>
      </c>
      <c r="F4010" s="24" t="str">
        <f t="array" ref="F4010">"https://www.google.com/maps/search/?api=1&amp;query=" &amp; A4010 &amp; "," &amp; B4010</f>
        <v>https://www.google.com/maps/search/?api=1&amp;query=-30.89988564447090,-55.55373740733280</v>
      </c>
      <c r="G4010" s="25" t="str">
        <f t="array" ref="G4010">"https://earth.google.com/web/search/" &amp; A4010 &amp; "," &amp; B4010</f>
        <v>https://earth.google.com/web/search/-30.89988564447090,-55.55373740733280</v>
      </c>
      <c r="H4010" s="12"/>
      <c r="I4010" s="12"/>
      <c r="J4010" s="12"/>
      <c r="K4010" s="12"/>
      <c r="L4010" s="12"/>
      <c r="M4010" s="12"/>
      <c r="N4010" s="12"/>
      <c r="O4010" s="12"/>
      <c r="P4010" s="12"/>
      <c r="Q4010" s="12"/>
      <c r="R4010" s="12"/>
      <c r="S4010" s="12"/>
      <c r="T4010" s="12"/>
      <c r="U4010" s="12"/>
      <c r="V4010" s="12"/>
      <c r="W4010" s="12"/>
      <c r="X4010" s="12"/>
      <c r="Y4010" s="12"/>
      <c r="Z4010" s="12"/>
      <c r="AA4010" s="12"/>
    </row>
    <row r="4011" ht="26.25" customHeight="1">
      <c r="A4011" s="28" t="s">
        <v>8032</v>
      </c>
      <c r="B4011" s="29" t="s">
        <v>8033</v>
      </c>
      <c r="C4011" s="30">
        <v>4.0</v>
      </c>
      <c r="D4011" s="31">
        <v>349.0</v>
      </c>
      <c r="E4011" s="31">
        <v>4.0</v>
      </c>
      <c r="F4011" s="32" t="str">
        <f t="array" ref="F4011">"https://www.google.com/maps/search/?api=1&amp;query=" &amp; A4011 &amp; "," &amp; B4011</f>
        <v>https://www.google.com/maps/search/?api=1&amp;query=-30.89912189594130,-55.55432150450170</v>
      </c>
      <c r="G4011" s="33" t="str">
        <f t="array" ref="G4011">"https://earth.google.com/web/search/" &amp; A4011 &amp; "," &amp; B4011</f>
        <v>https://earth.google.com/web/search/-30.89912189594130,-55.55432150450170</v>
      </c>
      <c r="H4011" s="12"/>
      <c r="I4011" s="12"/>
      <c r="J4011" s="12"/>
      <c r="K4011" s="12"/>
      <c r="L4011" s="12"/>
      <c r="M4011" s="12"/>
      <c r="N4011" s="12"/>
      <c r="O4011" s="12"/>
      <c r="P4011" s="12"/>
      <c r="Q4011" s="12"/>
      <c r="R4011" s="12"/>
      <c r="S4011" s="12"/>
      <c r="T4011" s="12"/>
      <c r="U4011" s="12"/>
      <c r="V4011" s="12"/>
      <c r="W4011" s="12"/>
      <c r="X4011" s="12"/>
      <c r="Y4011" s="12"/>
      <c r="Z4011" s="12"/>
      <c r="AA4011" s="12"/>
    </row>
    <row r="4012" ht="26.25" customHeight="1">
      <c r="A4012" s="34" t="s">
        <v>8034</v>
      </c>
      <c r="B4012" s="35" t="s">
        <v>8035</v>
      </c>
      <c r="C4012" s="36">
        <v>4.0</v>
      </c>
      <c r="D4012" s="37">
        <v>349.0</v>
      </c>
      <c r="E4012" s="37">
        <v>5.0</v>
      </c>
      <c r="F4012" s="24" t="str">
        <f t="array" ref="F4012">"https://www.google.com/maps/search/?api=1&amp;query=" &amp; A4012 &amp; "," &amp; B4012</f>
        <v>https://www.google.com/maps/search/?api=1&amp;query=-30.89918168276600,-55.55436591975860</v>
      </c>
      <c r="G4012" s="25" t="str">
        <f t="array" ref="G4012">"https://earth.google.com/web/search/" &amp; A4012 &amp; "," &amp; B4012</f>
        <v>https://earth.google.com/web/search/-30.89918168276600,-55.55436591975860</v>
      </c>
      <c r="H4012" s="12"/>
      <c r="I4012" s="12"/>
      <c r="J4012" s="12"/>
      <c r="K4012" s="12"/>
      <c r="L4012" s="12"/>
      <c r="M4012" s="12"/>
      <c r="N4012" s="12"/>
      <c r="O4012" s="12"/>
      <c r="P4012" s="12"/>
      <c r="Q4012" s="12"/>
      <c r="R4012" s="12"/>
      <c r="S4012" s="12"/>
      <c r="T4012" s="12"/>
      <c r="U4012" s="12"/>
      <c r="V4012" s="12"/>
      <c r="W4012" s="12"/>
      <c r="X4012" s="12"/>
      <c r="Y4012" s="12"/>
      <c r="Z4012" s="12"/>
      <c r="AA4012" s="12"/>
    </row>
    <row r="4013" ht="26.25" customHeight="1">
      <c r="A4013" s="28" t="s">
        <v>8036</v>
      </c>
      <c r="B4013" s="29" t="s">
        <v>8037</v>
      </c>
      <c r="C4013" s="30">
        <v>4.0</v>
      </c>
      <c r="D4013" s="31">
        <v>349.0</v>
      </c>
      <c r="E4013" s="31">
        <v>6.0</v>
      </c>
      <c r="F4013" s="32" t="str">
        <f t="array" ref="F4013">"https://www.google.com/maps/search/?api=1&amp;query=" &amp; A4013 &amp; "," &amp; B4013</f>
        <v>https://www.google.com/maps/search/?api=1&amp;query=-30.89924344948900,-5.55543863356128</v>
      </c>
      <c r="G4013" s="33" t="str">
        <f t="array" ref="G4013">"https://earth.google.com/web/search/" &amp; A4013 &amp; "," &amp; B4013</f>
        <v>https://earth.google.com/web/search/-30.89924344948900,-5.55543863356128</v>
      </c>
      <c r="H4013" s="12"/>
      <c r="I4013" s="12"/>
      <c r="J4013" s="12"/>
      <c r="K4013" s="12"/>
      <c r="L4013" s="12"/>
      <c r="M4013" s="12"/>
      <c r="N4013" s="12"/>
      <c r="O4013" s="12"/>
      <c r="P4013" s="12"/>
      <c r="Q4013" s="12"/>
      <c r="R4013" s="12"/>
      <c r="S4013" s="12"/>
      <c r="T4013" s="12"/>
      <c r="U4013" s="12"/>
      <c r="V4013" s="12"/>
      <c r="W4013" s="12"/>
      <c r="X4013" s="12"/>
      <c r="Y4013" s="12"/>
      <c r="Z4013" s="12"/>
      <c r="AA4013" s="12"/>
    </row>
    <row r="4014" ht="26.25" customHeight="1">
      <c r="A4014" s="34" t="s">
        <v>8038</v>
      </c>
      <c r="B4014" s="35" t="s">
        <v>8039</v>
      </c>
      <c r="C4014" s="36">
        <v>4.0</v>
      </c>
      <c r="D4014" s="37">
        <v>350.0</v>
      </c>
      <c r="E4014" s="37">
        <v>1.0</v>
      </c>
      <c r="F4014" s="24" t="str">
        <f t="array" ref="F4014">"https://www.google.com/maps/search/?api=1&amp;query=" &amp; A4014 &amp; "," &amp; B4014</f>
        <v>https://www.google.com/maps/search/?api=1&amp;query=-30.89920400208070,-55.55538342381190</v>
      </c>
      <c r="G4014" s="25" t="str">
        <f t="array" ref="G4014">"https://earth.google.com/web/search/" &amp; A4014 &amp; "," &amp; B4014</f>
        <v>https://earth.google.com/web/search/-30.89920400208070,-55.55538342381190</v>
      </c>
      <c r="H4014" s="12"/>
      <c r="I4014" s="12"/>
      <c r="J4014" s="12"/>
      <c r="K4014" s="12"/>
      <c r="L4014" s="12"/>
      <c r="M4014" s="12"/>
      <c r="N4014" s="12"/>
      <c r="O4014" s="12"/>
      <c r="P4014" s="12"/>
      <c r="Q4014" s="12"/>
      <c r="R4014" s="12"/>
      <c r="S4014" s="12"/>
      <c r="T4014" s="12"/>
      <c r="U4014" s="12"/>
      <c r="V4014" s="12"/>
      <c r="W4014" s="12"/>
      <c r="X4014" s="12"/>
      <c r="Y4014" s="12"/>
      <c r="Z4014" s="12"/>
      <c r="AA4014" s="12"/>
    </row>
    <row r="4015" ht="26.25" customHeight="1">
      <c r="A4015" s="28" t="s">
        <v>8040</v>
      </c>
      <c r="B4015" s="29" t="s">
        <v>8041</v>
      </c>
      <c r="C4015" s="30">
        <v>4.0</v>
      </c>
      <c r="D4015" s="31">
        <v>350.0</v>
      </c>
      <c r="E4015" s="31">
        <v>2.0</v>
      </c>
      <c r="F4015" s="32" t="str">
        <f t="array" ref="F4015">"https://www.google.com/maps/search/?api=1&amp;query=" &amp; A4015 &amp; "," &amp; B4015</f>
        <v>https://www.google.com/maps/search/?api=1&amp;query=-30.89911359271940,-55.55441956840380</v>
      </c>
      <c r="G4015" s="33" t="str">
        <f t="array" ref="G4015">"https://earth.google.com/web/search/" &amp; A4015 &amp; "," &amp; B4015</f>
        <v>https://earth.google.com/web/search/-30.89911359271940,-55.55441956840380</v>
      </c>
      <c r="H4015" s="12"/>
      <c r="I4015" s="12"/>
      <c r="J4015" s="12"/>
      <c r="K4015" s="12"/>
      <c r="L4015" s="12"/>
      <c r="M4015" s="12"/>
      <c r="N4015" s="12"/>
      <c r="O4015" s="12"/>
      <c r="P4015" s="12"/>
      <c r="Q4015" s="12"/>
      <c r="R4015" s="12"/>
      <c r="S4015" s="12"/>
      <c r="T4015" s="12"/>
      <c r="U4015" s="12"/>
      <c r="V4015" s="12"/>
      <c r="W4015" s="12"/>
      <c r="X4015" s="12"/>
      <c r="Y4015" s="12"/>
      <c r="Z4015" s="12"/>
      <c r="AA4015" s="12"/>
    </row>
    <row r="4016" ht="26.25" customHeight="1">
      <c r="A4016" s="34" t="s">
        <v>8042</v>
      </c>
      <c r="B4016" s="35" t="s">
        <v>8043</v>
      </c>
      <c r="C4016" s="36">
        <v>4.0</v>
      </c>
      <c r="D4016" s="37">
        <v>350.0</v>
      </c>
      <c r="E4016" s="37">
        <v>3.0</v>
      </c>
      <c r="F4016" s="24" t="str">
        <f t="array" ref="F4016">"https://www.google.com/maps/search/?api=1&amp;query=" &amp; A4016 &amp; "," &amp; B4016</f>
        <v>https://www.google.com/maps/search/?api=1&amp;query=-30.89875287581520,-55.55443476091200</v>
      </c>
      <c r="G4016" s="25" t="str">
        <f t="array" ref="G4016">"https://earth.google.com/web/search/" &amp; A4016 &amp; "," &amp; B4016</f>
        <v>https://earth.google.com/web/search/-30.89875287581520,-55.55443476091200</v>
      </c>
      <c r="H4016" s="12"/>
      <c r="I4016" s="12"/>
      <c r="J4016" s="12"/>
      <c r="K4016" s="12"/>
      <c r="L4016" s="12"/>
      <c r="M4016" s="12"/>
      <c r="N4016" s="12"/>
      <c r="O4016" s="12"/>
      <c r="P4016" s="12"/>
      <c r="Q4016" s="12"/>
      <c r="R4016" s="12"/>
      <c r="S4016" s="12"/>
      <c r="T4016" s="12"/>
      <c r="U4016" s="12"/>
      <c r="V4016" s="12"/>
      <c r="W4016" s="12"/>
      <c r="X4016" s="12"/>
      <c r="Y4016" s="12"/>
      <c r="Z4016" s="12"/>
      <c r="AA4016" s="12"/>
    </row>
    <row r="4017" ht="26.25" customHeight="1">
      <c r="A4017" s="28" t="s">
        <v>8044</v>
      </c>
      <c r="B4017" s="29" t="s">
        <v>8045</v>
      </c>
      <c r="C4017" s="30">
        <v>4.0</v>
      </c>
      <c r="D4017" s="31">
        <v>350.0</v>
      </c>
      <c r="E4017" s="31">
        <v>4.0</v>
      </c>
      <c r="F4017" s="32" t="str">
        <f t="array" ref="F4017">"https://www.google.com/maps/search/?api=1&amp;query=" &amp; A4017 &amp; "," &amp; B4017</f>
        <v>https://www.google.com/maps/search/?api=1&amp;query=-30.89845260303950,-55.55506043552510</v>
      </c>
      <c r="G4017" s="33" t="str">
        <f t="array" ref="G4017">"https://earth.google.com/web/search/" &amp; A4017 &amp; "," &amp; B4017</f>
        <v>https://earth.google.com/web/search/-30.89845260303950,-55.55506043552510</v>
      </c>
      <c r="H4017" s="12"/>
      <c r="I4017" s="12"/>
      <c r="J4017" s="12"/>
      <c r="K4017" s="12"/>
      <c r="L4017" s="12"/>
      <c r="M4017" s="12"/>
      <c r="N4017" s="12"/>
      <c r="O4017" s="12"/>
      <c r="P4017" s="12"/>
      <c r="Q4017" s="12"/>
      <c r="R4017" s="12"/>
      <c r="S4017" s="12"/>
      <c r="T4017" s="12"/>
      <c r="U4017" s="12"/>
      <c r="V4017" s="12"/>
      <c r="W4017" s="12"/>
      <c r="X4017" s="12"/>
      <c r="Y4017" s="12"/>
      <c r="Z4017" s="12"/>
      <c r="AA4017" s="12"/>
    </row>
    <row r="4018" ht="26.25" customHeight="1">
      <c r="A4018" s="34" t="s">
        <v>8046</v>
      </c>
      <c r="B4018" s="35" t="s">
        <v>8047</v>
      </c>
      <c r="C4018" s="36">
        <v>4.0</v>
      </c>
      <c r="D4018" s="37">
        <v>350.0</v>
      </c>
      <c r="E4018" s="37">
        <v>5.0</v>
      </c>
      <c r="F4018" s="24" t="str">
        <f t="array" ref="F4018">"https://www.google.com/maps/search/?api=1&amp;query=" &amp; A4018 &amp; "," &amp; B4018</f>
        <v>https://www.google.com/maps/search/?api=1&amp;query=-30.89851317582150,-55.55509977427740</v>
      </c>
      <c r="G4018" s="25" t="str">
        <f t="array" ref="G4018">"https://earth.google.com/web/search/" &amp; A4018 &amp; "," &amp; B4018</f>
        <v>https://earth.google.com/web/search/-30.89851317582150,-55.55509977427740</v>
      </c>
      <c r="H4018" s="12"/>
      <c r="I4018" s="12"/>
      <c r="J4018" s="12"/>
      <c r="K4018" s="12"/>
      <c r="L4018" s="12"/>
      <c r="M4018" s="12"/>
      <c r="N4018" s="12"/>
      <c r="O4018" s="12"/>
      <c r="P4018" s="12"/>
      <c r="Q4018" s="12"/>
      <c r="R4018" s="12"/>
      <c r="S4018" s="12"/>
      <c r="T4018" s="12"/>
      <c r="U4018" s="12"/>
      <c r="V4018" s="12"/>
      <c r="W4018" s="12"/>
      <c r="X4018" s="12"/>
      <c r="Y4018" s="12"/>
      <c r="Z4018" s="12"/>
      <c r="AA4018" s="12"/>
    </row>
    <row r="4019" ht="26.25" customHeight="1">
      <c r="A4019" s="28" t="s">
        <v>8048</v>
      </c>
      <c r="B4019" s="29" t="s">
        <v>8049</v>
      </c>
      <c r="C4019" s="30">
        <v>4.0</v>
      </c>
      <c r="D4019" s="31">
        <v>350.0</v>
      </c>
      <c r="E4019" s="31">
        <v>6.0</v>
      </c>
      <c r="F4019" s="32" t="str">
        <f t="array" ref="F4019">"https://www.google.com/maps/search/?api=1&amp;query=" &amp; A4019 &amp; "," &amp; B4019</f>
        <v>https://www.google.com/maps/search/?api=1&amp;query=-30.89856405254320,-55.55515550443760</v>
      </c>
      <c r="G4019" s="33" t="str">
        <f t="array" ref="G4019">"https://earth.google.com/web/search/" &amp; A4019 &amp; "," &amp; B4019</f>
        <v>https://earth.google.com/web/search/-30.89856405254320,-55.55515550443760</v>
      </c>
      <c r="H4019" s="12"/>
      <c r="I4019" s="12"/>
      <c r="J4019" s="12"/>
      <c r="K4019" s="12"/>
      <c r="L4019" s="12"/>
      <c r="M4019" s="12"/>
      <c r="N4019" s="12"/>
      <c r="O4019" s="12"/>
      <c r="P4019" s="12"/>
      <c r="Q4019" s="12"/>
      <c r="R4019" s="12"/>
      <c r="S4019" s="12"/>
      <c r="T4019" s="12"/>
      <c r="U4019" s="12"/>
      <c r="V4019" s="12"/>
      <c r="W4019" s="12"/>
      <c r="X4019" s="12"/>
      <c r="Y4019" s="12"/>
      <c r="Z4019" s="12"/>
      <c r="AA4019" s="12"/>
    </row>
    <row r="4020" ht="26.25" customHeight="1">
      <c r="A4020" s="34" t="s">
        <v>8050</v>
      </c>
      <c r="B4020" s="35" t="s">
        <v>8051</v>
      </c>
      <c r="C4020" s="36">
        <v>4.0</v>
      </c>
      <c r="D4020" s="37">
        <v>350.0</v>
      </c>
      <c r="E4020" s="37">
        <v>7.0</v>
      </c>
      <c r="F4020" s="24" t="str">
        <f t="array" ref="F4020">"https://www.google.com/maps/search/?api=1&amp;query=" &amp; A4020 &amp; "," &amp; B4020</f>
        <v>https://www.google.com/maps/search/?api=1&amp;query=-30.89904242868580,-55.55550386598800</v>
      </c>
      <c r="G4020" s="25" t="str">
        <f t="array" ref="G4020">"https://earth.google.com/web/search/" &amp; A4020 &amp; "," &amp; B4020</f>
        <v>https://earth.google.com/web/search/-30.89904242868580,-55.55550386598800</v>
      </c>
      <c r="H4020" s="12"/>
      <c r="I4020" s="12"/>
      <c r="J4020" s="12"/>
      <c r="K4020" s="12"/>
      <c r="L4020" s="12"/>
      <c r="M4020" s="12"/>
      <c r="N4020" s="12"/>
      <c r="O4020" s="12"/>
      <c r="P4020" s="12"/>
      <c r="Q4020" s="12"/>
      <c r="R4020" s="12"/>
      <c r="S4020" s="12"/>
      <c r="T4020" s="12"/>
      <c r="U4020" s="12"/>
      <c r="V4020" s="12"/>
      <c r="W4020" s="12"/>
      <c r="X4020" s="12"/>
      <c r="Y4020" s="12"/>
      <c r="Z4020" s="12"/>
      <c r="AA4020" s="12"/>
    </row>
    <row r="4021" ht="26.25" customHeight="1">
      <c r="A4021" s="28" t="s">
        <v>8052</v>
      </c>
      <c r="B4021" s="29" t="s">
        <v>8053</v>
      </c>
      <c r="C4021" s="30">
        <v>4.0</v>
      </c>
      <c r="D4021" s="31">
        <v>351.0</v>
      </c>
      <c r="E4021" s="31">
        <v>1.0</v>
      </c>
      <c r="F4021" s="32" t="str">
        <f t="array" ref="F4021">"https://www.google.com/maps/search/?api=1&amp;query=" &amp; A4021 &amp; "," &amp; B4021</f>
        <v>https://www.google.com/maps/search/?api=1&amp;query=-30.89861832310850,-55.55642898096980</v>
      </c>
      <c r="G4021" s="33" t="str">
        <f t="array" ref="G4021">"https://earth.google.com/web/search/" &amp; A4021 &amp; "," &amp; B4021</f>
        <v>https://earth.google.com/web/search/-30.89861832310850,-55.55642898096980</v>
      </c>
      <c r="H4021" s="12"/>
      <c r="I4021" s="12"/>
      <c r="J4021" s="12"/>
      <c r="K4021" s="12"/>
      <c r="L4021" s="12"/>
      <c r="M4021" s="12"/>
      <c r="N4021" s="12"/>
      <c r="O4021" s="12"/>
      <c r="P4021" s="12"/>
      <c r="Q4021" s="12"/>
      <c r="R4021" s="12"/>
      <c r="S4021" s="12"/>
      <c r="T4021" s="12"/>
      <c r="U4021" s="12"/>
      <c r="V4021" s="12"/>
      <c r="W4021" s="12"/>
      <c r="X4021" s="12"/>
      <c r="Y4021" s="12"/>
      <c r="Z4021" s="12"/>
      <c r="AA4021" s="12"/>
    </row>
    <row r="4022" ht="26.25" customHeight="1">
      <c r="A4022" s="34" t="s">
        <v>8054</v>
      </c>
      <c r="B4022" s="35" t="s">
        <v>8055</v>
      </c>
      <c r="C4022" s="36">
        <v>4.0</v>
      </c>
      <c r="D4022" s="37">
        <v>351.0</v>
      </c>
      <c r="E4022" s="37">
        <v>2.0</v>
      </c>
      <c r="F4022" s="24" t="str">
        <f t="array" ref="F4022">"https://www.google.com/maps/search/?api=1&amp;query=" &amp; A4022 &amp; "," &amp; B4022</f>
        <v>https://www.google.com/maps/search/?api=1&amp;query=-30.89876149798470,-55.55619951879350</v>
      </c>
      <c r="G4022" s="25" t="str">
        <f t="array" ref="G4022">"https://earth.google.com/web/search/" &amp; A4022 &amp; "," &amp; B4022</f>
        <v>https://earth.google.com/web/search/-30.89876149798470,-55.55619951879350</v>
      </c>
      <c r="H4022" s="12"/>
      <c r="I4022" s="12"/>
      <c r="J4022" s="12"/>
      <c r="K4022" s="12"/>
      <c r="L4022" s="12"/>
      <c r="M4022" s="12"/>
      <c r="N4022" s="12"/>
      <c r="O4022" s="12"/>
      <c r="P4022" s="12"/>
      <c r="Q4022" s="12"/>
      <c r="R4022" s="12"/>
      <c r="S4022" s="12"/>
      <c r="T4022" s="12"/>
      <c r="U4022" s="12"/>
      <c r="V4022" s="12"/>
      <c r="W4022" s="12"/>
      <c r="X4022" s="12"/>
      <c r="Y4022" s="12"/>
      <c r="Z4022" s="12"/>
      <c r="AA4022" s="12"/>
    </row>
    <row r="4023" ht="26.25" customHeight="1">
      <c r="A4023" s="28" t="s">
        <v>8056</v>
      </c>
      <c r="B4023" s="29" t="s">
        <v>8057</v>
      </c>
      <c r="C4023" s="30">
        <v>4.0</v>
      </c>
      <c r="D4023" s="31">
        <v>351.0</v>
      </c>
      <c r="E4023" s="31">
        <v>3.0</v>
      </c>
      <c r="F4023" s="32" t="str">
        <f t="array" ref="F4023">"https://www.google.com/maps/search/?api=1&amp;query=" &amp; A4023 &amp; "," &amp; B4023</f>
        <v>https://www.google.com/maps/search/?api=1&amp;query=-30.89895989059250,-55.55559967686750</v>
      </c>
      <c r="G4023" s="33" t="str">
        <f t="array" ref="G4023">"https://earth.google.com/web/search/" &amp; A4023 &amp; "," &amp; B4023</f>
        <v>https://earth.google.com/web/search/-30.89895989059250,-55.55559967686750</v>
      </c>
      <c r="H4023" s="12"/>
      <c r="I4023" s="12"/>
      <c r="J4023" s="12"/>
      <c r="K4023" s="12"/>
      <c r="L4023" s="12"/>
      <c r="M4023" s="12"/>
      <c r="N4023" s="12"/>
      <c r="O4023" s="12"/>
      <c r="P4023" s="12"/>
      <c r="Q4023" s="12"/>
      <c r="R4023" s="12"/>
      <c r="S4023" s="12"/>
      <c r="T4023" s="12"/>
      <c r="U4023" s="12"/>
      <c r="V4023" s="12"/>
      <c r="W4023" s="12"/>
      <c r="X4023" s="12"/>
      <c r="Y4023" s="12"/>
      <c r="Z4023" s="12"/>
      <c r="AA4023" s="12"/>
    </row>
    <row r="4024" ht="26.25" customHeight="1">
      <c r="A4024" s="34" t="s">
        <v>8058</v>
      </c>
      <c r="B4024" s="35" t="s">
        <v>8059</v>
      </c>
      <c r="C4024" s="36">
        <v>4.0</v>
      </c>
      <c r="D4024" s="37">
        <v>351.0</v>
      </c>
      <c r="E4024" s="37">
        <v>4.0</v>
      </c>
      <c r="F4024" s="24" t="str">
        <f t="array" ref="F4024">"https://www.google.com/maps/search/?api=1&amp;query=" &amp; A4024 &amp; "," &amp; B4024</f>
        <v>https://www.google.com/maps/search/?api=1&amp;query=-30.89844218513150,-55.55523165722590</v>
      </c>
      <c r="G4024" s="25" t="str">
        <f t="array" ref="G4024">"https://earth.google.com/web/search/" &amp; A4024 &amp; "," &amp; B4024</f>
        <v>https://earth.google.com/web/search/-30.89844218513150,-55.55523165722590</v>
      </c>
      <c r="H4024" s="12"/>
      <c r="I4024" s="12"/>
      <c r="J4024" s="12"/>
      <c r="K4024" s="12"/>
      <c r="L4024" s="12"/>
      <c r="M4024" s="12"/>
      <c r="N4024" s="12"/>
      <c r="O4024" s="12"/>
      <c r="P4024" s="12"/>
      <c r="Q4024" s="12"/>
      <c r="R4024" s="12"/>
      <c r="S4024" s="12"/>
      <c r="T4024" s="12"/>
      <c r="U4024" s="12"/>
      <c r="V4024" s="12"/>
      <c r="W4024" s="12"/>
      <c r="X4024" s="12"/>
      <c r="Y4024" s="12"/>
      <c r="Z4024" s="12"/>
      <c r="AA4024" s="12"/>
    </row>
    <row r="4025" ht="26.25" customHeight="1">
      <c r="A4025" s="28" t="s">
        <v>8060</v>
      </c>
      <c r="B4025" s="29" t="s">
        <v>8061</v>
      </c>
      <c r="C4025" s="30">
        <v>4.0</v>
      </c>
      <c r="D4025" s="31">
        <v>351.0</v>
      </c>
      <c r="E4025" s="31">
        <v>5.0</v>
      </c>
      <c r="F4025" s="32" t="str">
        <f t="array" ref="F4025">"https://www.google.com/maps/search/?api=1&amp;query=" &amp; A4025 &amp; "," &amp; B4025</f>
        <v>https://www.google.com/maps/search/?api=1&amp;query=-3.08981103392689,-55.55563890832220</v>
      </c>
      <c r="G4025" s="33" t="str">
        <f t="array" ref="G4025">"https://earth.google.com/web/search/" &amp; A4025 &amp; "," &amp; B4025</f>
        <v>https://earth.google.com/web/search/-3.08981103392689,-55.55563890832220</v>
      </c>
      <c r="H4025" s="12"/>
      <c r="I4025" s="12"/>
      <c r="J4025" s="12"/>
      <c r="K4025" s="12"/>
      <c r="L4025" s="12"/>
      <c r="M4025" s="12"/>
      <c r="N4025" s="12"/>
      <c r="O4025" s="12"/>
      <c r="P4025" s="12"/>
      <c r="Q4025" s="12"/>
      <c r="R4025" s="12"/>
      <c r="S4025" s="12"/>
      <c r="T4025" s="12"/>
      <c r="U4025" s="12"/>
      <c r="V4025" s="12"/>
      <c r="W4025" s="12"/>
      <c r="X4025" s="12"/>
      <c r="Y4025" s="12"/>
      <c r="Z4025" s="12"/>
      <c r="AA4025" s="12"/>
    </row>
    <row r="4026" ht="26.25" customHeight="1">
      <c r="A4026" s="34" t="s">
        <v>8062</v>
      </c>
      <c r="B4026" s="35" t="s">
        <v>8063</v>
      </c>
      <c r="C4026" s="36">
        <v>4.0</v>
      </c>
      <c r="D4026" s="37">
        <v>351.0</v>
      </c>
      <c r="E4026" s="37">
        <v>6.0</v>
      </c>
      <c r="F4026" s="24" t="str">
        <f t="array" ref="F4026">"https://www.google.com/maps/search/?api=1&amp;query=" &amp; A4026 &amp; "," &amp; B4026</f>
        <v>https://www.google.com/maps/search/?api=1&amp;query=-30.89801971527950,-55.55579358967530</v>
      </c>
      <c r="G4026" s="25" t="str">
        <f t="array" ref="G4026">"https://earth.google.com/web/search/" &amp; A4026 &amp; "," &amp; B4026</f>
        <v>https://earth.google.com/web/search/-30.89801971527950,-55.55579358967530</v>
      </c>
      <c r="H4026" s="12"/>
      <c r="I4026" s="12"/>
      <c r="J4026" s="12"/>
      <c r="K4026" s="12"/>
      <c r="L4026" s="12"/>
      <c r="M4026" s="12"/>
      <c r="N4026" s="12"/>
      <c r="O4026" s="12"/>
      <c r="P4026" s="12"/>
      <c r="Q4026" s="12"/>
      <c r="R4026" s="12"/>
      <c r="S4026" s="12"/>
      <c r="T4026" s="12"/>
      <c r="U4026" s="12"/>
      <c r="V4026" s="12"/>
      <c r="W4026" s="12"/>
      <c r="X4026" s="12"/>
      <c r="Y4026" s="12"/>
      <c r="Z4026" s="12"/>
      <c r="AA4026" s="12"/>
    </row>
    <row r="4027" ht="26.25" customHeight="1">
      <c r="A4027" s="28" t="s">
        <v>8064</v>
      </c>
      <c r="B4027" s="29" t="s">
        <v>8065</v>
      </c>
      <c r="C4027" s="30">
        <v>4.0</v>
      </c>
      <c r="D4027" s="31">
        <v>351.0</v>
      </c>
      <c r="E4027" s="31">
        <v>7.0</v>
      </c>
      <c r="F4027" s="32" t="str">
        <f t="array" ref="F4027">"https://www.google.com/maps/search/?api=1&amp;query=" &amp; A4027 &amp; "," &amp; B4027</f>
        <v>https://www.google.com/maps/search/?api=1&amp;query=-30.89812118703530,-55.55610248897890</v>
      </c>
      <c r="G4027" s="33" t="str">
        <f t="array" ref="G4027">"https://earth.google.com/web/search/" &amp; A4027 &amp; "," &amp; B4027</f>
        <v>https://earth.google.com/web/search/-30.89812118703530,-55.55610248897890</v>
      </c>
      <c r="H4027" s="12"/>
      <c r="I4027" s="12"/>
      <c r="J4027" s="12"/>
      <c r="K4027" s="12"/>
      <c r="L4027" s="12"/>
      <c r="M4027" s="12"/>
      <c r="N4027" s="12"/>
      <c r="O4027" s="12"/>
      <c r="P4027" s="12"/>
      <c r="Q4027" s="12"/>
      <c r="R4027" s="12"/>
      <c r="S4027" s="12"/>
      <c r="T4027" s="12"/>
      <c r="U4027" s="12"/>
      <c r="V4027" s="12"/>
      <c r="W4027" s="12"/>
      <c r="X4027" s="12"/>
      <c r="Y4027" s="12"/>
      <c r="Z4027" s="12"/>
      <c r="AA4027" s="12"/>
    </row>
    <row r="4028" ht="26.25" customHeight="1">
      <c r="A4028" s="34" t="s">
        <v>8066</v>
      </c>
      <c r="B4028" s="35" t="s">
        <v>8067</v>
      </c>
      <c r="C4028" s="36">
        <v>4.0</v>
      </c>
      <c r="D4028" s="37">
        <v>351.0</v>
      </c>
      <c r="E4028" s="37">
        <v>8.0</v>
      </c>
      <c r="F4028" s="24" t="str">
        <f t="array" ref="F4028">"https://www.google.com/maps/search/?api=1&amp;query=" &amp; A4028 &amp; "," &amp; B4028</f>
        <v>https://www.google.com/maps/search/?api=1&amp;query=-30.89827778412970,-55.55622123973390</v>
      </c>
      <c r="G4028" s="25" t="str">
        <f t="array" ref="G4028">"https://earth.google.com/web/search/" &amp; A4028 &amp; "," &amp; B4028</f>
        <v>https://earth.google.com/web/search/-30.89827778412970,-55.55622123973390</v>
      </c>
      <c r="H4028" s="12"/>
      <c r="I4028" s="12"/>
      <c r="J4028" s="12"/>
      <c r="K4028" s="12"/>
      <c r="L4028" s="12"/>
      <c r="M4028" s="12"/>
      <c r="N4028" s="12"/>
      <c r="O4028" s="12"/>
      <c r="P4028" s="12"/>
      <c r="Q4028" s="12"/>
      <c r="R4028" s="12"/>
      <c r="S4028" s="12"/>
      <c r="T4028" s="12"/>
      <c r="U4028" s="12"/>
      <c r="V4028" s="12"/>
      <c r="W4028" s="12"/>
      <c r="X4028" s="12"/>
      <c r="Y4028" s="12"/>
      <c r="Z4028" s="12"/>
      <c r="AA4028" s="12"/>
    </row>
    <row r="4029" ht="26.25" customHeight="1">
      <c r="A4029" s="28" t="s">
        <v>8068</v>
      </c>
      <c r="B4029" s="29" t="s">
        <v>8069</v>
      </c>
      <c r="C4029" s="30">
        <v>4.0</v>
      </c>
      <c r="D4029" s="31">
        <v>352.0</v>
      </c>
      <c r="E4029" s="31">
        <v>1.0</v>
      </c>
      <c r="F4029" s="32" t="str">
        <f t="array" ref="F4029">"https://www.google.com/maps/search/?api=1&amp;query=" &amp; A4029 &amp; "," &amp; B4029</f>
        <v>https://www.google.com/maps/search/?api=1&amp;query=-30.89844964258690,-55.55679089023980</v>
      </c>
      <c r="G4029" s="33" t="str">
        <f t="array" ref="G4029">"https://earth.google.com/web/search/" &amp; A4029 &amp; "," &amp; B4029</f>
        <v>https://earth.google.com/web/search/-30.89844964258690,-55.55679089023980</v>
      </c>
      <c r="H4029" s="12"/>
      <c r="I4029" s="12"/>
      <c r="J4029" s="12"/>
      <c r="K4029" s="12"/>
      <c r="L4029" s="12"/>
      <c r="M4029" s="12"/>
      <c r="N4029" s="12"/>
      <c r="O4029" s="12"/>
      <c r="P4029" s="12"/>
      <c r="Q4029" s="12"/>
      <c r="R4029" s="12"/>
      <c r="S4029" s="12"/>
      <c r="T4029" s="12"/>
      <c r="U4029" s="12"/>
      <c r="V4029" s="12"/>
      <c r="W4029" s="12"/>
      <c r="X4029" s="12"/>
      <c r="Y4029" s="12"/>
      <c r="Z4029" s="12"/>
      <c r="AA4029" s="12"/>
    </row>
    <row r="4030" ht="26.25" customHeight="1">
      <c r="A4030" s="34" t="s">
        <v>8070</v>
      </c>
      <c r="B4030" s="35" t="s">
        <v>8071</v>
      </c>
      <c r="C4030" s="36">
        <v>4.0</v>
      </c>
      <c r="D4030" s="37">
        <v>352.0</v>
      </c>
      <c r="E4030" s="37">
        <v>2.0</v>
      </c>
      <c r="F4030" s="24" t="str">
        <f t="array" ref="F4030">"https://www.google.com/maps/search/?api=1&amp;query=" &amp; A4030 &amp; "," &amp; B4030</f>
        <v>https://www.google.com/maps/search/?api=1&amp;query=-30.89839268933160,-55.55640944787340</v>
      </c>
      <c r="G4030" s="25" t="str">
        <f t="array" ref="G4030">"https://earth.google.com/web/search/" &amp; A4030 &amp; "," &amp; B4030</f>
        <v>https://earth.google.com/web/search/-30.89839268933160,-55.55640944787340</v>
      </c>
      <c r="H4030" s="12"/>
      <c r="I4030" s="12"/>
      <c r="J4030" s="12"/>
      <c r="K4030" s="12"/>
      <c r="L4030" s="12"/>
      <c r="M4030" s="12"/>
      <c r="N4030" s="12"/>
      <c r="O4030" s="12"/>
      <c r="P4030" s="12"/>
      <c r="Q4030" s="12"/>
      <c r="R4030" s="12"/>
      <c r="S4030" s="12"/>
      <c r="T4030" s="12"/>
      <c r="U4030" s="12"/>
      <c r="V4030" s="12"/>
      <c r="W4030" s="12"/>
      <c r="X4030" s="12"/>
      <c r="Y4030" s="12"/>
      <c r="Z4030" s="12"/>
      <c r="AA4030" s="12"/>
    </row>
    <row r="4031" ht="26.25" customHeight="1">
      <c r="A4031" s="28" t="s">
        <v>8072</v>
      </c>
      <c r="B4031" s="29" t="s">
        <v>8073</v>
      </c>
      <c r="C4031" s="30">
        <v>4.0</v>
      </c>
      <c r="D4031" s="31">
        <v>352.0</v>
      </c>
      <c r="E4031" s="31">
        <v>3.0</v>
      </c>
      <c r="F4031" s="32" t="str">
        <f t="array" ref="F4031">"https://www.google.com/maps/search/?api=1&amp;query=" &amp; A4031 &amp; "," &amp; B4031</f>
        <v>https://www.google.com/maps/search/?api=1&amp;query=-30.89822239842650,-55.55632747471740</v>
      </c>
      <c r="G4031" s="33" t="str">
        <f t="array" ref="G4031">"https://earth.google.com/web/search/" &amp; A4031 &amp; "," &amp; B4031</f>
        <v>https://earth.google.com/web/search/-30.89822239842650,-55.55632747471740</v>
      </c>
      <c r="H4031" s="12"/>
      <c r="I4031" s="12"/>
      <c r="J4031" s="12"/>
      <c r="K4031" s="12"/>
      <c r="L4031" s="12"/>
      <c r="M4031" s="12"/>
      <c r="N4031" s="12"/>
      <c r="O4031" s="12"/>
      <c r="P4031" s="12"/>
      <c r="Q4031" s="12"/>
      <c r="R4031" s="12"/>
      <c r="S4031" s="12"/>
      <c r="T4031" s="12"/>
      <c r="U4031" s="12"/>
      <c r="V4031" s="12"/>
      <c r="W4031" s="12"/>
      <c r="X4031" s="12"/>
      <c r="Y4031" s="12"/>
      <c r="Z4031" s="12"/>
      <c r="AA4031" s="12"/>
    </row>
    <row r="4032" ht="26.25" customHeight="1">
      <c r="A4032" s="34" t="s">
        <v>8074</v>
      </c>
      <c r="B4032" s="35" t="s">
        <v>8075</v>
      </c>
      <c r="C4032" s="36">
        <v>4.0</v>
      </c>
      <c r="D4032" s="37">
        <v>352.0</v>
      </c>
      <c r="E4032" s="37">
        <v>4.0</v>
      </c>
      <c r="F4032" s="24" t="str">
        <f t="array" ref="F4032">"https://www.google.com/maps/search/?api=1&amp;query=" &amp; A4032 &amp; "," &amp; B4032</f>
        <v>https://www.google.com/maps/search/?api=1&amp;query=-3.08980260635614,-55.55614755706110</v>
      </c>
      <c r="G4032" s="25" t="str">
        <f t="array" ref="G4032">"https://earth.google.com/web/search/" &amp; A4032 &amp; "," &amp; B4032</f>
        <v>https://earth.google.com/web/search/-3.08980260635614,-55.55614755706110</v>
      </c>
      <c r="H4032" s="12"/>
      <c r="I4032" s="12"/>
      <c r="J4032" s="12"/>
      <c r="K4032" s="12"/>
      <c r="L4032" s="12"/>
      <c r="M4032" s="12"/>
      <c r="N4032" s="12"/>
      <c r="O4032" s="12"/>
      <c r="P4032" s="12"/>
      <c r="Q4032" s="12"/>
      <c r="R4032" s="12"/>
      <c r="S4032" s="12"/>
      <c r="T4032" s="12"/>
      <c r="U4032" s="12"/>
      <c r="V4032" s="12"/>
      <c r="W4032" s="12"/>
      <c r="X4032" s="12"/>
      <c r="Y4032" s="12"/>
      <c r="Z4032" s="12"/>
      <c r="AA4032" s="12"/>
    </row>
    <row r="4033" ht="26.25" customHeight="1">
      <c r="A4033" s="28" t="s">
        <v>8076</v>
      </c>
      <c r="B4033" s="29" t="s">
        <v>8077</v>
      </c>
      <c r="C4033" s="30">
        <v>4.0</v>
      </c>
      <c r="D4033" s="31">
        <v>352.0</v>
      </c>
      <c r="E4033" s="31">
        <v>5.0</v>
      </c>
      <c r="F4033" s="32" t="str">
        <f t="array" ref="F4033">"https://www.google.com/maps/search/?api=1&amp;query=" &amp; A4033 &amp; "," &amp; B4033</f>
        <v>https://www.google.com/maps/search/?api=1&amp;query=-30.89784934679690,-55.55713021008540</v>
      </c>
      <c r="G4033" s="33" t="str">
        <f t="array" ref="G4033">"https://earth.google.com/web/search/" &amp; A4033 &amp; "," &amp; B4033</f>
        <v>https://earth.google.com/web/search/-30.89784934679690,-55.55713021008540</v>
      </c>
      <c r="H4033" s="12"/>
      <c r="I4033" s="12"/>
      <c r="J4033" s="12"/>
      <c r="K4033" s="12"/>
      <c r="L4033" s="12"/>
      <c r="M4033" s="12"/>
      <c r="N4033" s="12"/>
      <c r="O4033" s="12"/>
      <c r="P4033" s="12"/>
      <c r="Q4033" s="12"/>
      <c r="R4033" s="12"/>
      <c r="S4033" s="12"/>
      <c r="T4033" s="12"/>
      <c r="U4033" s="12"/>
      <c r="V4033" s="12"/>
      <c r="W4033" s="12"/>
      <c r="X4033" s="12"/>
      <c r="Y4033" s="12"/>
      <c r="Z4033" s="12"/>
      <c r="AA4033" s="12"/>
    </row>
    <row r="4034" ht="26.25" customHeight="1">
      <c r="A4034" s="34" t="s">
        <v>8078</v>
      </c>
      <c r="B4034" s="35" t="s">
        <v>8079</v>
      </c>
      <c r="C4034" s="36">
        <v>4.0</v>
      </c>
      <c r="D4034" s="37">
        <v>352.0</v>
      </c>
      <c r="E4034" s="37">
        <v>6.0</v>
      </c>
      <c r="F4034" s="24" t="str">
        <f t="array" ref="F4034">"https://www.google.com/maps/search/?api=1&amp;query=" &amp; A4034 &amp; "," &amp; B4034</f>
        <v>https://www.google.com/maps/search/?api=1&amp;query=-30.89800388021780,-55.55722114490160</v>
      </c>
      <c r="G4034" s="25" t="str">
        <f t="array" ref="G4034">"https://earth.google.com/web/search/" &amp; A4034 &amp; "," &amp; B4034</f>
        <v>https://earth.google.com/web/search/-30.89800388021780,-55.55722114490160</v>
      </c>
      <c r="H4034" s="12"/>
      <c r="I4034" s="12"/>
      <c r="J4034" s="12"/>
      <c r="K4034" s="12"/>
      <c r="L4034" s="12"/>
      <c r="M4034" s="12"/>
      <c r="N4034" s="12"/>
      <c r="O4034" s="12"/>
      <c r="P4034" s="12"/>
      <c r="Q4034" s="12"/>
      <c r="R4034" s="12"/>
      <c r="S4034" s="12"/>
      <c r="T4034" s="12"/>
      <c r="U4034" s="12"/>
      <c r="V4034" s="12"/>
      <c r="W4034" s="12"/>
      <c r="X4034" s="12"/>
      <c r="Y4034" s="12"/>
      <c r="Z4034" s="12"/>
      <c r="AA4034" s="12"/>
    </row>
    <row r="4035" ht="26.25" customHeight="1">
      <c r="A4035" s="28" t="s">
        <v>8080</v>
      </c>
      <c r="B4035" s="29" t="s">
        <v>8081</v>
      </c>
      <c r="C4035" s="30">
        <v>4.0</v>
      </c>
      <c r="D4035" s="31">
        <v>352.0</v>
      </c>
      <c r="E4035" s="31">
        <v>7.0</v>
      </c>
      <c r="F4035" s="32" t="str">
        <f t="array" ref="F4035">"https://www.google.com/maps/search/?api=1&amp;query=" &amp; A4035 &amp; "," &amp; B4035</f>
        <v>https://www.google.com/maps/search/?api=1&amp;query=-30.89814517790900,-55.55734645621890</v>
      </c>
      <c r="G4035" s="33" t="str">
        <f t="array" ref="G4035">"https://earth.google.com/web/search/" &amp; A4035 &amp; "," &amp; B4035</f>
        <v>https://earth.google.com/web/search/-30.89814517790900,-55.55734645621890</v>
      </c>
      <c r="H4035" s="12"/>
      <c r="I4035" s="12"/>
      <c r="J4035" s="12"/>
      <c r="K4035" s="12"/>
      <c r="L4035" s="12"/>
      <c r="M4035" s="12"/>
      <c r="N4035" s="12"/>
      <c r="O4035" s="12"/>
      <c r="P4035" s="12"/>
      <c r="Q4035" s="12"/>
      <c r="R4035" s="12"/>
      <c r="S4035" s="12"/>
      <c r="T4035" s="12"/>
      <c r="U4035" s="12"/>
      <c r="V4035" s="12"/>
      <c r="W4035" s="12"/>
      <c r="X4035" s="12"/>
      <c r="Y4035" s="12"/>
      <c r="Z4035" s="12"/>
      <c r="AA4035" s="12"/>
    </row>
    <row r="4036" ht="26.25" customHeight="1">
      <c r="A4036" s="34" t="s">
        <v>8082</v>
      </c>
      <c r="B4036" s="35" t="s">
        <v>8083</v>
      </c>
      <c r="C4036" s="36">
        <v>4.0</v>
      </c>
      <c r="D4036" s="37">
        <v>353.0</v>
      </c>
      <c r="E4036" s="37">
        <v>1.0</v>
      </c>
      <c r="F4036" s="24" t="str">
        <f t="array" ref="F4036">"https://www.google.com/maps/search/?api=1&amp;query=" &amp; A4036 &amp; "," &amp; B4036</f>
        <v>https://www.google.com/maps/search/?api=1&amp;query=-30.89768301916440,-55.55822172731210</v>
      </c>
      <c r="G4036" s="25" t="str">
        <f t="array" ref="G4036">"https://earth.google.com/web/search/" &amp; A4036 &amp; "," &amp; B4036</f>
        <v>https://earth.google.com/web/search/-30.89768301916440,-55.55822172731210</v>
      </c>
      <c r="H4036" s="12"/>
      <c r="I4036" s="12"/>
      <c r="J4036" s="12"/>
      <c r="K4036" s="12"/>
      <c r="L4036" s="12"/>
      <c r="M4036" s="12"/>
      <c r="N4036" s="12"/>
      <c r="O4036" s="12"/>
      <c r="P4036" s="12"/>
      <c r="Q4036" s="12"/>
      <c r="R4036" s="12"/>
      <c r="S4036" s="12"/>
      <c r="T4036" s="12"/>
      <c r="U4036" s="12"/>
      <c r="V4036" s="12"/>
      <c r="W4036" s="12"/>
      <c r="X4036" s="12"/>
      <c r="Y4036" s="12"/>
      <c r="Z4036" s="12"/>
      <c r="AA4036" s="12"/>
    </row>
    <row r="4037" ht="26.25" customHeight="1">
      <c r="A4037" s="28" t="s">
        <v>8084</v>
      </c>
      <c r="B4037" s="29" t="s">
        <v>8085</v>
      </c>
      <c r="C4037" s="30">
        <v>4.0</v>
      </c>
      <c r="D4037" s="31">
        <v>353.0</v>
      </c>
      <c r="E4037" s="31">
        <v>2.0</v>
      </c>
      <c r="F4037" s="32" t="str">
        <f t="array" ref="F4037">"https://www.google.com/maps/search/?api=1&amp;query=" &amp; A4037 &amp; "," &amp; B4037</f>
        <v>https://www.google.com/maps/search/?api=1&amp;query=-30.89772445015640,-55.55815064115610</v>
      </c>
      <c r="G4037" s="33" t="str">
        <f t="array" ref="G4037">"https://earth.google.com/web/search/" &amp; A4037 &amp; "," &amp; B4037</f>
        <v>https://earth.google.com/web/search/-30.89772445015640,-55.55815064115610</v>
      </c>
      <c r="H4037" s="12"/>
      <c r="I4037" s="12"/>
      <c r="J4037" s="12"/>
      <c r="K4037" s="12"/>
      <c r="L4037" s="12"/>
      <c r="M4037" s="12"/>
      <c r="N4037" s="12"/>
      <c r="O4037" s="12"/>
      <c r="P4037" s="12"/>
      <c r="Q4037" s="12"/>
      <c r="R4037" s="12"/>
      <c r="S4037" s="12"/>
      <c r="T4037" s="12"/>
      <c r="U4037" s="12"/>
      <c r="V4037" s="12"/>
      <c r="W4037" s="12"/>
      <c r="X4037" s="12"/>
      <c r="Y4037" s="12"/>
      <c r="Z4037" s="12"/>
      <c r="AA4037" s="12"/>
    </row>
    <row r="4038" ht="26.25" customHeight="1">
      <c r="A4038" s="34" t="s">
        <v>8086</v>
      </c>
      <c r="B4038" s="35" t="s">
        <v>8087</v>
      </c>
      <c r="C4038" s="36">
        <v>4.0</v>
      </c>
      <c r="D4038" s="37">
        <v>353.0</v>
      </c>
      <c r="E4038" s="37">
        <v>3.0</v>
      </c>
      <c r="F4038" s="24" t="str">
        <f t="array" ref="F4038">"https://www.google.com/maps/search/?api=1&amp;query=" &amp; A4038 &amp; "," &amp; B4038</f>
        <v>https://www.google.com/maps/search/?api=1&amp;query=-30.89778725081540,-55.55800333533080</v>
      </c>
      <c r="G4038" s="25" t="str">
        <f t="array" ref="G4038">"https://earth.google.com/web/search/" &amp; A4038 &amp; "," &amp; B4038</f>
        <v>https://earth.google.com/web/search/-30.89778725081540,-55.55800333533080</v>
      </c>
      <c r="H4038" s="12"/>
      <c r="I4038" s="12"/>
      <c r="J4038" s="12"/>
      <c r="K4038" s="12"/>
      <c r="L4038" s="12"/>
      <c r="M4038" s="12"/>
      <c r="N4038" s="12"/>
      <c r="O4038" s="12"/>
      <c r="P4038" s="12"/>
      <c r="Q4038" s="12"/>
      <c r="R4038" s="12"/>
      <c r="S4038" s="12"/>
      <c r="T4038" s="12"/>
      <c r="U4038" s="12"/>
      <c r="V4038" s="12"/>
      <c r="W4038" s="12"/>
      <c r="X4038" s="12"/>
      <c r="Y4038" s="12"/>
      <c r="Z4038" s="12"/>
      <c r="AA4038" s="12"/>
    </row>
    <row r="4039" ht="26.25" customHeight="1">
      <c r="A4039" s="28" t="s">
        <v>8088</v>
      </c>
      <c r="B4039" s="29" t="s">
        <v>8089</v>
      </c>
      <c r="C4039" s="30">
        <v>4.0</v>
      </c>
      <c r="D4039" s="31">
        <v>353.0</v>
      </c>
      <c r="E4039" s="31">
        <v>4.0</v>
      </c>
      <c r="F4039" s="32" t="str">
        <f t="array" ref="F4039">"https://www.google.com/maps/search/?api=1&amp;query=" &amp; A4039 &amp; "," &amp; B4039</f>
        <v>https://www.google.com/maps/search/?api=1&amp;query=-30.89795238482150,-55.55778908920430</v>
      </c>
      <c r="G4039" s="33" t="str">
        <f t="array" ref="G4039">"https://earth.google.com/web/search/" &amp; A4039 &amp; "," &amp; B4039</f>
        <v>https://earth.google.com/web/search/-30.89795238482150,-55.55778908920430</v>
      </c>
      <c r="H4039" s="12"/>
      <c r="I4039" s="12"/>
      <c r="J4039" s="12"/>
      <c r="K4039" s="12"/>
      <c r="L4039" s="12"/>
      <c r="M4039" s="12"/>
      <c r="N4039" s="12"/>
      <c r="O4039" s="12"/>
      <c r="P4039" s="12"/>
      <c r="Q4039" s="12"/>
      <c r="R4039" s="12"/>
      <c r="S4039" s="12"/>
      <c r="T4039" s="12"/>
      <c r="U4039" s="12"/>
      <c r="V4039" s="12"/>
      <c r="W4039" s="12"/>
      <c r="X4039" s="12"/>
      <c r="Y4039" s="12"/>
      <c r="Z4039" s="12"/>
      <c r="AA4039" s="12"/>
    </row>
    <row r="4040" ht="26.25" customHeight="1">
      <c r="A4040" s="34" t="s">
        <v>8090</v>
      </c>
      <c r="B4040" s="35" t="s">
        <v>8091</v>
      </c>
      <c r="C4040" s="36">
        <v>4.0</v>
      </c>
      <c r="D4040" s="37">
        <v>353.0</v>
      </c>
      <c r="E4040" s="37">
        <v>5.0</v>
      </c>
      <c r="F4040" s="24" t="str">
        <f t="array" ref="F4040">"https://www.google.com/maps/search/?api=1&amp;query=" &amp; A4040 &amp; "," &amp; B4040</f>
        <v>https://www.google.com/maps/search/?api=1&amp;query=-30.89802852786780,-55.55763049215130</v>
      </c>
      <c r="G4040" s="25" t="str">
        <f t="array" ref="G4040">"https://earth.google.com/web/search/" &amp; A4040 &amp; "," &amp; B4040</f>
        <v>https://earth.google.com/web/search/-30.89802852786780,-55.55763049215130</v>
      </c>
      <c r="H4040" s="12"/>
      <c r="I4040" s="12"/>
      <c r="J4040" s="12"/>
      <c r="K4040" s="12"/>
      <c r="L4040" s="12"/>
      <c r="M4040" s="12"/>
      <c r="N4040" s="12"/>
      <c r="O4040" s="12"/>
      <c r="P4040" s="12"/>
      <c r="Q4040" s="12"/>
      <c r="R4040" s="12"/>
      <c r="S4040" s="12"/>
      <c r="T4040" s="12"/>
      <c r="U4040" s="12"/>
      <c r="V4040" s="12"/>
      <c r="W4040" s="12"/>
      <c r="X4040" s="12"/>
      <c r="Y4040" s="12"/>
      <c r="Z4040" s="12"/>
      <c r="AA4040" s="12"/>
    </row>
    <row r="4041" ht="26.25" customHeight="1">
      <c r="A4041" s="28" t="s">
        <v>8092</v>
      </c>
      <c r="B4041" s="29" t="s">
        <v>8093</v>
      </c>
      <c r="C4041" s="30">
        <v>4.0</v>
      </c>
      <c r="D4041" s="31">
        <v>353.0</v>
      </c>
      <c r="E4041" s="31">
        <v>6.0</v>
      </c>
      <c r="F4041" s="32" t="str">
        <f t="array" ref="F4041">"https://www.google.com/maps/search/?api=1&amp;query=" &amp; A4041 &amp; "," &amp; B4041</f>
        <v>https://www.google.com/maps/search/?api=1&amp;query=-30.89803437581290,-55.55741714845140</v>
      </c>
      <c r="G4041" s="33" t="str">
        <f t="array" ref="G4041">"https://earth.google.com/web/search/" &amp; A4041 &amp; "," &amp; B4041</f>
        <v>https://earth.google.com/web/search/-30.89803437581290,-55.55741714845140</v>
      </c>
      <c r="H4041" s="12"/>
      <c r="I4041" s="12"/>
      <c r="J4041" s="12"/>
      <c r="K4041" s="12"/>
      <c r="L4041" s="12"/>
      <c r="M4041" s="12"/>
      <c r="N4041" s="12"/>
      <c r="O4041" s="12"/>
      <c r="P4041" s="12"/>
      <c r="Q4041" s="12"/>
      <c r="R4041" s="12"/>
      <c r="S4041" s="12"/>
      <c r="T4041" s="12"/>
      <c r="U4041" s="12"/>
      <c r="V4041" s="12"/>
      <c r="W4041" s="12"/>
      <c r="X4041" s="12"/>
      <c r="Y4041" s="12"/>
      <c r="Z4041" s="12"/>
      <c r="AA4041" s="12"/>
    </row>
    <row r="4042" ht="26.25" customHeight="1">
      <c r="A4042" s="34" t="s">
        <v>8094</v>
      </c>
      <c r="B4042" s="35" t="s">
        <v>8095</v>
      </c>
      <c r="C4042" s="36">
        <v>4.0</v>
      </c>
      <c r="D4042" s="37">
        <v>353.0</v>
      </c>
      <c r="E4042" s="37">
        <v>7.0</v>
      </c>
      <c r="F4042" s="24" t="str">
        <f t="array" ref="F4042">"https://www.google.com/maps/search/?api=1&amp;query=" &amp; A4042 &amp; "," &amp; B4042</f>
        <v>https://www.google.com/maps/search/?api=1&amp;query=-30.89786106779430,-55.55728784916290</v>
      </c>
      <c r="G4042" s="25" t="str">
        <f t="array" ref="G4042">"https://earth.google.com/web/search/" &amp; A4042 &amp; "," &amp; B4042</f>
        <v>https://earth.google.com/web/search/-30.89786106779430,-55.55728784916290</v>
      </c>
      <c r="H4042" s="12"/>
      <c r="I4042" s="12"/>
      <c r="J4042" s="12"/>
      <c r="K4042" s="12"/>
      <c r="L4042" s="12"/>
      <c r="M4042" s="12"/>
      <c r="N4042" s="12"/>
      <c r="O4042" s="12"/>
      <c r="P4042" s="12"/>
      <c r="Q4042" s="12"/>
      <c r="R4042" s="12"/>
      <c r="S4042" s="12"/>
      <c r="T4042" s="12"/>
      <c r="U4042" s="12"/>
      <c r="V4042" s="12"/>
      <c r="W4042" s="12"/>
      <c r="X4042" s="12"/>
      <c r="Y4042" s="12"/>
      <c r="Z4042" s="12"/>
      <c r="AA4042" s="12"/>
    </row>
    <row r="4043" ht="26.25" customHeight="1">
      <c r="A4043" s="28" t="s">
        <v>8096</v>
      </c>
      <c r="B4043" s="29" t="s">
        <v>8097</v>
      </c>
      <c r="C4043" s="30">
        <v>4.0</v>
      </c>
      <c r="D4043" s="31">
        <v>353.0</v>
      </c>
      <c r="E4043" s="31">
        <v>8.0</v>
      </c>
      <c r="F4043" s="32" t="str">
        <f t="array" ref="F4043">"https://www.google.com/maps/search/?api=1&amp;query=" &amp; A4043 &amp; "," &amp; B4043</f>
        <v>https://www.google.com/maps/search/?api=1&amp;query=-30.89729758518570,-55.55718696771950</v>
      </c>
      <c r="G4043" s="33" t="str">
        <f t="array" ref="G4043">"https://earth.google.com/web/search/" &amp; A4043 &amp; "," &amp; B4043</f>
        <v>https://earth.google.com/web/search/-30.89729758518570,-55.55718696771950</v>
      </c>
      <c r="H4043" s="12"/>
      <c r="I4043" s="12"/>
      <c r="J4043" s="12"/>
      <c r="K4043" s="12"/>
      <c r="L4043" s="12"/>
      <c r="M4043" s="12"/>
      <c r="N4043" s="12"/>
      <c r="O4043" s="12"/>
      <c r="P4043" s="12"/>
      <c r="Q4043" s="12"/>
      <c r="R4043" s="12"/>
      <c r="S4043" s="12"/>
      <c r="T4043" s="12"/>
      <c r="U4043" s="12"/>
      <c r="V4043" s="12"/>
      <c r="W4043" s="12"/>
      <c r="X4043" s="12"/>
      <c r="Y4043" s="12"/>
      <c r="Z4043" s="12"/>
      <c r="AA4043" s="12"/>
    </row>
    <row r="4044" ht="26.25" customHeight="1">
      <c r="A4044" s="34" t="s">
        <v>8098</v>
      </c>
      <c r="B4044" s="35" t="s">
        <v>8099</v>
      </c>
      <c r="C4044" s="36">
        <v>4.0</v>
      </c>
      <c r="D4044" s="37">
        <v>353.0</v>
      </c>
      <c r="E4044" s="37">
        <v>9.0</v>
      </c>
      <c r="F4044" s="24" t="str">
        <f t="array" ref="F4044">"https://www.google.com/maps/search/?api=1&amp;query=" &amp; A4044 &amp; "," &amp; B4044</f>
        <v>https://www.google.com/maps/search/?api=1&amp;query=-30.89711936729660,-55.55753019944900</v>
      </c>
      <c r="G4044" s="25" t="str">
        <f t="array" ref="G4044">"https://earth.google.com/web/search/" &amp; A4044 &amp; "," &amp; B4044</f>
        <v>https://earth.google.com/web/search/-30.89711936729660,-55.55753019944900</v>
      </c>
      <c r="H4044" s="12"/>
      <c r="I4044" s="12"/>
      <c r="J4044" s="12"/>
      <c r="K4044" s="12"/>
      <c r="L4044" s="12"/>
      <c r="M4044" s="12"/>
      <c r="N4044" s="12"/>
      <c r="O4044" s="12"/>
      <c r="P4044" s="12"/>
      <c r="Q4044" s="12"/>
      <c r="R4044" s="12"/>
      <c r="S4044" s="12"/>
      <c r="T4044" s="12"/>
      <c r="U4044" s="12"/>
      <c r="V4044" s="12"/>
      <c r="W4044" s="12"/>
      <c r="X4044" s="12"/>
      <c r="Y4044" s="12"/>
      <c r="Z4044" s="12"/>
      <c r="AA4044" s="12"/>
    </row>
    <row r="4045" ht="26.25" customHeight="1">
      <c r="A4045" s="28" t="s">
        <v>8100</v>
      </c>
      <c r="B4045" s="29" t="s">
        <v>8101</v>
      </c>
      <c r="C4045" s="30">
        <v>4.0</v>
      </c>
      <c r="D4045" s="31">
        <v>353.0</v>
      </c>
      <c r="E4045" s="31">
        <v>10.0</v>
      </c>
      <c r="F4045" s="32" t="str">
        <f t="array" ref="F4045">"https://www.google.com/maps/search/?api=1&amp;query=" &amp; A4045 &amp; "," &amp; B4045</f>
        <v>https://www.google.com/maps/search/?api=1&amp;query=-30.89704883529680,-55.55770738437220</v>
      </c>
      <c r="G4045" s="33" t="str">
        <f t="array" ref="G4045">"https://earth.google.com/web/search/" &amp; A4045 &amp; "," &amp; B4045</f>
        <v>https://earth.google.com/web/search/-30.89704883529680,-55.55770738437220</v>
      </c>
      <c r="H4045" s="12"/>
      <c r="I4045" s="12"/>
      <c r="J4045" s="12"/>
      <c r="K4045" s="12"/>
      <c r="L4045" s="12"/>
      <c r="M4045" s="12"/>
      <c r="N4045" s="12"/>
      <c r="O4045" s="12"/>
      <c r="P4045" s="12"/>
      <c r="Q4045" s="12"/>
      <c r="R4045" s="12"/>
      <c r="S4045" s="12"/>
      <c r="T4045" s="12"/>
      <c r="U4045" s="12"/>
      <c r="V4045" s="12"/>
      <c r="W4045" s="12"/>
      <c r="X4045" s="12"/>
      <c r="Y4045" s="12"/>
      <c r="Z4045" s="12"/>
      <c r="AA4045" s="12"/>
    </row>
    <row r="4046" ht="26.25" customHeight="1">
      <c r="A4046" s="34" t="s">
        <v>8102</v>
      </c>
      <c r="B4046" s="35" t="s">
        <v>8103</v>
      </c>
      <c r="C4046" s="36">
        <v>4.0</v>
      </c>
      <c r="D4046" s="37">
        <v>353.0</v>
      </c>
      <c r="E4046" s="37">
        <v>11.0</v>
      </c>
      <c r="F4046" s="24" t="str">
        <f t="array" ref="F4046">"https://www.google.com/maps/search/?api=1&amp;query=" &amp; A4046 &amp; "," &amp; B4046</f>
        <v>https://www.google.com/maps/search/?api=1&amp;query=-30.89706807580860,-55.55784709090630</v>
      </c>
      <c r="G4046" s="25" t="str">
        <f t="array" ref="G4046">"https://earth.google.com/web/search/" &amp; A4046 &amp; "," &amp; B4046</f>
        <v>https://earth.google.com/web/search/-30.89706807580860,-55.55784709090630</v>
      </c>
      <c r="H4046" s="12"/>
      <c r="I4046" s="12"/>
      <c r="J4046" s="12"/>
      <c r="K4046" s="12"/>
      <c r="L4046" s="12"/>
      <c r="M4046" s="12"/>
      <c r="N4046" s="12"/>
      <c r="O4046" s="12"/>
      <c r="P4046" s="12"/>
      <c r="Q4046" s="12"/>
      <c r="R4046" s="12"/>
      <c r="S4046" s="12"/>
      <c r="T4046" s="12"/>
      <c r="U4046" s="12"/>
      <c r="V4046" s="12"/>
      <c r="W4046" s="12"/>
      <c r="X4046" s="12"/>
      <c r="Y4046" s="12"/>
      <c r="Z4046" s="12"/>
      <c r="AA4046" s="12"/>
    </row>
    <row r="4047" ht="26.25" customHeight="1">
      <c r="A4047" s="28" t="s">
        <v>8104</v>
      </c>
      <c r="B4047" s="29" t="s">
        <v>8105</v>
      </c>
      <c r="C4047" s="30">
        <v>4.0</v>
      </c>
      <c r="D4047" s="31">
        <v>353.0</v>
      </c>
      <c r="E4047" s="31">
        <v>12.0</v>
      </c>
      <c r="F4047" s="32" t="str">
        <f t="array" ref="F4047">"https://www.google.com/maps/search/?api=1&amp;query=" &amp; A4047 &amp; "," &amp; B4047</f>
        <v>https://www.google.com/maps/search/?api=1&amp;query=-30.89712868290250,-55.55788628784980</v>
      </c>
      <c r="G4047" s="33" t="str">
        <f t="array" ref="G4047">"https://earth.google.com/web/search/" &amp; A4047 &amp; "," &amp; B4047</f>
        <v>https://earth.google.com/web/search/-30.89712868290250,-55.55788628784980</v>
      </c>
      <c r="H4047" s="12"/>
      <c r="I4047" s="12"/>
      <c r="J4047" s="12"/>
      <c r="K4047" s="12"/>
      <c r="L4047" s="12"/>
      <c r="M4047" s="12"/>
      <c r="N4047" s="12"/>
      <c r="O4047" s="12"/>
      <c r="P4047" s="12"/>
      <c r="Q4047" s="12"/>
      <c r="R4047" s="12"/>
      <c r="S4047" s="12"/>
      <c r="T4047" s="12"/>
      <c r="U4047" s="12"/>
      <c r="V4047" s="12"/>
      <c r="W4047" s="12"/>
      <c r="X4047" s="12"/>
      <c r="Y4047" s="12"/>
      <c r="Z4047" s="12"/>
      <c r="AA4047" s="12"/>
    </row>
    <row r="4048" ht="26.25" customHeight="1">
      <c r="A4048" s="34" t="s">
        <v>8106</v>
      </c>
      <c r="B4048" s="35" t="s">
        <v>8107</v>
      </c>
      <c r="C4048" s="36">
        <v>4.0</v>
      </c>
      <c r="D4048" s="37">
        <v>353.0</v>
      </c>
      <c r="E4048" s="37">
        <v>13.0</v>
      </c>
      <c r="F4048" s="24" t="str">
        <f t="array" ref="F4048">"https://www.google.com/maps/search/?api=1&amp;query=" &amp; A4048 &amp; "," &amp; B4048</f>
        <v>https://www.google.com/maps/search/?api=1&amp;query=-30.89719861848850,-5.55579466597511</v>
      </c>
      <c r="G4048" s="25" t="str">
        <f t="array" ref="G4048">"https://earth.google.com/web/search/" &amp; A4048 &amp; "," &amp; B4048</f>
        <v>https://earth.google.com/web/search/-30.89719861848850,-5.55579466597511</v>
      </c>
      <c r="H4048" s="12"/>
      <c r="I4048" s="12"/>
      <c r="J4048" s="12"/>
      <c r="K4048" s="12"/>
      <c r="L4048" s="12"/>
      <c r="M4048" s="12"/>
      <c r="N4048" s="12"/>
      <c r="O4048" s="12"/>
      <c r="P4048" s="12"/>
      <c r="Q4048" s="12"/>
      <c r="R4048" s="12"/>
      <c r="S4048" s="12"/>
      <c r="T4048" s="12"/>
      <c r="U4048" s="12"/>
      <c r="V4048" s="12"/>
      <c r="W4048" s="12"/>
      <c r="X4048" s="12"/>
      <c r="Y4048" s="12"/>
      <c r="Z4048" s="12"/>
      <c r="AA4048" s="12"/>
    </row>
    <row r="4049" ht="26.25" customHeight="1">
      <c r="A4049" s="28" t="s">
        <v>8108</v>
      </c>
      <c r="B4049" s="29" t="s">
        <v>8109</v>
      </c>
      <c r="C4049" s="30">
        <v>4.0</v>
      </c>
      <c r="D4049" s="31">
        <v>353.0</v>
      </c>
      <c r="E4049" s="31">
        <v>14.0</v>
      </c>
      <c r="F4049" s="32" t="str">
        <f t="array" ref="F4049">"https://www.google.com/maps/search/?api=1&amp;query=" &amp; A4049 &amp; "," &amp; B4049</f>
        <v>https://www.google.com/maps/search/?api=1&amp;query=-30.89730306669540,-55.55799870832510</v>
      </c>
      <c r="G4049" s="33" t="str">
        <f t="array" ref="G4049">"https://earth.google.com/web/search/" &amp; A4049 &amp; "," &amp; B4049</f>
        <v>https://earth.google.com/web/search/-30.89730306669540,-55.55799870832510</v>
      </c>
      <c r="H4049" s="12"/>
      <c r="I4049" s="12"/>
      <c r="J4049" s="12"/>
      <c r="K4049" s="12"/>
      <c r="L4049" s="12"/>
      <c r="M4049" s="12"/>
      <c r="N4049" s="12"/>
      <c r="O4049" s="12"/>
      <c r="P4049" s="12"/>
      <c r="Q4049" s="12"/>
      <c r="R4049" s="12"/>
      <c r="S4049" s="12"/>
      <c r="T4049" s="12"/>
      <c r="U4049" s="12"/>
      <c r="V4049" s="12"/>
      <c r="W4049" s="12"/>
      <c r="X4049" s="12"/>
      <c r="Y4049" s="12"/>
      <c r="Z4049" s="12"/>
      <c r="AA4049" s="12"/>
    </row>
    <row r="4050" ht="26.25" customHeight="1">
      <c r="A4050" s="34" t="s">
        <v>8110</v>
      </c>
      <c r="B4050" s="35" t="s">
        <v>8111</v>
      </c>
      <c r="C4050" s="36">
        <v>4.0</v>
      </c>
      <c r="D4050" s="37">
        <v>353.0</v>
      </c>
      <c r="E4050" s="37">
        <v>15.0</v>
      </c>
      <c r="F4050" s="24" t="str">
        <f t="array" ref="F4050">"https://www.google.com/maps/search/?api=1&amp;query=" &amp; A4050 &amp; "," &amp; B4050</f>
        <v>https://www.google.com/maps/search/?api=1&amp;query=-30.89761878942400,-55.55822408048610</v>
      </c>
      <c r="G4050" s="25" t="str">
        <f t="array" ref="G4050">"https://earth.google.com/web/search/" &amp; A4050 &amp; "," &amp; B4050</f>
        <v>https://earth.google.com/web/search/-30.89761878942400,-55.55822408048610</v>
      </c>
      <c r="H4050" s="12"/>
      <c r="I4050" s="12"/>
      <c r="J4050" s="12"/>
      <c r="K4050" s="12"/>
      <c r="L4050" s="12"/>
      <c r="M4050" s="12"/>
      <c r="N4050" s="12"/>
      <c r="O4050" s="12"/>
      <c r="P4050" s="12"/>
      <c r="Q4050" s="12"/>
      <c r="R4050" s="12"/>
      <c r="S4050" s="12"/>
      <c r="T4050" s="12"/>
      <c r="U4050" s="12"/>
      <c r="V4050" s="12"/>
      <c r="W4050" s="12"/>
      <c r="X4050" s="12"/>
      <c r="Y4050" s="12"/>
      <c r="Z4050" s="12"/>
      <c r="AA4050" s="12"/>
    </row>
    <row r="4051" ht="26.25" customHeight="1">
      <c r="A4051" s="28" t="s">
        <v>8112</v>
      </c>
      <c r="B4051" s="29" t="s">
        <v>8113</v>
      </c>
      <c r="C4051" s="30">
        <v>4.0</v>
      </c>
      <c r="D4051" s="31">
        <v>354.0</v>
      </c>
      <c r="E4051" s="31">
        <v>1.0</v>
      </c>
      <c r="F4051" s="32" t="str">
        <f t="array" ref="F4051">"https://www.google.com/maps/search/?api=1&amp;query=" &amp; A4051 &amp; "," &amp; B4051</f>
        <v>https://www.google.com/maps/search/?api=1&amp;query=-30.89724590199070,-55.55910308111930</v>
      </c>
      <c r="G4051" s="33" t="str">
        <f t="array" ref="G4051">"https://earth.google.com/web/search/" &amp; A4051 &amp; "," &amp; B4051</f>
        <v>https://earth.google.com/web/search/-30.89724590199070,-55.55910308111930</v>
      </c>
      <c r="H4051" s="12"/>
      <c r="I4051" s="12"/>
      <c r="J4051" s="12"/>
      <c r="K4051" s="12"/>
      <c r="L4051" s="12"/>
      <c r="M4051" s="12"/>
      <c r="N4051" s="12"/>
      <c r="O4051" s="12"/>
      <c r="P4051" s="12"/>
      <c r="Q4051" s="12"/>
      <c r="R4051" s="12"/>
      <c r="S4051" s="12"/>
      <c r="T4051" s="12"/>
      <c r="U4051" s="12"/>
      <c r="V4051" s="12"/>
      <c r="W4051" s="12"/>
      <c r="X4051" s="12"/>
      <c r="Y4051" s="12"/>
      <c r="Z4051" s="12"/>
      <c r="AA4051" s="12"/>
    </row>
    <row r="4052" ht="26.25" customHeight="1">
      <c r="A4052" s="34" t="s">
        <v>8114</v>
      </c>
      <c r="B4052" s="35" t="s">
        <v>8115</v>
      </c>
      <c r="C4052" s="36">
        <v>4.0</v>
      </c>
      <c r="D4052" s="37">
        <v>354.0</v>
      </c>
      <c r="E4052" s="37">
        <v>2.0</v>
      </c>
      <c r="F4052" s="24" t="str">
        <f t="array" ref="F4052">"https://www.google.com/maps/search/?api=1&amp;query=" &amp; A4052 &amp; "," &amp; B4052</f>
        <v>https://www.google.com/maps/search/?api=1&amp;query=-30.89751921432610,-55.55853113986400</v>
      </c>
      <c r="G4052" s="25" t="str">
        <f t="array" ref="G4052">"https://earth.google.com/web/search/" &amp; A4052 &amp; "," &amp; B4052</f>
        <v>https://earth.google.com/web/search/-30.89751921432610,-55.55853113986400</v>
      </c>
      <c r="H4052" s="12"/>
      <c r="I4052" s="12"/>
      <c r="J4052" s="12"/>
      <c r="K4052" s="12"/>
      <c r="L4052" s="12"/>
      <c r="M4052" s="12"/>
      <c r="N4052" s="12"/>
      <c r="O4052" s="12"/>
      <c r="P4052" s="12"/>
      <c r="Q4052" s="12"/>
      <c r="R4052" s="12"/>
      <c r="S4052" s="12"/>
      <c r="T4052" s="12"/>
      <c r="U4052" s="12"/>
      <c r="V4052" s="12"/>
      <c r="W4052" s="12"/>
      <c r="X4052" s="12"/>
      <c r="Y4052" s="12"/>
      <c r="Z4052" s="12"/>
      <c r="AA4052" s="12"/>
    </row>
    <row r="4053" ht="26.25" customHeight="1">
      <c r="A4053" s="28" t="s">
        <v>8116</v>
      </c>
      <c r="B4053" s="29" t="s">
        <v>8117</v>
      </c>
      <c r="C4053" s="30">
        <v>4.0</v>
      </c>
      <c r="D4053" s="31">
        <v>354.0</v>
      </c>
      <c r="E4053" s="31">
        <v>3.0</v>
      </c>
      <c r="F4053" s="32" t="str">
        <f t="array" ref="F4053">"https://www.google.com/maps/search/?api=1&amp;query=" &amp; A4053 &amp; "," &amp; B4053</f>
        <v>https://www.google.com/maps/search/?api=1&amp;query=-30.89758421706650,-55.55841141927310</v>
      </c>
      <c r="G4053" s="33" t="str">
        <f t="array" ref="G4053">"https://earth.google.com/web/search/" &amp; A4053 &amp; "," &amp; B4053</f>
        <v>https://earth.google.com/web/search/-30.89758421706650,-55.55841141927310</v>
      </c>
      <c r="H4053" s="12"/>
      <c r="I4053" s="12"/>
      <c r="J4053" s="12"/>
      <c r="K4053" s="12"/>
      <c r="L4053" s="12"/>
      <c r="M4053" s="12"/>
      <c r="N4053" s="12"/>
      <c r="O4053" s="12"/>
      <c r="P4053" s="12"/>
      <c r="Q4053" s="12"/>
      <c r="R4053" s="12"/>
      <c r="S4053" s="12"/>
      <c r="T4053" s="12"/>
      <c r="U4053" s="12"/>
      <c r="V4053" s="12"/>
      <c r="W4053" s="12"/>
      <c r="X4053" s="12"/>
      <c r="Y4053" s="12"/>
      <c r="Z4053" s="12"/>
      <c r="AA4053" s="12"/>
    </row>
    <row r="4054" ht="26.25" customHeight="1">
      <c r="A4054" s="34" t="s">
        <v>8118</v>
      </c>
      <c r="B4054" s="35" t="s">
        <v>8119</v>
      </c>
      <c r="C4054" s="36">
        <v>4.0</v>
      </c>
      <c r="D4054" s="37">
        <v>354.0</v>
      </c>
      <c r="E4054" s="37">
        <v>5.0</v>
      </c>
      <c r="F4054" s="24" t="str">
        <f t="array" ref="F4054">"https://www.google.com/maps/search/?api=1&amp;query=" &amp; A4054 &amp; "," &amp; B4054</f>
        <v>https://www.google.com/maps/search/?api=1&amp;query=-30.89652936306460,-55.55857726462720</v>
      </c>
      <c r="G4054" s="25" t="str">
        <f t="array" ref="G4054">"https://earth.google.com/web/search/" &amp; A4054 &amp; "," &amp; B4054</f>
        <v>https://earth.google.com/web/search/-30.89652936306460,-55.55857726462720</v>
      </c>
      <c r="H4054" s="12"/>
      <c r="I4054" s="12"/>
      <c r="J4054" s="12"/>
      <c r="K4054" s="12"/>
      <c r="L4054" s="12"/>
      <c r="M4054" s="12"/>
      <c r="N4054" s="12"/>
      <c r="O4054" s="12"/>
      <c r="P4054" s="12"/>
      <c r="Q4054" s="12"/>
      <c r="R4054" s="12"/>
      <c r="S4054" s="12"/>
      <c r="T4054" s="12"/>
      <c r="U4054" s="12"/>
      <c r="V4054" s="12"/>
      <c r="W4054" s="12"/>
      <c r="X4054" s="12"/>
      <c r="Y4054" s="12"/>
      <c r="Z4054" s="12"/>
      <c r="AA4054" s="12"/>
    </row>
    <row r="4055" ht="26.25" customHeight="1">
      <c r="A4055" s="28" t="s">
        <v>8120</v>
      </c>
      <c r="B4055" s="29" t="s">
        <v>8121</v>
      </c>
      <c r="C4055" s="30">
        <v>4.0</v>
      </c>
      <c r="D4055" s="31">
        <v>354.0</v>
      </c>
      <c r="E4055" s="31">
        <v>4.0</v>
      </c>
      <c r="F4055" s="32" t="str">
        <f t="array" ref="F4055">"https://www.google.com/maps/search/?api=1&amp;query=" &amp; A4055 &amp; "," &amp; B4055</f>
        <v>https://www.google.com/maps/search/?api=1&amp;query=-30.89748456911780,-55.55828312644590</v>
      </c>
      <c r="G4055" s="33" t="str">
        <f t="array" ref="G4055">"https://earth.google.com/web/search/" &amp; A4055 &amp; "," &amp; B4055</f>
        <v>https://earth.google.com/web/search/-30.89748456911780,-55.55828312644590</v>
      </c>
      <c r="H4055" s="12"/>
      <c r="I4055" s="12"/>
      <c r="J4055" s="12"/>
      <c r="K4055" s="12"/>
      <c r="L4055" s="12"/>
      <c r="M4055" s="12"/>
      <c r="N4055" s="12"/>
      <c r="O4055" s="12"/>
      <c r="P4055" s="12"/>
      <c r="Q4055" s="12"/>
      <c r="R4055" s="12"/>
      <c r="S4055" s="12"/>
      <c r="T4055" s="12"/>
      <c r="U4055" s="12"/>
      <c r="V4055" s="12"/>
      <c r="W4055" s="12"/>
      <c r="X4055" s="12"/>
      <c r="Y4055" s="12"/>
      <c r="Z4055" s="12"/>
      <c r="AA4055" s="12"/>
    </row>
    <row r="4056" ht="26.25" customHeight="1">
      <c r="A4056" s="34" t="s">
        <v>8122</v>
      </c>
      <c r="B4056" s="35" t="s">
        <v>8123</v>
      </c>
      <c r="C4056" s="36">
        <v>4.0</v>
      </c>
      <c r="D4056" s="37">
        <v>354.0</v>
      </c>
      <c r="E4056" s="37">
        <v>6.0</v>
      </c>
      <c r="F4056" s="24" t="str">
        <f t="array" ref="F4056">"https://www.google.com/maps/search/?api=1&amp;query=" &amp; A4056 &amp; "," &amp; B4056</f>
        <v>https://www.google.com/maps/search/?api=1&amp;query=-30.89669211822510,-55.55883848549750</v>
      </c>
      <c r="G4056" s="25" t="str">
        <f t="array" ref="G4056">"https://earth.google.com/web/search/" &amp; A4056 &amp; "," &amp; B4056</f>
        <v>https://earth.google.com/web/search/-30.89669211822510,-55.55883848549750</v>
      </c>
      <c r="H4056" s="12"/>
      <c r="I4056" s="12"/>
      <c r="J4056" s="12"/>
      <c r="K4056" s="12"/>
      <c r="L4056" s="12"/>
      <c r="M4056" s="12"/>
      <c r="N4056" s="12"/>
      <c r="O4056" s="12"/>
      <c r="P4056" s="12"/>
      <c r="Q4056" s="12"/>
      <c r="R4056" s="12"/>
      <c r="S4056" s="12"/>
      <c r="T4056" s="12"/>
      <c r="U4056" s="12"/>
      <c r="V4056" s="12"/>
      <c r="W4056" s="12"/>
      <c r="X4056" s="12"/>
      <c r="Y4056" s="12"/>
      <c r="Z4056" s="12"/>
      <c r="AA4056" s="12"/>
    </row>
    <row r="4057" ht="26.25" customHeight="1">
      <c r="A4057" s="28" t="s">
        <v>8124</v>
      </c>
      <c r="B4057" s="29" t="s">
        <v>8125</v>
      </c>
      <c r="C4057" s="30">
        <v>4.0</v>
      </c>
      <c r="D4057" s="31">
        <v>354.0</v>
      </c>
      <c r="E4057" s="31">
        <v>7.0</v>
      </c>
      <c r="F4057" s="32" t="str">
        <f t="array" ref="F4057">"https://www.google.com/maps/search/?api=1&amp;query=" &amp; A4057 &amp; "," &amp; B4057</f>
        <v>https://www.google.com/maps/search/?api=1&amp;query=-30.89691398971780,-55.55899321352380</v>
      </c>
      <c r="G4057" s="33" t="str">
        <f t="array" ref="G4057">"https://earth.google.com/web/search/" &amp; A4057 &amp; "," &amp; B4057</f>
        <v>https://earth.google.com/web/search/-30.89691398971780,-55.55899321352380</v>
      </c>
      <c r="H4057" s="12"/>
      <c r="I4057" s="12"/>
      <c r="J4057" s="12"/>
      <c r="K4057" s="12"/>
      <c r="L4057" s="12"/>
      <c r="M4057" s="12"/>
      <c r="N4057" s="12"/>
      <c r="O4057" s="12"/>
      <c r="P4057" s="12"/>
      <c r="Q4057" s="12"/>
      <c r="R4057" s="12"/>
      <c r="S4057" s="12"/>
      <c r="T4057" s="12"/>
      <c r="U4057" s="12"/>
      <c r="V4057" s="12"/>
      <c r="W4057" s="12"/>
      <c r="X4057" s="12"/>
      <c r="Y4057" s="12"/>
      <c r="Z4057" s="12"/>
      <c r="AA4057" s="12"/>
    </row>
    <row r="4058" ht="26.25" customHeight="1">
      <c r="A4058" s="34" t="s">
        <v>8126</v>
      </c>
      <c r="B4058" s="35" t="s">
        <v>8127</v>
      </c>
      <c r="C4058" s="36">
        <v>4.0</v>
      </c>
      <c r="D4058" s="37">
        <v>354.0</v>
      </c>
      <c r="E4058" s="37">
        <v>8.0</v>
      </c>
      <c r="F4058" s="24" t="str">
        <f t="array" ref="F4058">"https://www.google.com/maps/search/?api=1&amp;query=" &amp; A4058 &amp; "," &amp; B4058</f>
        <v>https://www.google.com/maps/search/?api=1&amp;query=-30.89700683987150,-55.55906979705310</v>
      </c>
      <c r="G4058" s="25" t="str">
        <f t="array" ref="G4058">"https://earth.google.com/web/search/" &amp; A4058 &amp; "," &amp; B4058</f>
        <v>https://earth.google.com/web/search/-30.89700683987150,-55.55906979705310</v>
      </c>
      <c r="H4058" s="12"/>
      <c r="I4058" s="12"/>
      <c r="J4058" s="12"/>
      <c r="K4058" s="12"/>
      <c r="L4058" s="12"/>
      <c r="M4058" s="12"/>
      <c r="N4058" s="12"/>
      <c r="O4058" s="12"/>
      <c r="P4058" s="12"/>
      <c r="Q4058" s="12"/>
      <c r="R4058" s="12"/>
      <c r="S4058" s="12"/>
      <c r="T4058" s="12"/>
      <c r="U4058" s="12"/>
      <c r="V4058" s="12"/>
      <c r="W4058" s="12"/>
      <c r="X4058" s="12"/>
      <c r="Y4058" s="12"/>
      <c r="Z4058" s="12"/>
      <c r="AA4058" s="12"/>
    </row>
    <row r="4059" ht="26.25" customHeight="1">
      <c r="A4059" s="28" t="s">
        <v>8128</v>
      </c>
      <c r="B4059" s="29" t="s">
        <v>8129</v>
      </c>
      <c r="C4059" s="30">
        <v>4.0</v>
      </c>
      <c r="D4059" s="31">
        <v>357.0</v>
      </c>
      <c r="E4059" s="31">
        <v>1.0</v>
      </c>
      <c r="F4059" s="32" t="str">
        <f t="array" ref="F4059">"https://www.google.com/maps/search/?api=1&amp;query=" &amp; A4059 &amp; "," &amp; B4059</f>
        <v>https://www.google.com/maps/search/?api=1&amp;query=-3.08981452669544,-55.55937310619390</v>
      </c>
      <c r="G4059" s="33" t="str">
        <f t="array" ref="G4059">"https://earth.google.com/web/search/" &amp; A4059 &amp; "," &amp; B4059</f>
        <v>https://earth.google.com/web/search/-3.08981452669544,-55.55937310619390</v>
      </c>
      <c r="H4059" s="12"/>
      <c r="I4059" s="12"/>
      <c r="J4059" s="12"/>
      <c r="K4059" s="12"/>
      <c r="L4059" s="12"/>
      <c r="M4059" s="12"/>
      <c r="N4059" s="12"/>
      <c r="O4059" s="12"/>
      <c r="P4059" s="12"/>
      <c r="Q4059" s="12"/>
      <c r="R4059" s="12"/>
      <c r="S4059" s="12"/>
      <c r="T4059" s="12"/>
      <c r="U4059" s="12"/>
      <c r="V4059" s="12"/>
      <c r="W4059" s="12"/>
      <c r="X4059" s="12"/>
      <c r="Y4059" s="12"/>
      <c r="Z4059" s="12"/>
      <c r="AA4059" s="12"/>
    </row>
    <row r="4060" ht="26.25" customHeight="1">
      <c r="A4060" s="34" t="s">
        <v>8130</v>
      </c>
      <c r="B4060" s="35" t="s">
        <v>8131</v>
      </c>
      <c r="C4060" s="36">
        <v>4.0</v>
      </c>
      <c r="D4060" s="37">
        <v>357.0</v>
      </c>
      <c r="E4060" s="37">
        <v>2.0</v>
      </c>
      <c r="F4060" s="24" t="str">
        <f t="array" ref="F4060">"https://www.google.com/maps/search/?api=1&amp;query=" &amp; A4060 &amp; "," &amp; B4060</f>
        <v>https://www.google.com/maps/search/?api=1&amp;query=-30.89821584464110,-55.55920009590780</v>
      </c>
      <c r="G4060" s="25" t="str">
        <f t="array" ref="G4060">"https://earth.google.com/web/search/" &amp; A4060 &amp; "," &amp; B4060</f>
        <v>https://earth.google.com/web/search/-30.89821584464110,-55.55920009590780</v>
      </c>
      <c r="H4060" s="12"/>
      <c r="I4060" s="12"/>
      <c r="J4060" s="12"/>
      <c r="K4060" s="12"/>
      <c r="L4060" s="12"/>
      <c r="M4060" s="12"/>
      <c r="N4060" s="12"/>
      <c r="O4060" s="12"/>
      <c r="P4060" s="12"/>
      <c r="Q4060" s="12"/>
      <c r="R4060" s="12"/>
      <c r="S4060" s="12"/>
      <c r="T4060" s="12"/>
      <c r="U4060" s="12"/>
      <c r="V4060" s="12"/>
      <c r="W4060" s="12"/>
      <c r="X4060" s="12"/>
      <c r="Y4060" s="12"/>
      <c r="Z4060" s="12"/>
      <c r="AA4060" s="12"/>
    </row>
    <row r="4061" ht="26.25" customHeight="1">
      <c r="A4061" s="28" t="s">
        <v>8132</v>
      </c>
      <c r="B4061" s="29" t="s">
        <v>8133</v>
      </c>
      <c r="C4061" s="30">
        <v>4.0</v>
      </c>
      <c r="D4061" s="31">
        <v>357.0</v>
      </c>
      <c r="E4061" s="31">
        <v>3.0</v>
      </c>
      <c r="F4061" s="32" t="str">
        <f t="array" ref="F4061">"https://www.google.com/maps/search/?api=1&amp;query=" &amp; A4061 &amp; "," &amp; B4061</f>
        <v>https://www.google.com/maps/search/?api=1&amp;query=-30.89831357563100,-55.55904833859880</v>
      </c>
      <c r="G4061" s="33" t="str">
        <f t="array" ref="G4061">"https://earth.google.com/web/search/" &amp; A4061 &amp; "," &amp; B4061</f>
        <v>https://earth.google.com/web/search/-30.89831357563100,-55.55904833859880</v>
      </c>
      <c r="H4061" s="12"/>
      <c r="I4061" s="12"/>
      <c r="J4061" s="12"/>
      <c r="K4061" s="12"/>
      <c r="L4061" s="12"/>
      <c r="M4061" s="12"/>
      <c r="N4061" s="12"/>
      <c r="O4061" s="12"/>
      <c r="P4061" s="12"/>
      <c r="Q4061" s="12"/>
      <c r="R4061" s="12"/>
      <c r="S4061" s="12"/>
      <c r="T4061" s="12"/>
      <c r="U4061" s="12"/>
      <c r="V4061" s="12"/>
      <c r="W4061" s="12"/>
      <c r="X4061" s="12"/>
      <c r="Y4061" s="12"/>
      <c r="Z4061" s="12"/>
      <c r="AA4061" s="12"/>
    </row>
    <row r="4062" ht="26.25" customHeight="1">
      <c r="A4062" s="34" t="s">
        <v>8134</v>
      </c>
      <c r="B4062" s="35" t="s">
        <v>8135</v>
      </c>
      <c r="C4062" s="36">
        <v>4.0</v>
      </c>
      <c r="D4062" s="37">
        <v>357.0</v>
      </c>
      <c r="E4062" s="37">
        <v>4.0</v>
      </c>
      <c r="F4062" s="24" t="str">
        <f t="array" ref="F4062">"https://www.google.com/maps/search/?api=1&amp;query=" &amp; A4062 &amp; "," &amp; B4062</f>
        <v>https://www.google.com/maps/search/?api=1&amp;query=-30.89837007488140,-55.55893937571930</v>
      </c>
      <c r="G4062" s="25" t="str">
        <f t="array" ref="G4062">"https://earth.google.com/web/search/" &amp; A4062 &amp; "," &amp; B4062</f>
        <v>https://earth.google.com/web/search/-30.89837007488140,-55.55893937571930</v>
      </c>
      <c r="H4062" s="12"/>
      <c r="I4062" s="12"/>
      <c r="J4062" s="12"/>
      <c r="K4062" s="12"/>
      <c r="L4062" s="12"/>
      <c r="M4062" s="12"/>
      <c r="N4062" s="12"/>
      <c r="O4062" s="12"/>
      <c r="P4062" s="12"/>
      <c r="Q4062" s="12"/>
      <c r="R4062" s="12"/>
      <c r="S4062" s="12"/>
      <c r="T4062" s="12"/>
      <c r="U4062" s="12"/>
      <c r="V4062" s="12"/>
      <c r="W4062" s="12"/>
      <c r="X4062" s="12"/>
      <c r="Y4062" s="12"/>
      <c r="Z4062" s="12"/>
      <c r="AA4062" s="12"/>
    </row>
    <row r="4063" ht="26.25" customHeight="1">
      <c r="A4063" s="28" t="s">
        <v>8136</v>
      </c>
      <c r="B4063" s="29" t="s">
        <v>8137</v>
      </c>
      <c r="C4063" s="30">
        <v>4.0</v>
      </c>
      <c r="D4063" s="31">
        <v>357.0</v>
      </c>
      <c r="E4063" s="31">
        <v>5.0</v>
      </c>
      <c r="F4063" s="32" t="str">
        <f t="array" ref="F4063">"https://www.google.com/maps/search/?api=1&amp;query=" &amp; A4063 &amp; "," &amp; B4063</f>
        <v>https://www.google.com/maps/search/?api=1&amp;query=-30.89826109157400,-5.55588323670594</v>
      </c>
      <c r="G4063" s="33" t="str">
        <f t="array" ref="G4063">"https://earth.google.com/web/search/" &amp; A4063 &amp; "," &amp; B4063</f>
        <v>https://earth.google.com/web/search/-30.89826109157400,-5.55588323670594</v>
      </c>
      <c r="H4063" s="12"/>
      <c r="I4063" s="12"/>
      <c r="J4063" s="12"/>
      <c r="K4063" s="12"/>
      <c r="L4063" s="12"/>
      <c r="M4063" s="12"/>
      <c r="N4063" s="12"/>
      <c r="O4063" s="12"/>
      <c r="P4063" s="12"/>
      <c r="Q4063" s="12"/>
      <c r="R4063" s="12"/>
      <c r="S4063" s="12"/>
      <c r="T4063" s="12"/>
      <c r="U4063" s="12"/>
      <c r="V4063" s="12"/>
      <c r="W4063" s="12"/>
      <c r="X4063" s="12"/>
      <c r="Y4063" s="12"/>
      <c r="Z4063" s="12"/>
      <c r="AA4063" s="12"/>
    </row>
    <row r="4064" ht="26.25" customHeight="1">
      <c r="A4064" s="34" t="s">
        <v>8138</v>
      </c>
      <c r="B4064" s="35" t="s">
        <v>8139</v>
      </c>
      <c r="C4064" s="36">
        <v>4.0</v>
      </c>
      <c r="D4064" s="37">
        <v>357.0</v>
      </c>
      <c r="E4064" s="37">
        <v>6.0</v>
      </c>
      <c r="F4064" s="24" t="str">
        <f t="array" ref="F4064">"https://www.google.com/maps/search/?api=1&amp;query=" &amp; A4064 &amp; "," &amp; B4064</f>
        <v>https://www.google.com/maps/search/?api=1&amp;query=-30.89795507802610,-55.55858310635540</v>
      </c>
      <c r="G4064" s="25" t="str">
        <f t="array" ref="G4064">"https://earth.google.com/web/search/" &amp; A4064 &amp; "," &amp; B4064</f>
        <v>https://earth.google.com/web/search/-30.89795507802610,-55.55858310635540</v>
      </c>
      <c r="H4064" s="12"/>
      <c r="I4064" s="12"/>
      <c r="J4064" s="12"/>
      <c r="K4064" s="12"/>
      <c r="L4064" s="12"/>
      <c r="M4064" s="12"/>
      <c r="N4064" s="12"/>
      <c r="O4064" s="12"/>
      <c r="P4064" s="12"/>
      <c r="Q4064" s="12"/>
      <c r="R4064" s="12"/>
      <c r="S4064" s="12"/>
      <c r="T4064" s="12"/>
      <c r="U4064" s="12"/>
      <c r="V4064" s="12"/>
      <c r="W4064" s="12"/>
      <c r="X4064" s="12"/>
      <c r="Y4064" s="12"/>
      <c r="Z4064" s="12"/>
      <c r="AA4064" s="12"/>
    </row>
    <row r="4065" ht="26.25" customHeight="1">
      <c r="A4065" s="28" t="s">
        <v>8140</v>
      </c>
      <c r="B4065" s="29" t="s">
        <v>8141</v>
      </c>
      <c r="C4065" s="30">
        <v>4.0</v>
      </c>
      <c r="D4065" s="31">
        <v>357.0</v>
      </c>
      <c r="E4065" s="31">
        <v>7.0</v>
      </c>
      <c r="F4065" s="32" t="str">
        <f t="array" ref="F4065">"https://www.google.com/maps/search/?api=1&amp;query=" &amp; A4065 &amp; "," &amp; B4065</f>
        <v>https://www.google.com/maps/search/?api=1&amp;query=-3.08976159926261,-55.55857332856370</v>
      </c>
      <c r="G4065" s="33" t="str">
        <f t="array" ref="G4065">"https://earth.google.com/web/search/" &amp; A4065 &amp; "," &amp; B4065</f>
        <v>https://earth.google.com/web/search/-3.08976159926261,-55.55857332856370</v>
      </c>
      <c r="H4065" s="12"/>
      <c r="I4065" s="12"/>
      <c r="J4065" s="12"/>
      <c r="K4065" s="12"/>
      <c r="L4065" s="12"/>
      <c r="M4065" s="12"/>
      <c r="N4065" s="12"/>
      <c r="O4065" s="12"/>
      <c r="P4065" s="12"/>
      <c r="Q4065" s="12"/>
      <c r="R4065" s="12"/>
      <c r="S4065" s="12"/>
      <c r="T4065" s="12"/>
      <c r="U4065" s="12"/>
      <c r="V4065" s="12"/>
      <c r="W4065" s="12"/>
      <c r="X4065" s="12"/>
      <c r="Y4065" s="12"/>
      <c r="Z4065" s="12"/>
      <c r="AA4065" s="12"/>
    </row>
    <row r="4066" ht="26.25" customHeight="1">
      <c r="A4066" s="34" t="s">
        <v>8142</v>
      </c>
      <c r="B4066" s="35" t="s">
        <v>8143</v>
      </c>
      <c r="C4066" s="36">
        <v>4.0</v>
      </c>
      <c r="D4066" s="37">
        <v>357.0</v>
      </c>
      <c r="E4066" s="37">
        <v>8.0</v>
      </c>
      <c r="F4066" s="24" t="str">
        <f t="array" ref="F4066">"https://www.google.com/maps/search/?api=1&amp;query=" &amp; A4066 &amp; "," &amp; B4066</f>
        <v>https://www.google.com/maps/search/?api=1&amp;query=-30.89751823933650,-55.55873784967350</v>
      </c>
      <c r="G4066" s="25" t="str">
        <f t="array" ref="G4066">"https://earth.google.com/web/search/" &amp; A4066 &amp; "," &amp; B4066</f>
        <v>https://earth.google.com/web/search/-30.89751823933650,-55.55873784967350</v>
      </c>
      <c r="H4066" s="12"/>
      <c r="I4066" s="12"/>
      <c r="J4066" s="12"/>
      <c r="K4066" s="12"/>
      <c r="L4066" s="12"/>
      <c r="M4066" s="12"/>
      <c r="N4066" s="12"/>
      <c r="O4066" s="12"/>
      <c r="P4066" s="12"/>
      <c r="Q4066" s="12"/>
      <c r="R4066" s="12"/>
      <c r="S4066" s="12"/>
      <c r="T4066" s="12"/>
      <c r="U4066" s="12"/>
      <c r="V4066" s="12"/>
      <c r="W4066" s="12"/>
      <c r="X4066" s="12"/>
      <c r="Y4066" s="12"/>
      <c r="Z4066" s="12"/>
      <c r="AA4066" s="12"/>
    </row>
    <row r="4067" ht="26.25" customHeight="1">
      <c r="A4067" s="28" t="s">
        <v>8144</v>
      </c>
      <c r="B4067" s="29" t="s">
        <v>8145</v>
      </c>
      <c r="C4067" s="30">
        <v>4.0</v>
      </c>
      <c r="D4067" s="31">
        <v>357.0</v>
      </c>
      <c r="E4067" s="31">
        <v>9.0</v>
      </c>
      <c r="F4067" s="32" t="str">
        <f t="array" ref="F4067">"https://www.google.com/maps/search/?api=1&amp;query=" &amp; A4067 &amp; "," &amp; B4067</f>
        <v>https://www.google.com/maps/search/?api=1&amp;query=-0.30897449843604,-55.55893107517930</v>
      </c>
      <c r="G4067" s="33" t="str">
        <f t="array" ref="G4067">"https://earth.google.com/web/search/" &amp; A4067 &amp; "," &amp; B4067</f>
        <v>https://earth.google.com/web/search/-0.30897449843604,-55.55893107517930</v>
      </c>
      <c r="H4067" s="12"/>
      <c r="I4067" s="12"/>
      <c r="J4067" s="12"/>
      <c r="K4067" s="12"/>
      <c r="L4067" s="12"/>
      <c r="M4067" s="12"/>
      <c r="N4067" s="12"/>
      <c r="O4067" s="12"/>
      <c r="P4067" s="12"/>
      <c r="Q4067" s="12"/>
      <c r="R4067" s="12"/>
      <c r="S4067" s="12"/>
      <c r="T4067" s="12"/>
      <c r="U4067" s="12"/>
      <c r="V4067" s="12"/>
      <c r="W4067" s="12"/>
      <c r="X4067" s="12"/>
      <c r="Y4067" s="12"/>
      <c r="Z4067" s="12"/>
      <c r="AA4067" s="12"/>
    </row>
    <row r="4068" ht="26.25" customHeight="1">
      <c r="A4068" s="34" t="s">
        <v>8146</v>
      </c>
      <c r="B4068" s="35" t="s">
        <v>8147</v>
      </c>
      <c r="C4068" s="36">
        <v>4.0</v>
      </c>
      <c r="D4068" s="37">
        <v>357.0</v>
      </c>
      <c r="E4068" s="37">
        <v>10.0</v>
      </c>
      <c r="F4068" s="24" t="str">
        <f t="array" ref="F4068">"https://www.google.com/maps/search/?api=1&amp;query=" &amp; A4068 &amp; "," &amp; B4068</f>
        <v>https://www.google.com/maps/search/?api=1&amp;query=-30.89735811642780,-55.55911182356620</v>
      </c>
      <c r="G4068" s="25" t="str">
        <f t="array" ref="G4068">"https://earth.google.com/web/search/" &amp; A4068 &amp; "," &amp; B4068</f>
        <v>https://earth.google.com/web/search/-30.89735811642780,-55.55911182356620</v>
      </c>
      <c r="H4068" s="12"/>
      <c r="I4068" s="12"/>
      <c r="J4068" s="12"/>
      <c r="K4068" s="12"/>
      <c r="L4068" s="12"/>
      <c r="M4068" s="12"/>
      <c r="N4068" s="12"/>
      <c r="O4068" s="12"/>
      <c r="P4068" s="12"/>
      <c r="Q4068" s="12"/>
      <c r="R4068" s="12"/>
      <c r="S4068" s="12"/>
      <c r="T4068" s="12"/>
      <c r="U4068" s="12"/>
      <c r="V4068" s="12"/>
      <c r="W4068" s="12"/>
      <c r="X4068" s="12"/>
      <c r="Y4068" s="12"/>
      <c r="Z4068" s="12"/>
      <c r="AA4068" s="12"/>
    </row>
    <row r="4069" ht="26.25" customHeight="1">
      <c r="A4069" s="28" t="s">
        <v>8148</v>
      </c>
      <c r="B4069" s="29" t="s">
        <v>8149</v>
      </c>
      <c r="C4069" s="30">
        <v>4.0</v>
      </c>
      <c r="D4069" s="31">
        <v>357.0</v>
      </c>
      <c r="E4069" s="31">
        <v>11.0</v>
      </c>
      <c r="F4069" s="32" t="str">
        <f t="array" ref="F4069">"https://www.google.com/maps/search/?api=1&amp;query=" &amp; A4069 &amp; "," &amp; B4069</f>
        <v>https://www.google.com/maps/search/?api=1&amp;query=-30.89731620584960,-55.55924895370420</v>
      </c>
      <c r="G4069" s="33" t="str">
        <f t="array" ref="G4069">"https://earth.google.com/web/search/" &amp; A4069 &amp; "," &amp; B4069</f>
        <v>https://earth.google.com/web/search/-30.89731620584960,-55.55924895370420</v>
      </c>
      <c r="H4069" s="12"/>
      <c r="I4069" s="12"/>
      <c r="J4069" s="12"/>
      <c r="K4069" s="12"/>
      <c r="L4069" s="12"/>
      <c r="M4069" s="12"/>
      <c r="N4069" s="12"/>
      <c r="O4069" s="12"/>
      <c r="P4069" s="12"/>
      <c r="Q4069" s="12"/>
      <c r="R4069" s="12"/>
      <c r="S4069" s="12"/>
      <c r="T4069" s="12"/>
      <c r="U4069" s="12"/>
      <c r="V4069" s="12"/>
      <c r="W4069" s="12"/>
      <c r="X4069" s="12"/>
      <c r="Y4069" s="12"/>
      <c r="Z4069" s="12"/>
      <c r="AA4069" s="12"/>
    </row>
    <row r="4070" ht="26.25" customHeight="1">
      <c r="A4070" s="34" t="s">
        <v>8150</v>
      </c>
      <c r="B4070" s="35" t="s">
        <v>8151</v>
      </c>
      <c r="C4070" s="36">
        <v>4.0</v>
      </c>
      <c r="D4070" s="37">
        <v>357.0</v>
      </c>
      <c r="E4070" s="37">
        <v>12.0</v>
      </c>
      <c r="F4070" s="24" t="str">
        <f t="array" ref="F4070">"https://www.google.com/maps/search/?api=1&amp;query=" &amp; A4070 &amp; "," &amp; B4070</f>
        <v>https://www.google.com/maps/search/?api=1&amp;query=-30.89740117468370,-55.55930820980250</v>
      </c>
      <c r="G4070" s="25" t="str">
        <f t="array" ref="G4070">"https://earth.google.com/web/search/" &amp; A4070 &amp; "," &amp; B4070</f>
        <v>https://earth.google.com/web/search/-30.89740117468370,-55.55930820980250</v>
      </c>
      <c r="H4070" s="12"/>
      <c r="I4070" s="12"/>
      <c r="J4070" s="12"/>
      <c r="K4070" s="12"/>
      <c r="L4070" s="12"/>
      <c r="M4070" s="12"/>
      <c r="N4070" s="12"/>
      <c r="O4070" s="12"/>
      <c r="P4070" s="12"/>
      <c r="Q4070" s="12"/>
      <c r="R4070" s="12"/>
      <c r="S4070" s="12"/>
      <c r="T4070" s="12"/>
      <c r="U4070" s="12"/>
      <c r="V4070" s="12"/>
      <c r="W4070" s="12"/>
      <c r="X4070" s="12"/>
      <c r="Y4070" s="12"/>
      <c r="Z4070" s="12"/>
      <c r="AA4070" s="12"/>
    </row>
    <row r="4071" ht="26.25" customHeight="1">
      <c r="A4071" s="28" t="s">
        <v>8152</v>
      </c>
      <c r="B4071" s="29" t="s">
        <v>8153</v>
      </c>
      <c r="C4071" s="30">
        <v>4.0</v>
      </c>
      <c r="D4071" s="31">
        <v>357.0</v>
      </c>
      <c r="E4071" s="31">
        <v>13.0</v>
      </c>
      <c r="F4071" s="32" t="str">
        <f t="array" ref="F4071">"https://www.google.com/maps/search/?api=1&amp;query=" &amp; A4071 &amp; "," &amp; B4071</f>
        <v>https://www.google.com/maps/search/?api=1&amp;query=-30.89776592886920,-55.55961068231050</v>
      </c>
      <c r="G4071" s="33" t="str">
        <f t="array" ref="G4071">"https://earth.google.com/web/search/" &amp; A4071 &amp; "," &amp; B4071</f>
        <v>https://earth.google.com/web/search/-30.89776592886920,-55.55961068231050</v>
      </c>
      <c r="H4071" s="12"/>
      <c r="I4071" s="12"/>
      <c r="J4071" s="12"/>
      <c r="K4071" s="12"/>
      <c r="L4071" s="12"/>
      <c r="M4071" s="12"/>
      <c r="N4071" s="12"/>
      <c r="O4071" s="12"/>
      <c r="P4071" s="12"/>
      <c r="Q4071" s="12"/>
      <c r="R4071" s="12"/>
      <c r="S4071" s="12"/>
      <c r="T4071" s="12"/>
      <c r="U4071" s="12"/>
      <c r="V4071" s="12"/>
      <c r="W4071" s="12"/>
      <c r="X4071" s="12"/>
      <c r="Y4071" s="12"/>
      <c r="Z4071" s="12"/>
      <c r="AA4071" s="12"/>
    </row>
    <row r="4072" ht="26.25" customHeight="1">
      <c r="A4072" s="34" t="s">
        <v>8154</v>
      </c>
      <c r="B4072" s="35" t="s">
        <v>8155</v>
      </c>
      <c r="C4072" s="36">
        <v>4.0</v>
      </c>
      <c r="D4072" s="37">
        <v>358.0</v>
      </c>
      <c r="E4072" s="37">
        <v>1.0</v>
      </c>
      <c r="F4072" s="24" t="str">
        <f t="array" ref="F4072">"https://www.google.com/maps/search/?api=1&amp;query=" &amp; A4072 &amp; "," &amp; B4072</f>
        <v>https://www.google.com/maps/search/?api=1&amp;query=-30.89848542338250,-55.55876615539080</v>
      </c>
      <c r="G4072" s="25" t="str">
        <f t="array" ref="G4072">"https://earth.google.com/web/search/" &amp; A4072 &amp; "," &amp; B4072</f>
        <v>https://earth.google.com/web/search/-30.89848542338250,-55.55876615539080</v>
      </c>
      <c r="H4072" s="12"/>
      <c r="I4072" s="12"/>
      <c r="J4072" s="12"/>
      <c r="K4072" s="12"/>
      <c r="L4072" s="12"/>
      <c r="M4072" s="12"/>
      <c r="N4072" s="12"/>
      <c r="O4072" s="12"/>
      <c r="P4072" s="12"/>
      <c r="Q4072" s="12"/>
      <c r="R4072" s="12"/>
      <c r="S4072" s="12"/>
      <c r="T4072" s="12"/>
      <c r="U4072" s="12"/>
      <c r="V4072" s="12"/>
      <c r="W4072" s="12"/>
      <c r="X4072" s="12"/>
      <c r="Y4072" s="12"/>
      <c r="Z4072" s="12"/>
      <c r="AA4072" s="12"/>
    </row>
    <row r="4073" ht="26.25" customHeight="1">
      <c r="A4073" s="28" t="s">
        <v>8156</v>
      </c>
      <c r="B4073" s="29" t="s">
        <v>8157</v>
      </c>
      <c r="C4073" s="30">
        <v>4.0</v>
      </c>
      <c r="D4073" s="31">
        <v>358.0</v>
      </c>
      <c r="E4073" s="31">
        <v>2.0</v>
      </c>
      <c r="F4073" s="32" t="str">
        <f t="array" ref="F4073">"https://www.google.com/maps/search/?api=1&amp;query=" &amp; A4073 &amp; "," &amp; B4073</f>
        <v>https://www.google.com/maps/search/?api=1&amp;query=-30.89862305577820,-55.55849038231930</v>
      </c>
      <c r="G4073" s="33" t="str">
        <f t="array" ref="G4073">"https://earth.google.com/web/search/" &amp; A4073 &amp; "," &amp; B4073</f>
        <v>https://earth.google.com/web/search/-30.89862305577820,-55.55849038231930</v>
      </c>
      <c r="H4073" s="12"/>
      <c r="I4073" s="12"/>
      <c r="J4073" s="12"/>
      <c r="K4073" s="12"/>
      <c r="L4073" s="12"/>
      <c r="M4073" s="12"/>
      <c r="N4073" s="12"/>
      <c r="O4073" s="12"/>
      <c r="P4073" s="12"/>
      <c r="Q4073" s="12"/>
      <c r="R4073" s="12"/>
      <c r="S4073" s="12"/>
      <c r="T4073" s="12"/>
      <c r="U4073" s="12"/>
      <c r="V4073" s="12"/>
      <c r="W4073" s="12"/>
      <c r="X4073" s="12"/>
      <c r="Y4073" s="12"/>
      <c r="Z4073" s="12"/>
      <c r="AA4073" s="12"/>
    </row>
    <row r="4074" ht="26.25" customHeight="1">
      <c r="A4074" s="34" t="s">
        <v>8158</v>
      </c>
      <c r="B4074" s="35" t="s">
        <v>8159</v>
      </c>
      <c r="C4074" s="36">
        <v>4.0</v>
      </c>
      <c r="D4074" s="37">
        <v>358.0</v>
      </c>
      <c r="E4074" s="37">
        <v>3.0</v>
      </c>
      <c r="F4074" s="24" t="str">
        <f t="array" ref="F4074">"https://www.google.com/maps/search/?api=1&amp;query=" &amp; A4074 &amp; "," &amp; B4074</f>
        <v>https://www.google.com/maps/search/?api=1&amp;query=-30.89870786091020,-55.55833716944660</v>
      </c>
      <c r="G4074" s="25" t="str">
        <f t="array" ref="G4074">"https://earth.google.com/web/search/" &amp; A4074 &amp; "," &amp; B4074</f>
        <v>https://earth.google.com/web/search/-30.89870786091020,-55.55833716944660</v>
      </c>
      <c r="H4074" s="12"/>
      <c r="I4074" s="12"/>
      <c r="J4074" s="12"/>
      <c r="K4074" s="12"/>
      <c r="L4074" s="12"/>
      <c r="M4074" s="12"/>
      <c r="N4074" s="12"/>
      <c r="O4074" s="12"/>
      <c r="P4074" s="12"/>
      <c r="Q4074" s="12"/>
      <c r="R4074" s="12"/>
      <c r="S4074" s="12"/>
      <c r="T4074" s="12"/>
      <c r="U4074" s="12"/>
      <c r="V4074" s="12"/>
      <c r="W4074" s="12"/>
      <c r="X4074" s="12"/>
      <c r="Y4074" s="12"/>
      <c r="Z4074" s="12"/>
      <c r="AA4074" s="12"/>
    </row>
    <row r="4075" ht="26.25" customHeight="1">
      <c r="A4075" s="28" t="s">
        <v>8160</v>
      </c>
      <c r="B4075" s="29" t="s">
        <v>8161</v>
      </c>
      <c r="C4075" s="30">
        <v>4.0</v>
      </c>
      <c r="D4075" s="31">
        <v>358.0</v>
      </c>
      <c r="E4075" s="31">
        <v>4.0</v>
      </c>
      <c r="F4075" s="32" t="str">
        <f t="array" ref="F4075">"https://www.google.com/maps/search/?api=1&amp;query=" &amp; A4075 &amp; "," &amp; B4075</f>
        <v>https://www.google.com/maps/search/?api=1&amp;query=-30.89888202315240,-55.55805296769320</v>
      </c>
      <c r="G4075" s="33" t="str">
        <f t="array" ref="G4075">"https://earth.google.com/web/search/" &amp; A4075 &amp; "," &amp; B4075</f>
        <v>https://earth.google.com/web/search/-30.89888202315240,-55.55805296769320</v>
      </c>
      <c r="H4075" s="12"/>
      <c r="I4075" s="12"/>
      <c r="J4075" s="12"/>
      <c r="K4075" s="12"/>
      <c r="L4075" s="12"/>
      <c r="M4075" s="12"/>
      <c r="N4075" s="12"/>
      <c r="O4075" s="12"/>
      <c r="P4075" s="12"/>
      <c r="Q4075" s="12"/>
      <c r="R4075" s="12"/>
      <c r="S4075" s="12"/>
      <c r="T4075" s="12"/>
      <c r="U4075" s="12"/>
      <c r="V4075" s="12"/>
      <c r="W4075" s="12"/>
      <c r="X4075" s="12"/>
      <c r="Y4075" s="12"/>
      <c r="Z4075" s="12"/>
      <c r="AA4075" s="12"/>
    </row>
    <row r="4076" ht="26.25" customHeight="1">
      <c r="A4076" s="34" t="s">
        <v>8162</v>
      </c>
      <c r="B4076" s="35" t="s">
        <v>8163</v>
      </c>
      <c r="C4076" s="36">
        <v>4.0</v>
      </c>
      <c r="D4076" s="37">
        <v>358.0</v>
      </c>
      <c r="E4076" s="37">
        <v>5.0</v>
      </c>
      <c r="F4076" s="24" t="str">
        <f t="array" ref="F4076">"https://www.google.com/maps/search/?api=1&amp;query=" &amp; A4076 &amp; "," &amp; B4076</f>
        <v>https://www.google.com/maps/search/?api=1&amp;query=-30.89881116594130,-55.55795164838930</v>
      </c>
      <c r="G4076" s="25" t="str">
        <f t="array" ref="G4076">"https://earth.google.com/web/search/" &amp; A4076 &amp; "," &amp; B4076</f>
        <v>https://earth.google.com/web/search/-30.89881116594130,-55.55795164838930</v>
      </c>
      <c r="H4076" s="12"/>
      <c r="I4076" s="12"/>
      <c r="J4076" s="12"/>
      <c r="K4076" s="12"/>
      <c r="L4076" s="12"/>
      <c r="M4076" s="12"/>
      <c r="N4076" s="12"/>
      <c r="O4076" s="12"/>
      <c r="P4076" s="12"/>
      <c r="Q4076" s="12"/>
      <c r="R4076" s="12"/>
      <c r="S4076" s="12"/>
      <c r="T4076" s="12"/>
      <c r="U4076" s="12"/>
      <c r="V4076" s="12"/>
      <c r="W4076" s="12"/>
      <c r="X4076" s="12"/>
      <c r="Y4076" s="12"/>
      <c r="Z4076" s="12"/>
      <c r="AA4076" s="12"/>
    </row>
    <row r="4077" ht="26.25" customHeight="1">
      <c r="A4077" s="28" t="s">
        <v>8164</v>
      </c>
      <c r="B4077" s="29" t="s">
        <v>8165</v>
      </c>
      <c r="C4077" s="30">
        <v>4.0</v>
      </c>
      <c r="D4077" s="31">
        <v>358.0</v>
      </c>
      <c r="E4077" s="31">
        <v>6.0</v>
      </c>
      <c r="F4077" s="32" t="str">
        <f t="array" ref="F4077">"https://www.google.com/maps/search/?api=1&amp;query=" &amp; A4077 &amp; "," &amp; B4077</f>
        <v>https://www.google.com/maps/search/?api=1&amp;query=-30.89845179549980,-55.55770277551740</v>
      </c>
      <c r="G4077" s="33" t="str">
        <f t="array" ref="G4077">"https://earth.google.com/web/search/" &amp; A4077 &amp; "," &amp; B4077</f>
        <v>https://earth.google.com/web/search/-30.89845179549980,-55.55770277551740</v>
      </c>
      <c r="H4077" s="12"/>
      <c r="I4077" s="12"/>
      <c r="J4077" s="12"/>
      <c r="K4077" s="12"/>
      <c r="L4077" s="12"/>
      <c r="M4077" s="12"/>
      <c r="N4077" s="12"/>
      <c r="O4077" s="12"/>
      <c r="P4077" s="12"/>
      <c r="Q4077" s="12"/>
      <c r="R4077" s="12"/>
      <c r="S4077" s="12"/>
      <c r="T4077" s="12"/>
      <c r="U4077" s="12"/>
      <c r="V4077" s="12"/>
      <c r="W4077" s="12"/>
      <c r="X4077" s="12"/>
      <c r="Y4077" s="12"/>
      <c r="Z4077" s="12"/>
      <c r="AA4077" s="12"/>
    </row>
    <row r="4078" ht="26.25" customHeight="1">
      <c r="A4078" s="34" t="s">
        <v>8166</v>
      </c>
      <c r="B4078" s="35" t="s">
        <v>8167</v>
      </c>
      <c r="C4078" s="36">
        <v>4.0</v>
      </c>
      <c r="D4078" s="37">
        <v>358.0</v>
      </c>
      <c r="E4078" s="37">
        <v>7.0</v>
      </c>
      <c r="F4078" s="24" t="str">
        <f t="array" ref="F4078">"https://www.google.com/maps/search/?api=1&amp;query=" &amp; A4078 &amp; "," &amp; B4078</f>
        <v>https://www.google.com/maps/search/?api=1&amp;query=-30.89830300289280,-55.55758629766310</v>
      </c>
      <c r="G4078" s="25" t="str">
        <f t="array" ref="G4078">"https://earth.google.com/web/search/" &amp; A4078 &amp; "," &amp; B4078</f>
        <v>https://earth.google.com/web/search/-30.89830300289280,-55.55758629766310</v>
      </c>
      <c r="H4078" s="12"/>
      <c r="I4078" s="12"/>
      <c r="J4078" s="12"/>
      <c r="K4078" s="12"/>
      <c r="L4078" s="12"/>
      <c r="M4078" s="12"/>
      <c r="N4078" s="12"/>
      <c r="O4078" s="12"/>
      <c r="P4078" s="12"/>
      <c r="Q4078" s="12"/>
      <c r="R4078" s="12"/>
      <c r="S4078" s="12"/>
      <c r="T4078" s="12"/>
      <c r="U4078" s="12"/>
      <c r="V4078" s="12"/>
      <c r="W4078" s="12"/>
      <c r="X4078" s="12"/>
      <c r="Y4078" s="12"/>
      <c r="Z4078" s="12"/>
      <c r="AA4078" s="12"/>
    </row>
    <row r="4079" ht="26.25" customHeight="1">
      <c r="A4079" s="28" t="s">
        <v>8168</v>
      </c>
      <c r="B4079" s="29" t="s">
        <v>8169</v>
      </c>
      <c r="C4079" s="30">
        <v>4.0</v>
      </c>
      <c r="D4079" s="31">
        <v>358.0</v>
      </c>
      <c r="E4079" s="31">
        <v>8.0</v>
      </c>
      <c r="F4079" s="32" t="str">
        <f t="array" ref="F4079">"https://www.google.com/maps/search/?api=1&amp;query=" &amp; A4079 &amp; "," &amp; B4079</f>
        <v>https://www.google.com/maps/search/?api=1&amp;query=-30.89794566677450,-55.55801260691430</v>
      </c>
      <c r="G4079" s="33" t="str">
        <f t="array" ref="G4079">"https://earth.google.com/web/search/" &amp; A4079 &amp; "," &amp; B4079</f>
        <v>https://earth.google.com/web/search/-30.89794566677450,-55.55801260691430</v>
      </c>
      <c r="H4079" s="12"/>
      <c r="I4079" s="12"/>
      <c r="J4079" s="12"/>
      <c r="K4079" s="12"/>
      <c r="L4079" s="12"/>
      <c r="M4079" s="12"/>
      <c r="N4079" s="12"/>
      <c r="O4079" s="12"/>
      <c r="P4079" s="12"/>
      <c r="Q4079" s="12"/>
      <c r="R4079" s="12"/>
      <c r="S4079" s="12"/>
      <c r="T4079" s="12"/>
      <c r="U4079" s="12"/>
      <c r="V4079" s="12"/>
      <c r="W4079" s="12"/>
      <c r="X4079" s="12"/>
      <c r="Y4079" s="12"/>
      <c r="Z4079" s="12"/>
      <c r="AA4079" s="12"/>
    </row>
    <row r="4080" ht="26.25" customHeight="1">
      <c r="A4080" s="34" t="s">
        <v>8170</v>
      </c>
      <c r="B4080" s="35" t="s">
        <v>8171</v>
      </c>
      <c r="C4080" s="36">
        <v>4.0</v>
      </c>
      <c r="D4080" s="37">
        <v>358.0</v>
      </c>
      <c r="E4080" s="37">
        <v>9.0</v>
      </c>
      <c r="F4080" s="24" t="str">
        <f t="array" ref="F4080">"https://www.google.com/maps/search/?api=1&amp;query=" &amp; A4080 &amp; "," &amp; B4080</f>
        <v>https://www.google.com/maps/search/?api=1&amp;query=-30.89792010249290,-55.55845591921940</v>
      </c>
      <c r="G4080" s="25" t="str">
        <f t="array" ref="G4080">"https://earth.google.com/web/search/" &amp; A4080 &amp; "," &amp; B4080</f>
        <v>https://earth.google.com/web/search/-30.89792010249290,-55.55845591921940</v>
      </c>
      <c r="H4080" s="12"/>
      <c r="I4080" s="12"/>
      <c r="J4080" s="12"/>
      <c r="K4080" s="12"/>
      <c r="L4080" s="12"/>
      <c r="M4080" s="12"/>
      <c r="N4080" s="12"/>
      <c r="O4080" s="12"/>
      <c r="P4080" s="12"/>
      <c r="Q4080" s="12"/>
      <c r="R4080" s="12"/>
      <c r="S4080" s="12"/>
      <c r="T4080" s="12"/>
      <c r="U4080" s="12"/>
      <c r="V4080" s="12"/>
      <c r="W4080" s="12"/>
      <c r="X4080" s="12"/>
      <c r="Y4080" s="12"/>
      <c r="Z4080" s="12"/>
      <c r="AA4080" s="12"/>
    </row>
    <row r="4081" ht="26.25" customHeight="1">
      <c r="A4081" s="28" t="s">
        <v>8172</v>
      </c>
      <c r="B4081" s="29" t="s">
        <v>8173</v>
      </c>
      <c r="C4081" s="30">
        <v>4.0</v>
      </c>
      <c r="D4081" s="31">
        <v>358.0</v>
      </c>
      <c r="E4081" s="31">
        <v>10.0</v>
      </c>
      <c r="F4081" s="32" t="str">
        <f t="array" ref="F4081">"https://www.google.com/maps/search/?api=1&amp;query=" &amp; A4081 &amp; "," &amp; B4081</f>
        <v>https://www.google.com/maps/search/?api=1&amp;query=-30.89807714992910,-55.55855072403580</v>
      </c>
      <c r="G4081" s="33" t="str">
        <f t="array" ref="G4081">"https://earth.google.com/web/search/" &amp; A4081 &amp; "," &amp; B4081</f>
        <v>https://earth.google.com/web/search/-30.89807714992910,-55.55855072403580</v>
      </c>
      <c r="H4081" s="12"/>
      <c r="I4081" s="12"/>
      <c r="J4081" s="12"/>
      <c r="K4081" s="12"/>
      <c r="L4081" s="12"/>
      <c r="M4081" s="12"/>
      <c r="N4081" s="12"/>
      <c r="O4081" s="12"/>
      <c r="P4081" s="12"/>
      <c r="Q4081" s="12"/>
      <c r="R4081" s="12"/>
      <c r="S4081" s="12"/>
      <c r="T4081" s="12"/>
      <c r="U4081" s="12"/>
      <c r="V4081" s="12"/>
      <c r="W4081" s="12"/>
      <c r="X4081" s="12"/>
      <c r="Y4081" s="12"/>
      <c r="Z4081" s="12"/>
      <c r="AA4081" s="12"/>
    </row>
    <row r="4082" ht="26.25" customHeight="1">
      <c r="A4082" s="34" t="s">
        <v>8174</v>
      </c>
      <c r="B4082" s="35" t="s">
        <v>8175</v>
      </c>
      <c r="C4082" s="36">
        <v>4.0</v>
      </c>
      <c r="D4082" s="37">
        <v>358.0</v>
      </c>
      <c r="E4082" s="37">
        <v>11.0</v>
      </c>
      <c r="F4082" s="24" t="str">
        <f t="array" ref="F4082">"https://www.google.com/maps/search/?api=1&amp;query=" &amp; A4082 &amp; "," &amp; B4082</f>
        <v>https://www.google.com/maps/search/?api=1&amp;query=-30.89825153408120,-55.55866251291160</v>
      </c>
      <c r="G4082" s="25" t="str">
        <f t="array" ref="G4082">"https://earth.google.com/web/search/" &amp; A4082 &amp; "," &amp; B4082</f>
        <v>https://earth.google.com/web/search/-30.89825153408120,-55.55866251291160</v>
      </c>
      <c r="H4082" s="12"/>
      <c r="I4082" s="12"/>
      <c r="J4082" s="12"/>
      <c r="K4082" s="12"/>
      <c r="L4082" s="12"/>
      <c r="M4082" s="12"/>
      <c r="N4082" s="12"/>
      <c r="O4082" s="12"/>
      <c r="P4082" s="12"/>
      <c r="Q4082" s="12"/>
      <c r="R4082" s="12"/>
      <c r="S4082" s="12"/>
      <c r="T4082" s="12"/>
      <c r="U4082" s="12"/>
      <c r="V4082" s="12"/>
      <c r="W4082" s="12"/>
      <c r="X4082" s="12"/>
      <c r="Y4082" s="12"/>
      <c r="Z4082" s="12"/>
      <c r="AA4082" s="12"/>
    </row>
    <row r="4083" ht="26.25" customHeight="1">
      <c r="A4083" s="28" t="s">
        <v>8176</v>
      </c>
      <c r="B4083" s="29" t="s">
        <v>8177</v>
      </c>
      <c r="C4083" s="30">
        <v>4.0</v>
      </c>
      <c r="D4083" s="31">
        <v>359.0</v>
      </c>
      <c r="E4083" s="31">
        <v>1.0</v>
      </c>
      <c r="F4083" s="32" t="str">
        <f t="array" ref="F4083">"https://www.google.com/maps/search/?api=1&amp;query=" &amp; A4083 &amp; "," &amp; B4083</f>
        <v>https://www.google.com/maps/search/?api=1&amp;query=-30.89896060880240,-55.55784476560120</v>
      </c>
      <c r="G4083" s="33" t="str">
        <f t="array" ref="G4083">"https://earth.google.com/web/search/" &amp; A4083 &amp; "," &amp; B4083</f>
        <v>https://earth.google.com/web/search/-30.89896060880240,-55.55784476560120</v>
      </c>
      <c r="H4083" s="12"/>
      <c r="I4083" s="12"/>
      <c r="J4083" s="12"/>
      <c r="K4083" s="12"/>
      <c r="L4083" s="12"/>
      <c r="M4083" s="12"/>
      <c r="N4083" s="12"/>
      <c r="O4083" s="12"/>
      <c r="P4083" s="12"/>
      <c r="Q4083" s="12"/>
      <c r="R4083" s="12"/>
      <c r="S4083" s="12"/>
      <c r="T4083" s="12"/>
      <c r="U4083" s="12"/>
      <c r="V4083" s="12"/>
      <c r="W4083" s="12"/>
      <c r="X4083" s="12"/>
      <c r="Y4083" s="12"/>
      <c r="Z4083" s="12"/>
      <c r="AA4083" s="12"/>
    </row>
    <row r="4084" ht="26.25" customHeight="1">
      <c r="A4084" s="34" t="s">
        <v>8178</v>
      </c>
      <c r="B4084" s="35" t="s">
        <v>8179</v>
      </c>
      <c r="C4084" s="36">
        <v>4.0</v>
      </c>
      <c r="D4084" s="37">
        <v>359.0</v>
      </c>
      <c r="E4084" s="37">
        <v>2.0</v>
      </c>
      <c r="F4084" s="24" t="str">
        <f t="array" ref="F4084">"https://www.google.com/maps/search/?api=1&amp;query=" &amp; A4084 &amp; "," &amp; B4084</f>
        <v>https://www.google.com/maps/search/?api=1&amp;query=-3.08990338059469,-55.55773979274680</v>
      </c>
      <c r="G4084" s="25" t="str">
        <f t="array" ref="G4084">"https://earth.google.com/web/search/" &amp; A4084 &amp; "," &amp; B4084</f>
        <v>https://earth.google.com/web/search/-3.08990338059469,-55.55773979274680</v>
      </c>
      <c r="H4084" s="12"/>
      <c r="I4084" s="12"/>
      <c r="J4084" s="12"/>
      <c r="K4084" s="12"/>
      <c r="L4084" s="12"/>
      <c r="M4084" s="12"/>
      <c r="N4084" s="12"/>
      <c r="O4084" s="12"/>
      <c r="P4084" s="12"/>
      <c r="Q4084" s="12"/>
      <c r="R4084" s="12"/>
      <c r="S4084" s="12"/>
      <c r="T4084" s="12"/>
      <c r="U4084" s="12"/>
      <c r="V4084" s="12"/>
      <c r="W4084" s="12"/>
      <c r="X4084" s="12"/>
      <c r="Y4084" s="12"/>
      <c r="Z4084" s="12"/>
      <c r="AA4084" s="12"/>
    </row>
    <row r="4085" ht="26.25" customHeight="1">
      <c r="A4085" s="28" t="s">
        <v>8180</v>
      </c>
      <c r="B4085" s="29" t="s">
        <v>8181</v>
      </c>
      <c r="C4085" s="30">
        <v>4.0</v>
      </c>
      <c r="D4085" s="31">
        <v>359.0</v>
      </c>
      <c r="E4085" s="31">
        <v>3.0</v>
      </c>
      <c r="F4085" s="32" t="str">
        <f t="array" ref="F4085">"https://www.google.com/maps/search/?api=1&amp;query=" &amp; A4085 &amp; "," &amp; B4085</f>
        <v>https://www.google.com/maps/search/?api=1&amp;query=-30.89933498471370,-5.55571847795241</v>
      </c>
      <c r="G4085" s="33" t="str">
        <f t="array" ref="G4085">"https://earth.google.com/web/search/" &amp; A4085 &amp; "," &amp; B4085</f>
        <v>https://earth.google.com/web/search/-30.89933498471370,-5.55571847795241</v>
      </c>
      <c r="H4085" s="12"/>
      <c r="I4085" s="12"/>
      <c r="J4085" s="12"/>
      <c r="K4085" s="12"/>
      <c r="L4085" s="12"/>
      <c r="M4085" s="12"/>
      <c r="N4085" s="12"/>
      <c r="O4085" s="12"/>
      <c r="P4085" s="12"/>
      <c r="Q4085" s="12"/>
      <c r="R4085" s="12"/>
      <c r="S4085" s="12"/>
      <c r="T4085" s="12"/>
      <c r="U4085" s="12"/>
      <c r="V4085" s="12"/>
      <c r="W4085" s="12"/>
      <c r="X4085" s="12"/>
      <c r="Y4085" s="12"/>
      <c r="Z4085" s="12"/>
      <c r="AA4085" s="12"/>
    </row>
    <row r="4086" ht="26.25" customHeight="1">
      <c r="A4086" s="34" t="s">
        <v>8182</v>
      </c>
      <c r="B4086" s="35" t="s">
        <v>8183</v>
      </c>
      <c r="C4086" s="36">
        <v>4.0</v>
      </c>
      <c r="D4086" s="37">
        <v>359.0</v>
      </c>
      <c r="E4086" s="37">
        <v>4.0</v>
      </c>
      <c r="F4086" s="24" t="str">
        <f t="array" ref="F4086">"https://www.google.com/maps/search/?api=1&amp;query=" &amp; A4086 &amp; "," &amp; B4086</f>
        <v>https://www.google.com/maps/search/?api=1&amp;query=-30.89855076895870,-55.55690841930020</v>
      </c>
      <c r="G4086" s="25" t="str">
        <f t="array" ref="G4086">"https://earth.google.com/web/search/" &amp; A4086 &amp; "," &amp; B4086</f>
        <v>https://earth.google.com/web/search/-30.89855076895870,-55.55690841930020</v>
      </c>
      <c r="H4086" s="12"/>
      <c r="I4086" s="12"/>
      <c r="J4086" s="12"/>
      <c r="K4086" s="12"/>
      <c r="L4086" s="12"/>
      <c r="M4086" s="12"/>
      <c r="N4086" s="12"/>
      <c r="O4086" s="12"/>
      <c r="P4086" s="12"/>
      <c r="Q4086" s="12"/>
      <c r="R4086" s="12"/>
      <c r="S4086" s="12"/>
      <c r="T4086" s="12"/>
      <c r="U4086" s="12"/>
      <c r="V4086" s="12"/>
      <c r="W4086" s="12"/>
      <c r="X4086" s="12"/>
      <c r="Y4086" s="12"/>
      <c r="Z4086" s="12"/>
      <c r="AA4086" s="12"/>
    </row>
    <row r="4087" ht="26.25" customHeight="1">
      <c r="A4087" s="28" t="s">
        <v>8184</v>
      </c>
      <c r="B4087" s="29" t="s">
        <v>8185</v>
      </c>
      <c r="C4087" s="30">
        <v>4.0</v>
      </c>
      <c r="D4087" s="31">
        <v>359.0</v>
      </c>
      <c r="E4087" s="31">
        <v>5.0</v>
      </c>
      <c r="F4087" s="32" t="str">
        <f t="array" ref="F4087">"https://www.google.com/maps/search/?api=1&amp;query=" &amp; A4087 &amp; "," &amp; B4087</f>
        <v>https://www.google.com/maps/search/?api=1&amp;query=-30.89844084959000,-55.55706777715950</v>
      </c>
      <c r="G4087" s="33" t="str">
        <f t="array" ref="G4087">"https://earth.google.com/web/search/" &amp; A4087 &amp; "," &amp; B4087</f>
        <v>https://earth.google.com/web/search/-30.89844084959000,-55.55706777715950</v>
      </c>
      <c r="H4087" s="12"/>
      <c r="I4087" s="12"/>
      <c r="J4087" s="12"/>
      <c r="K4087" s="12"/>
      <c r="L4087" s="12"/>
      <c r="M4087" s="12"/>
      <c r="N4087" s="12"/>
      <c r="O4087" s="12"/>
      <c r="P4087" s="12"/>
      <c r="Q4087" s="12"/>
      <c r="R4087" s="12"/>
      <c r="S4087" s="12"/>
      <c r="T4087" s="12"/>
      <c r="U4087" s="12"/>
      <c r="V4087" s="12"/>
      <c r="W4087" s="12"/>
      <c r="X4087" s="12"/>
      <c r="Y4087" s="12"/>
      <c r="Z4087" s="12"/>
      <c r="AA4087" s="12"/>
    </row>
    <row r="4088" ht="26.25" customHeight="1">
      <c r="A4088" s="34" t="s">
        <v>8186</v>
      </c>
      <c r="B4088" s="35" t="s">
        <v>8187</v>
      </c>
      <c r="C4088" s="36">
        <v>4.0</v>
      </c>
      <c r="D4088" s="37">
        <v>359.0</v>
      </c>
      <c r="E4088" s="37">
        <v>6.0</v>
      </c>
      <c r="F4088" s="24" t="str">
        <f t="array" ref="F4088">"https://www.google.com/maps/search/?api=1&amp;query=" &amp; A4088 &amp; "," &amp; B4088</f>
        <v>https://www.google.com/maps/search/?api=1&amp;query=-30.89843686518160,-55.55755867631700</v>
      </c>
      <c r="G4088" s="25" t="str">
        <f t="array" ref="G4088">"https://earth.google.com/web/search/" &amp; A4088 &amp; "," &amp; B4088</f>
        <v>https://earth.google.com/web/search/-30.89843686518160,-55.55755867631700</v>
      </c>
      <c r="H4088" s="12"/>
      <c r="I4088" s="12"/>
      <c r="J4088" s="12"/>
      <c r="K4088" s="12"/>
      <c r="L4088" s="12"/>
      <c r="M4088" s="12"/>
      <c r="N4088" s="12"/>
      <c r="O4088" s="12"/>
      <c r="P4088" s="12"/>
      <c r="Q4088" s="12"/>
      <c r="R4088" s="12"/>
      <c r="S4088" s="12"/>
      <c r="T4088" s="12"/>
      <c r="U4088" s="12"/>
      <c r="V4088" s="12"/>
      <c r="W4088" s="12"/>
      <c r="X4088" s="12"/>
      <c r="Y4088" s="12"/>
      <c r="Z4088" s="12"/>
      <c r="AA4088" s="12"/>
    </row>
    <row r="4089" ht="26.25" customHeight="1">
      <c r="A4089" s="28" t="s">
        <v>8188</v>
      </c>
      <c r="B4089" s="29" t="s">
        <v>8189</v>
      </c>
      <c r="C4089" s="30">
        <v>4.0</v>
      </c>
      <c r="D4089" s="31">
        <v>359.0</v>
      </c>
      <c r="E4089" s="31">
        <v>7.0</v>
      </c>
      <c r="F4089" s="32" t="str">
        <f t="array" ref="F4089">"https://www.google.com/maps/search/?api=1&amp;query=" &amp; A4089 &amp; "," &amp; B4089</f>
        <v>https://www.google.com/maps/search/?api=1&amp;query=-30.89862712539640,-55.55770911456240</v>
      </c>
      <c r="G4089" s="33" t="str">
        <f t="array" ref="G4089">"https://earth.google.com/web/search/" &amp; A4089 &amp; "," &amp; B4089</f>
        <v>https://earth.google.com/web/search/-30.89862712539640,-55.55770911456240</v>
      </c>
      <c r="H4089" s="12"/>
      <c r="I4089" s="12"/>
      <c r="J4089" s="12"/>
      <c r="K4089" s="12"/>
      <c r="L4089" s="12"/>
      <c r="M4089" s="12"/>
      <c r="N4089" s="12"/>
      <c r="O4089" s="12"/>
      <c r="P4089" s="12"/>
      <c r="Q4089" s="12"/>
      <c r="R4089" s="12"/>
      <c r="S4089" s="12"/>
      <c r="T4089" s="12"/>
      <c r="U4089" s="12"/>
      <c r="V4089" s="12"/>
      <c r="W4089" s="12"/>
      <c r="X4089" s="12"/>
      <c r="Y4089" s="12"/>
      <c r="Z4089" s="12"/>
      <c r="AA4089" s="12"/>
    </row>
    <row r="4090" ht="26.25" customHeight="1">
      <c r="A4090" s="34" t="s">
        <v>8190</v>
      </c>
      <c r="B4090" s="35" t="s">
        <v>8191</v>
      </c>
      <c r="C4090" s="36">
        <v>4.0</v>
      </c>
      <c r="D4090" s="37">
        <v>360.0</v>
      </c>
      <c r="E4090" s="37">
        <v>1.0</v>
      </c>
      <c r="F4090" s="24" t="str">
        <f t="array" ref="F4090">"https://www.google.com/maps/search/?api=1&amp;query=" &amp; A4090 &amp; "," &amp; B4090</f>
        <v>https://www.google.com/maps/search/?api=1&amp;query=-3.08994892155382,-55.55692293763750</v>
      </c>
      <c r="G4090" s="25" t="str">
        <f t="array" ref="G4090">"https://earth.google.com/web/search/" &amp; A4090 &amp; "," &amp; B4090</f>
        <v>https://earth.google.com/web/search/-3.08994892155382,-55.55692293763750</v>
      </c>
      <c r="H4090" s="12"/>
      <c r="I4090" s="12"/>
      <c r="J4090" s="12"/>
      <c r="K4090" s="12"/>
      <c r="L4090" s="12"/>
      <c r="M4090" s="12"/>
      <c r="N4090" s="12"/>
      <c r="O4090" s="12"/>
      <c r="P4090" s="12"/>
      <c r="Q4090" s="12"/>
      <c r="R4090" s="12"/>
      <c r="S4090" s="12"/>
      <c r="T4090" s="12"/>
      <c r="U4090" s="12"/>
      <c r="V4090" s="12"/>
      <c r="W4090" s="12"/>
      <c r="X4090" s="12"/>
      <c r="Y4090" s="12"/>
      <c r="Z4090" s="12"/>
      <c r="AA4090" s="12"/>
    </row>
    <row r="4091" ht="26.25" customHeight="1">
      <c r="A4091" s="28" t="s">
        <v>8192</v>
      </c>
      <c r="B4091" s="29" t="s">
        <v>8193</v>
      </c>
      <c r="C4091" s="30">
        <v>4.0</v>
      </c>
      <c r="D4091" s="31">
        <v>360.0</v>
      </c>
      <c r="E4091" s="31">
        <v>2.0</v>
      </c>
      <c r="F4091" s="32" t="str">
        <f t="array" ref="F4091">"https://www.google.com/maps/search/?api=1&amp;query=" &amp; A4091 &amp; "," &amp; B4091</f>
        <v>https://www.google.com/maps/search/?api=1&amp;query=-30.89953496359020,-55.55677902779210</v>
      </c>
      <c r="G4091" s="33" t="str">
        <f t="array" ref="G4091">"https://earth.google.com/web/search/" &amp; A4091 &amp; "," &amp; B4091</f>
        <v>https://earth.google.com/web/search/-30.89953496359020,-55.55677902779210</v>
      </c>
      <c r="H4091" s="12"/>
      <c r="I4091" s="12"/>
      <c r="J4091" s="12"/>
      <c r="K4091" s="12"/>
      <c r="L4091" s="12"/>
      <c r="M4091" s="12"/>
      <c r="N4091" s="12"/>
      <c r="O4091" s="12"/>
      <c r="P4091" s="12"/>
      <c r="Q4091" s="12"/>
      <c r="R4091" s="12"/>
      <c r="S4091" s="12"/>
      <c r="T4091" s="12"/>
      <c r="U4091" s="12"/>
      <c r="V4091" s="12"/>
      <c r="W4091" s="12"/>
      <c r="X4091" s="12"/>
      <c r="Y4091" s="12"/>
      <c r="Z4091" s="12"/>
      <c r="AA4091" s="12"/>
    </row>
    <row r="4092" ht="26.25" customHeight="1">
      <c r="A4092" s="34" t="s">
        <v>8194</v>
      </c>
      <c r="B4092" s="35" t="s">
        <v>8195</v>
      </c>
      <c r="C4092" s="36">
        <v>4.0</v>
      </c>
      <c r="D4092" s="37">
        <v>360.0</v>
      </c>
      <c r="E4092" s="37">
        <v>3.0</v>
      </c>
      <c r="F4092" s="24" t="str">
        <f t="array" ref="F4092">"https://www.google.com/maps/search/?api=1&amp;query=" &amp; A4092 &amp; "," &amp; B4092</f>
        <v>https://www.google.com/maps/search/?api=1&amp;query=-30.89971985060430,-55.55638296283040</v>
      </c>
      <c r="G4092" s="25" t="str">
        <f t="array" ref="G4092">"https://earth.google.com/web/search/" &amp; A4092 &amp; "," &amp; B4092</f>
        <v>https://earth.google.com/web/search/-30.89971985060430,-55.55638296283040</v>
      </c>
      <c r="H4092" s="12"/>
      <c r="I4092" s="12"/>
      <c r="J4092" s="12"/>
      <c r="K4092" s="12"/>
      <c r="L4092" s="12"/>
      <c r="M4092" s="12"/>
      <c r="N4092" s="12"/>
      <c r="O4092" s="12"/>
      <c r="P4092" s="12"/>
      <c r="Q4092" s="12"/>
      <c r="R4092" s="12"/>
      <c r="S4092" s="12"/>
      <c r="T4092" s="12"/>
      <c r="U4092" s="12"/>
      <c r="V4092" s="12"/>
      <c r="W4092" s="12"/>
      <c r="X4092" s="12"/>
      <c r="Y4092" s="12"/>
      <c r="Z4092" s="12"/>
      <c r="AA4092" s="12"/>
    </row>
    <row r="4093" ht="26.25" customHeight="1">
      <c r="A4093" s="28" t="s">
        <v>8196</v>
      </c>
      <c r="B4093" s="29" t="s">
        <v>8197</v>
      </c>
      <c r="C4093" s="30">
        <v>4.0</v>
      </c>
      <c r="D4093" s="31">
        <v>360.0</v>
      </c>
      <c r="E4093" s="31">
        <v>4.0</v>
      </c>
      <c r="F4093" s="32" t="str">
        <f t="array" ref="F4093">"https://www.google.com/maps/search/?api=1&amp;query=" &amp; A4093 &amp; "," &amp; B4093</f>
        <v>https://www.google.com/maps/search/?api=1&amp;query=-30.89884367484810,-55.55628361282680</v>
      </c>
      <c r="G4093" s="33" t="str">
        <f t="array" ref="G4093">"https://earth.google.com/web/search/" &amp; A4093 &amp; "," &amp; B4093</f>
        <v>https://earth.google.com/web/search/-30.89884367484810,-55.55628361282680</v>
      </c>
      <c r="H4093" s="12"/>
      <c r="I4093" s="12"/>
      <c r="J4093" s="12"/>
      <c r="K4093" s="12"/>
      <c r="L4093" s="12"/>
      <c r="M4093" s="12"/>
      <c r="N4093" s="12"/>
      <c r="O4093" s="12"/>
      <c r="P4093" s="12"/>
      <c r="Q4093" s="12"/>
      <c r="R4093" s="12"/>
      <c r="S4093" s="12"/>
      <c r="T4093" s="12"/>
      <c r="U4093" s="12"/>
      <c r="V4093" s="12"/>
      <c r="W4093" s="12"/>
      <c r="X4093" s="12"/>
      <c r="Y4093" s="12"/>
      <c r="Z4093" s="12"/>
      <c r="AA4093" s="12"/>
    </row>
    <row r="4094" ht="26.25" customHeight="1">
      <c r="A4094" s="34" t="s">
        <v>8198</v>
      </c>
      <c r="B4094" s="35" t="s">
        <v>8199</v>
      </c>
      <c r="C4094" s="36">
        <v>4.0</v>
      </c>
      <c r="D4094" s="37">
        <v>360.0</v>
      </c>
      <c r="E4094" s="37">
        <v>5.0</v>
      </c>
      <c r="F4094" s="24" t="str">
        <f t="array" ref="F4094">"https://www.google.com/maps/search/?api=1&amp;query=" &amp; A4094 &amp; "," &amp; B4094</f>
        <v>https://www.google.com/maps/search/?api=1&amp;query=-3.08987663838697,-55.55643909407490</v>
      </c>
      <c r="G4094" s="25" t="str">
        <f t="array" ref="G4094">"https://earth.google.com/web/search/" &amp; A4094 &amp; "," &amp; B4094</f>
        <v>https://earth.google.com/web/search/-3.08987663838697,-55.55643909407490</v>
      </c>
      <c r="H4094" s="12"/>
      <c r="I4094" s="12"/>
      <c r="J4094" s="12"/>
      <c r="K4094" s="12"/>
      <c r="L4094" s="12"/>
      <c r="M4094" s="12"/>
      <c r="N4094" s="12"/>
      <c r="O4094" s="12"/>
      <c r="P4094" s="12"/>
      <c r="Q4094" s="12"/>
      <c r="R4094" s="12"/>
      <c r="S4094" s="12"/>
      <c r="T4094" s="12"/>
      <c r="U4094" s="12"/>
      <c r="V4094" s="12"/>
      <c r="W4094" s="12"/>
      <c r="X4094" s="12"/>
      <c r="Y4094" s="12"/>
      <c r="Z4094" s="12"/>
      <c r="AA4094" s="12"/>
    </row>
    <row r="4095" ht="26.25" customHeight="1">
      <c r="A4095" s="28" t="s">
        <v>8200</v>
      </c>
      <c r="B4095" s="29" t="s">
        <v>8201</v>
      </c>
      <c r="C4095" s="30">
        <v>4.0</v>
      </c>
      <c r="D4095" s="31">
        <v>360.0</v>
      </c>
      <c r="E4095" s="31">
        <v>6.0</v>
      </c>
      <c r="F4095" s="32" t="str">
        <f t="array" ref="F4095">"https://www.google.com/maps/search/?api=1&amp;query=" &amp; A4095 &amp; "," &amp; B4095</f>
        <v>https://www.google.com/maps/search/?api=1&amp;query=-30.89873290122190,-55.55650414326180</v>
      </c>
      <c r="G4095" s="33" t="str">
        <f t="array" ref="G4095">"https://earth.google.com/web/search/" &amp; A4095 &amp; "," &amp; B4095</f>
        <v>https://earth.google.com/web/search/-30.89873290122190,-55.55650414326180</v>
      </c>
      <c r="H4095" s="12"/>
      <c r="I4095" s="12"/>
      <c r="J4095" s="12"/>
      <c r="K4095" s="12"/>
      <c r="L4095" s="12"/>
      <c r="M4095" s="12"/>
      <c r="N4095" s="12"/>
      <c r="O4095" s="12"/>
      <c r="P4095" s="12"/>
      <c r="Q4095" s="12"/>
      <c r="R4095" s="12"/>
      <c r="S4095" s="12"/>
      <c r="T4095" s="12"/>
      <c r="U4095" s="12"/>
      <c r="V4095" s="12"/>
      <c r="W4095" s="12"/>
      <c r="X4095" s="12"/>
      <c r="Y4095" s="12"/>
      <c r="Z4095" s="12"/>
      <c r="AA4095" s="12"/>
    </row>
    <row r="4096" ht="26.25" customHeight="1">
      <c r="A4096" s="34" t="s">
        <v>8202</v>
      </c>
      <c r="B4096" s="35" t="s">
        <v>8203</v>
      </c>
      <c r="C4096" s="36">
        <v>4.0</v>
      </c>
      <c r="D4096" s="37">
        <v>360.0</v>
      </c>
      <c r="E4096" s="37">
        <v>7.0</v>
      </c>
      <c r="F4096" s="24" t="str">
        <f t="array" ref="F4096">"https://www.google.com/maps/search/?api=1&amp;query=" &amp; A4096 &amp; "," &amp; B4096</f>
        <v>https://www.google.com/maps/search/?api=1&amp;query=-30.89878304161980,-55.55658600255410</v>
      </c>
      <c r="G4096" s="25" t="str">
        <f t="array" ref="G4096">"https://earth.google.com/web/search/" &amp; A4096 &amp; "," &amp; B4096</f>
        <v>https://earth.google.com/web/search/-30.89878304161980,-55.55658600255410</v>
      </c>
      <c r="H4096" s="12"/>
      <c r="I4096" s="12"/>
      <c r="J4096" s="12"/>
      <c r="K4096" s="12"/>
      <c r="L4096" s="12"/>
      <c r="M4096" s="12"/>
      <c r="N4096" s="12"/>
      <c r="O4096" s="12"/>
      <c r="P4096" s="12"/>
      <c r="Q4096" s="12"/>
      <c r="R4096" s="12"/>
      <c r="S4096" s="12"/>
      <c r="T4096" s="12"/>
      <c r="U4096" s="12"/>
      <c r="V4096" s="12"/>
      <c r="W4096" s="12"/>
      <c r="X4096" s="12"/>
      <c r="Y4096" s="12"/>
      <c r="Z4096" s="12"/>
      <c r="AA4096" s="12"/>
    </row>
    <row r="4097" ht="26.25" customHeight="1">
      <c r="A4097" s="28" t="s">
        <v>8204</v>
      </c>
      <c r="B4097" s="29" t="s">
        <v>8205</v>
      </c>
      <c r="C4097" s="30">
        <v>4.0</v>
      </c>
      <c r="D4097" s="31">
        <v>360.0</v>
      </c>
      <c r="E4097" s="31">
        <v>8.0</v>
      </c>
      <c r="F4097" s="32" t="str">
        <f t="array" ref="F4097">"https://www.google.com/maps/search/?api=1&amp;query=" &amp; A4097 &amp; "," &amp; B4097</f>
        <v>https://www.google.com/maps/search/?api=1&amp;query=-30.89888580724520,-55.55664424805770</v>
      </c>
      <c r="G4097" s="33" t="str">
        <f t="array" ref="G4097">"https://earth.google.com/web/search/" &amp; A4097 &amp; "," &amp; B4097</f>
        <v>https://earth.google.com/web/search/-30.89888580724520,-55.55664424805770</v>
      </c>
      <c r="H4097" s="12"/>
      <c r="I4097" s="12"/>
      <c r="J4097" s="12"/>
      <c r="K4097" s="12"/>
      <c r="L4097" s="12"/>
      <c r="M4097" s="12"/>
      <c r="N4097" s="12"/>
      <c r="O4097" s="12"/>
      <c r="P4097" s="12"/>
      <c r="Q4097" s="12"/>
      <c r="R4097" s="12"/>
      <c r="S4097" s="12"/>
      <c r="T4097" s="12"/>
      <c r="U4097" s="12"/>
      <c r="V4097" s="12"/>
      <c r="W4097" s="12"/>
      <c r="X4097" s="12"/>
      <c r="Y4097" s="12"/>
      <c r="Z4097" s="12"/>
      <c r="AA4097" s="12"/>
    </row>
    <row r="4098" ht="26.25" customHeight="1">
      <c r="A4098" s="34" t="s">
        <v>8206</v>
      </c>
      <c r="B4098" s="35" t="s">
        <v>8207</v>
      </c>
      <c r="C4098" s="36">
        <v>4.0</v>
      </c>
      <c r="D4098" s="37">
        <v>360.0</v>
      </c>
      <c r="E4098" s="37">
        <v>9.0</v>
      </c>
      <c r="F4098" s="24" t="str">
        <f t="array" ref="F4098">"https://www.google.com/maps/search/?api=1&amp;query=" &amp; A4098 &amp; "," &amp; B4098</f>
        <v>https://www.google.com/maps/search/?api=1&amp;query=-30.89894327097870,-55.55670419467380</v>
      </c>
      <c r="G4098" s="25" t="str">
        <f t="array" ref="G4098">"https://earth.google.com/web/search/" &amp; A4098 &amp; "," &amp; B4098</f>
        <v>https://earth.google.com/web/search/-30.89894327097870,-55.55670419467380</v>
      </c>
      <c r="H4098" s="12"/>
      <c r="I4098" s="12"/>
      <c r="J4098" s="12"/>
      <c r="K4098" s="12"/>
      <c r="L4098" s="12"/>
      <c r="M4098" s="12"/>
      <c r="N4098" s="12"/>
      <c r="O4098" s="12"/>
      <c r="P4098" s="12"/>
      <c r="Q4098" s="12"/>
      <c r="R4098" s="12"/>
      <c r="S4098" s="12"/>
      <c r="T4098" s="12"/>
      <c r="U4098" s="12"/>
      <c r="V4098" s="12"/>
      <c r="W4098" s="12"/>
      <c r="X4098" s="12"/>
      <c r="Y4098" s="12"/>
      <c r="Z4098" s="12"/>
      <c r="AA4098" s="12"/>
    </row>
    <row r="4099" ht="26.25" customHeight="1">
      <c r="A4099" s="28" t="s">
        <v>8208</v>
      </c>
      <c r="B4099" s="29" t="s">
        <v>8209</v>
      </c>
      <c r="C4099" s="30">
        <v>4.0</v>
      </c>
      <c r="D4099" s="31">
        <v>360.0</v>
      </c>
      <c r="E4099" s="31">
        <v>10.0</v>
      </c>
      <c r="F4099" s="32" t="str">
        <f t="array" ref="F4099">"https://www.google.com/maps/search/?api=1&amp;query=" &amp; A4099 &amp; "," &amp; B4099</f>
        <v>https://www.google.com/maps/search/?api=1&amp;query=-30.89900298843080,-55.55672231643350</v>
      </c>
      <c r="G4099" s="33" t="str">
        <f t="array" ref="G4099">"https://earth.google.com/web/search/" &amp; A4099 &amp; "," &amp; B4099</f>
        <v>https://earth.google.com/web/search/-30.89900298843080,-55.55672231643350</v>
      </c>
      <c r="H4099" s="12"/>
      <c r="I4099" s="12"/>
      <c r="J4099" s="12"/>
      <c r="K4099" s="12"/>
      <c r="L4099" s="12"/>
      <c r="M4099" s="12"/>
      <c r="N4099" s="12"/>
      <c r="O4099" s="12"/>
      <c r="P4099" s="12"/>
      <c r="Q4099" s="12"/>
      <c r="R4099" s="12"/>
      <c r="S4099" s="12"/>
      <c r="T4099" s="12"/>
      <c r="U4099" s="12"/>
      <c r="V4099" s="12"/>
      <c r="W4099" s="12"/>
      <c r="X4099" s="12"/>
      <c r="Y4099" s="12"/>
      <c r="Z4099" s="12"/>
      <c r="AA4099" s="12"/>
    </row>
    <row r="4100" ht="26.25" customHeight="1">
      <c r="A4100" s="34" t="s">
        <v>8210</v>
      </c>
      <c r="B4100" s="35" t="s">
        <v>8211</v>
      </c>
      <c r="C4100" s="36">
        <v>4.0</v>
      </c>
      <c r="D4100" s="37">
        <v>360.0</v>
      </c>
      <c r="E4100" s="37">
        <v>11.0</v>
      </c>
      <c r="F4100" s="24" t="str">
        <f t="array" ref="F4100">"https://www.google.com/maps/search/?api=1&amp;query=" &amp; A4100 &amp; "," &amp; B4100</f>
        <v>https://www.google.com/maps/search/?api=1&amp;query=-30.89906675802510,-55.55676958521200</v>
      </c>
      <c r="G4100" s="25" t="str">
        <f t="array" ref="G4100">"https://earth.google.com/web/search/" &amp; A4100 &amp; "," &amp; B4100</f>
        <v>https://earth.google.com/web/search/-30.89906675802510,-55.55676958521200</v>
      </c>
      <c r="H4100" s="12"/>
      <c r="I4100" s="12"/>
      <c r="J4100" s="12"/>
      <c r="K4100" s="12"/>
      <c r="L4100" s="12"/>
      <c r="M4100" s="12"/>
      <c r="N4100" s="12"/>
      <c r="O4100" s="12"/>
      <c r="P4100" s="12"/>
      <c r="Q4100" s="12"/>
      <c r="R4100" s="12"/>
      <c r="S4100" s="12"/>
      <c r="T4100" s="12"/>
      <c r="U4100" s="12"/>
      <c r="V4100" s="12"/>
      <c r="W4100" s="12"/>
      <c r="X4100" s="12"/>
      <c r="Y4100" s="12"/>
      <c r="Z4100" s="12"/>
      <c r="AA4100" s="12"/>
    </row>
    <row r="4101" ht="26.25" customHeight="1">
      <c r="A4101" s="28" t="s">
        <v>8212</v>
      </c>
      <c r="B4101" s="29" t="s">
        <v>8213</v>
      </c>
      <c r="C4101" s="30">
        <v>4.0</v>
      </c>
      <c r="D4101" s="31">
        <v>360.0</v>
      </c>
      <c r="E4101" s="31">
        <v>12.0</v>
      </c>
      <c r="F4101" s="32" t="str">
        <f t="array" ref="F4101">"https://www.google.com/maps/search/?api=1&amp;query=" &amp; A4101 &amp; "," &amp; B4101</f>
        <v>https://www.google.com/maps/search/?api=1&amp;query=-30.89913472799600,-55.55681996755830</v>
      </c>
      <c r="G4101" s="33" t="str">
        <f t="array" ref="G4101">"https://earth.google.com/web/search/" &amp; A4101 &amp; "," &amp; B4101</f>
        <v>https://earth.google.com/web/search/-30.89913472799600,-55.55681996755830</v>
      </c>
      <c r="H4101" s="12"/>
      <c r="I4101" s="12"/>
      <c r="J4101" s="12"/>
      <c r="K4101" s="12"/>
      <c r="L4101" s="12"/>
      <c r="M4101" s="12"/>
      <c r="N4101" s="12"/>
      <c r="O4101" s="12"/>
      <c r="P4101" s="12"/>
      <c r="Q4101" s="12"/>
      <c r="R4101" s="12"/>
      <c r="S4101" s="12"/>
      <c r="T4101" s="12"/>
      <c r="U4101" s="12"/>
      <c r="V4101" s="12"/>
      <c r="W4101" s="12"/>
      <c r="X4101" s="12"/>
      <c r="Y4101" s="12"/>
      <c r="Z4101" s="12"/>
      <c r="AA4101" s="12"/>
    </row>
    <row r="4102" ht="26.25" customHeight="1">
      <c r="A4102" s="34" t="s">
        <v>8214</v>
      </c>
      <c r="B4102" s="35" t="s">
        <v>8215</v>
      </c>
      <c r="C4102" s="36">
        <v>4.0</v>
      </c>
      <c r="D4102" s="37">
        <v>360.0</v>
      </c>
      <c r="E4102" s="37">
        <v>13.0</v>
      </c>
      <c r="F4102" s="24" t="str">
        <f t="array" ref="F4102">"https://www.google.com/maps/search/?api=1&amp;query=" &amp; A4102 &amp; "," &amp; B4102</f>
        <v>https://www.google.com/maps/search/?api=1&amp;query=-30.89925422164910,-55.55690575704280</v>
      </c>
      <c r="G4102" s="25" t="str">
        <f t="array" ref="G4102">"https://earth.google.com/web/search/" &amp; A4102 &amp; "," &amp; B4102</f>
        <v>https://earth.google.com/web/search/-30.89925422164910,-55.55690575704280</v>
      </c>
      <c r="H4102" s="12"/>
      <c r="I4102" s="12"/>
      <c r="J4102" s="12"/>
      <c r="K4102" s="12"/>
      <c r="L4102" s="12"/>
      <c r="M4102" s="12"/>
      <c r="N4102" s="12"/>
      <c r="O4102" s="12"/>
      <c r="P4102" s="12"/>
      <c r="Q4102" s="12"/>
      <c r="R4102" s="12"/>
      <c r="S4102" s="12"/>
      <c r="T4102" s="12"/>
      <c r="U4102" s="12"/>
      <c r="V4102" s="12"/>
      <c r="W4102" s="12"/>
      <c r="X4102" s="12"/>
      <c r="Y4102" s="12"/>
      <c r="Z4102" s="12"/>
      <c r="AA4102" s="12"/>
    </row>
    <row r="4103" ht="26.25" customHeight="1">
      <c r="A4103" s="28" t="s">
        <v>8216</v>
      </c>
      <c r="B4103" s="29" t="s">
        <v>8217</v>
      </c>
      <c r="C4103" s="30">
        <v>4.0</v>
      </c>
      <c r="D4103" s="31">
        <v>360.0</v>
      </c>
      <c r="E4103" s="31">
        <v>14.0</v>
      </c>
      <c r="F4103" s="32" t="str">
        <f t="array" ref="F4103">"https://www.google.com/maps/search/?api=1&amp;query=" &amp; A4103 &amp; "," &amp; B4103</f>
        <v>https://www.google.com/maps/search/?api=1&amp;query=-30.89936978007320,-55.55698872143210</v>
      </c>
      <c r="G4103" s="33" t="str">
        <f t="array" ref="G4103">"https://earth.google.com/web/search/" &amp; A4103 &amp; "," &amp; B4103</f>
        <v>https://earth.google.com/web/search/-30.89936978007320,-55.55698872143210</v>
      </c>
      <c r="H4103" s="12"/>
      <c r="I4103" s="12"/>
      <c r="J4103" s="12"/>
      <c r="K4103" s="12"/>
      <c r="L4103" s="12"/>
      <c r="M4103" s="12"/>
      <c r="N4103" s="12"/>
      <c r="O4103" s="12"/>
      <c r="P4103" s="12"/>
      <c r="Q4103" s="12"/>
      <c r="R4103" s="12"/>
      <c r="S4103" s="12"/>
      <c r="T4103" s="12"/>
      <c r="U4103" s="12"/>
      <c r="V4103" s="12"/>
      <c r="W4103" s="12"/>
      <c r="X4103" s="12"/>
      <c r="Y4103" s="12"/>
      <c r="Z4103" s="12"/>
      <c r="AA4103" s="12"/>
    </row>
    <row r="4104" ht="26.25" customHeight="1">
      <c r="A4104" s="34" t="s">
        <v>8218</v>
      </c>
      <c r="B4104" s="35" t="s">
        <v>8219</v>
      </c>
      <c r="C4104" s="36">
        <v>4.0</v>
      </c>
      <c r="D4104" s="37">
        <v>361.0</v>
      </c>
      <c r="E4104" s="37">
        <v>1.0</v>
      </c>
      <c r="F4104" s="24" t="str">
        <f t="array" ref="F4104">"https://www.google.com/maps/search/?api=1&amp;query=" &amp; A4104 &amp; "," &amp; B4104</f>
        <v>https://www.google.com/maps/search/?api=1&amp;query=-30.90021112680920,-55.55552087358770</v>
      </c>
      <c r="G4104" s="25" t="str">
        <f t="array" ref="G4104">"https://earth.google.com/web/search/" &amp; A4104 &amp; "," &amp; B4104</f>
        <v>https://earth.google.com/web/search/-30.90021112680920,-55.55552087358770</v>
      </c>
      <c r="H4104" s="12"/>
      <c r="I4104" s="12"/>
      <c r="J4104" s="12"/>
      <c r="K4104" s="12"/>
      <c r="L4104" s="12"/>
      <c r="M4104" s="12"/>
      <c r="N4104" s="12"/>
      <c r="O4104" s="12"/>
      <c r="P4104" s="12"/>
      <c r="Q4104" s="12"/>
      <c r="R4104" s="12"/>
      <c r="S4104" s="12"/>
      <c r="T4104" s="12"/>
      <c r="U4104" s="12"/>
      <c r="V4104" s="12"/>
      <c r="W4104" s="12"/>
      <c r="X4104" s="12"/>
      <c r="Y4104" s="12"/>
      <c r="Z4104" s="12"/>
      <c r="AA4104" s="12"/>
    </row>
    <row r="4105" ht="26.25" customHeight="1">
      <c r="A4105" s="28" t="s">
        <v>8220</v>
      </c>
      <c r="B4105" s="29" t="s">
        <v>8221</v>
      </c>
      <c r="C4105" s="30">
        <v>4.0</v>
      </c>
      <c r="D4105" s="31">
        <v>361.0</v>
      </c>
      <c r="E4105" s="31">
        <v>2.0</v>
      </c>
      <c r="F4105" s="32" t="str">
        <f t="array" ref="F4105">"https://www.google.com/maps/search/?api=1&amp;query=" &amp; A4105 &amp; "," &amp; B4105</f>
        <v>https://www.google.com/maps/search/?api=1&amp;query=-30.89928978746670,-55.55548520134810</v>
      </c>
      <c r="G4105" s="33" t="str">
        <f t="array" ref="G4105">"https://earth.google.com/web/search/" &amp; A4105 &amp; "," &amp; B4105</f>
        <v>https://earth.google.com/web/search/-30.89928978746670,-55.55548520134810</v>
      </c>
      <c r="H4105" s="12"/>
      <c r="I4105" s="12"/>
      <c r="J4105" s="12"/>
      <c r="K4105" s="12"/>
      <c r="L4105" s="12"/>
      <c r="M4105" s="12"/>
      <c r="N4105" s="12"/>
      <c r="O4105" s="12"/>
      <c r="P4105" s="12"/>
      <c r="Q4105" s="12"/>
      <c r="R4105" s="12"/>
      <c r="S4105" s="12"/>
      <c r="T4105" s="12"/>
      <c r="U4105" s="12"/>
      <c r="V4105" s="12"/>
      <c r="W4105" s="12"/>
      <c r="X4105" s="12"/>
      <c r="Y4105" s="12"/>
      <c r="Z4105" s="12"/>
      <c r="AA4105" s="12"/>
    </row>
    <row r="4106" ht="26.25" customHeight="1">
      <c r="A4106" s="34" t="s">
        <v>8222</v>
      </c>
      <c r="B4106" s="35" t="s">
        <v>8223</v>
      </c>
      <c r="C4106" s="36">
        <v>4.0</v>
      </c>
      <c r="D4106" s="37">
        <v>361.0</v>
      </c>
      <c r="E4106" s="37">
        <v>3.0</v>
      </c>
      <c r="F4106" s="24" t="str">
        <f t="array" ref="F4106">"https://www.google.com/maps/search/?api=1&amp;query=" &amp; A4106 &amp; "," &amp; B4106</f>
        <v>https://www.google.com/maps/search/?api=1&amp;query=-30.89926466580280,-55.55566400281830</v>
      </c>
      <c r="G4106" s="25" t="str">
        <f t="array" ref="G4106">"https://earth.google.com/web/search/" &amp; A4106 &amp; "," &amp; B4106</f>
        <v>https://earth.google.com/web/search/-30.89926466580280,-55.55566400281830</v>
      </c>
      <c r="H4106" s="12"/>
      <c r="I4106" s="12"/>
      <c r="J4106" s="12"/>
      <c r="K4106" s="12"/>
      <c r="L4106" s="12"/>
      <c r="M4106" s="12"/>
      <c r="N4106" s="12"/>
      <c r="O4106" s="12"/>
      <c r="P4106" s="12"/>
      <c r="Q4106" s="12"/>
      <c r="R4106" s="12"/>
      <c r="S4106" s="12"/>
      <c r="T4106" s="12"/>
      <c r="U4106" s="12"/>
      <c r="V4106" s="12"/>
      <c r="W4106" s="12"/>
      <c r="X4106" s="12"/>
      <c r="Y4106" s="12"/>
      <c r="Z4106" s="12"/>
      <c r="AA4106" s="12"/>
    </row>
    <row r="4107" ht="26.25" customHeight="1">
      <c r="A4107" s="28" t="s">
        <v>8224</v>
      </c>
      <c r="B4107" s="29" t="s">
        <v>8225</v>
      </c>
      <c r="C4107" s="30">
        <v>4.0</v>
      </c>
      <c r="D4107" s="31">
        <v>361.0</v>
      </c>
      <c r="E4107" s="31">
        <v>4.0</v>
      </c>
      <c r="F4107" s="32" t="str">
        <f t="array" ref="F4107">"https://www.google.com/maps/search/?api=1&amp;query=" &amp; A4107 &amp; "," &amp; B4107</f>
        <v>https://www.google.com/maps/search/?api=1&amp;query=-30.89945617149280,-55.55580519734810</v>
      </c>
      <c r="G4107" s="33" t="str">
        <f t="array" ref="G4107">"https://earth.google.com/web/search/" &amp; A4107 &amp; "," &amp; B4107</f>
        <v>https://earth.google.com/web/search/-30.89945617149280,-55.55580519734810</v>
      </c>
      <c r="H4107" s="12"/>
      <c r="I4107" s="12"/>
      <c r="J4107" s="12"/>
      <c r="K4107" s="12"/>
      <c r="L4107" s="12"/>
      <c r="M4107" s="12"/>
      <c r="N4107" s="12"/>
      <c r="O4107" s="12"/>
      <c r="P4107" s="12"/>
      <c r="Q4107" s="12"/>
      <c r="R4107" s="12"/>
      <c r="S4107" s="12"/>
      <c r="T4107" s="12"/>
      <c r="U4107" s="12"/>
      <c r="V4107" s="12"/>
      <c r="W4107" s="12"/>
      <c r="X4107" s="12"/>
      <c r="Y4107" s="12"/>
      <c r="Z4107" s="12"/>
      <c r="AA4107" s="12"/>
    </row>
    <row r="4108" ht="26.25" customHeight="1">
      <c r="A4108" s="34" t="s">
        <v>8226</v>
      </c>
      <c r="B4108" s="35" t="s">
        <v>8227</v>
      </c>
      <c r="C4108" s="36">
        <v>4.0</v>
      </c>
      <c r="D4108" s="37">
        <v>361.0</v>
      </c>
      <c r="E4108" s="37">
        <v>5.0</v>
      </c>
      <c r="F4108" s="24" t="str">
        <f t="array" ref="F4108">"https://www.google.com/maps/search/?api=1&amp;query=" &amp; A4108 &amp; "," &amp; B4108</f>
        <v>https://www.google.com/maps/search/?api=1&amp;query=-30.89971830642980,-55.55597679830660</v>
      </c>
      <c r="G4108" s="25" t="str">
        <f t="array" ref="G4108">"https://earth.google.com/web/search/" &amp; A4108 &amp; "," &amp; B4108</f>
        <v>https://earth.google.com/web/search/-30.89971830642980,-55.55597679830660</v>
      </c>
      <c r="H4108" s="12"/>
      <c r="I4108" s="12"/>
      <c r="J4108" s="12"/>
      <c r="K4108" s="12"/>
      <c r="L4108" s="12"/>
      <c r="M4108" s="12"/>
      <c r="N4108" s="12"/>
      <c r="O4108" s="12"/>
      <c r="P4108" s="12"/>
      <c r="Q4108" s="12"/>
      <c r="R4108" s="12"/>
      <c r="S4108" s="12"/>
      <c r="T4108" s="12"/>
      <c r="U4108" s="12"/>
      <c r="V4108" s="12"/>
      <c r="W4108" s="12"/>
      <c r="X4108" s="12"/>
      <c r="Y4108" s="12"/>
      <c r="Z4108" s="12"/>
      <c r="AA4108" s="12"/>
    </row>
    <row r="4109" ht="26.25" customHeight="1">
      <c r="A4109" s="28" t="s">
        <v>8228</v>
      </c>
      <c r="B4109" s="29" t="s">
        <v>8229</v>
      </c>
      <c r="C4109" s="30">
        <v>4.0</v>
      </c>
      <c r="D4109" s="31">
        <v>361.0</v>
      </c>
      <c r="E4109" s="31">
        <v>6.0</v>
      </c>
      <c r="F4109" s="32" t="str">
        <f t="array" ref="F4109">"https://www.google.com/maps/search/?api=1&amp;query=" &amp; A4109 &amp; "," &amp; B4109</f>
        <v>https://www.google.com/maps/search/?api=1&amp;query=-30.89987824870310,-5.55560633502613</v>
      </c>
      <c r="G4109" s="33" t="str">
        <f t="array" ref="G4109">"https://earth.google.com/web/search/" &amp; A4109 &amp; "," &amp; B4109</f>
        <v>https://earth.google.com/web/search/-30.89987824870310,-5.55560633502613</v>
      </c>
      <c r="H4109" s="12"/>
      <c r="I4109" s="12"/>
      <c r="J4109" s="12"/>
      <c r="K4109" s="12"/>
      <c r="L4109" s="12"/>
      <c r="M4109" s="12"/>
      <c r="N4109" s="12"/>
      <c r="O4109" s="12"/>
      <c r="P4109" s="12"/>
      <c r="Q4109" s="12"/>
      <c r="R4109" s="12"/>
      <c r="S4109" s="12"/>
      <c r="T4109" s="12"/>
      <c r="U4109" s="12"/>
      <c r="V4109" s="12"/>
      <c r="W4109" s="12"/>
      <c r="X4109" s="12"/>
      <c r="Y4109" s="12"/>
      <c r="Z4109" s="12"/>
      <c r="AA4109" s="12"/>
    </row>
    <row r="4110" ht="26.25" customHeight="1">
      <c r="A4110" s="34" t="s">
        <v>8230</v>
      </c>
      <c r="B4110" s="35" t="s">
        <v>8231</v>
      </c>
      <c r="C4110" s="36">
        <v>4.0</v>
      </c>
      <c r="D4110" s="37">
        <v>362.0</v>
      </c>
      <c r="E4110" s="37">
        <v>1.0</v>
      </c>
      <c r="F4110" s="24" t="str">
        <f t="array" ref="F4110">"https://www.google.com/maps/search/?api=1&amp;query=" &amp; A4110 &amp; "," &amp; B4110</f>
        <v>https://www.google.com/maps/search/?api=1&amp;query=-30.90041435726560,-55.55409994105750</v>
      </c>
      <c r="G4110" s="25" t="str">
        <f t="array" ref="G4110">"https://earth.google.com/web/search/" &amp; A4110 &amp; "," &amp; B4110</f>
        <v>https://earth.google.com/web/search/-30.90041435726560,-55.55409994105750</v>
      </c>
      <c r="H4110" s="12"/>
      <c r="I4110" s="12"/>
      <c r="J4110" s="12"/>
      <c r="K4110" s="12"/>
      <c r="L4110" s="12"/>
      <c r="M4110" s="12"/>
      <c r="N4110" s="12"/>
      <c r="O4110" s="12"/>
      <c r="P4110" s="12"/>
      <c r="Q4110" s="12"/>
      <c r="R4110" s="12"/>
      <c r="S4110" s="12"/>
      <c r="T4110" s="12"/>
      <c r="U4110" s="12"/>
      <c r="V4110" s="12"/>
      <c r="W4110" s="12"/>
      <c r="X4110" s="12"/>
      <c r="Y4110" s="12"/>
      <c r="Z4110" s="12"/>
      <c r="AA4110" s="12"/>
    </row>
    <row r="4111" ht="26.25" customHeight="1">
      <c r="A4111" s="28" t="s">
        <v>8232</v>
      </c>
      <c r="B4111" s="29" t="s">
        <v>8233</v>
      </c>
      <c r="C4111" s="30">
        <v>4.0</v>
      </c>
      <c r="D4111" s="31">
        <v>362.0</v>
      </c>
      <c r="E4111" s="31">
        <v>2.0</v>
      </c>
      <c r="F4111" s="32" t="str">
        <f t="array" ref="F4111">"https://www.google.com/maps/search/?api=1&amp;query=" &amp; A4111 &amp; "," &amp; B4111</f>
        <v>https://www.google.com/maps/search/?api=1&amp;query=-30.90007292913480,-55.55395938778890</v>
      </c>
      <c r="G4111" s="33" t="str">
        <f t="array" ref="G4111">"https://earth.google.com/web/search/" &amp; A4111 &amp; "," &amp; B4111</f>
        <v>https://earth.google.com/web/search/-30.90007292913480,-55.55395938778890</v>
      </c>
      <c r="H4111" s="12"/>
      <c r="I4111" s="12"/>
      <c r="J4111" s="12"/>
      <c r="K4111" s="12"/>
      <c r="L4111" s="12"/>
      <c r="M4111" s="12"/>
      <c r="N4111" s="12"/>
      <c r="O4111" s="12"/>
      <c r="P4111" s="12"/>
      <c r="Q4111" s="12"/>
      <c r="R4111" s="12"/>
      <c r="S4111" s="12"/>
      <c r="T4111" s="12"/>
      <c r="U4111" s="12"/>
      <c r="V4111" s="12"/>
      <c r="W4111" s="12"/>
      <c r="X4111" s="12"/>
      <c r="Y4111" s="12"/>
      <c r="Z4111" s="12"/>
      <c r="AA4111" s="12"/>
    </row>
    <row r="4112" ht="26.25" customHeight="1">
      <c r="A4112" s="34" t="s">
        <v>8234</v>
      </c>
      <c r="B4112" s="35" t="s">
        <v>8235</v>
      </c>
      <c r="C4112" s="36">
        <v>4.0</v>
      </c>
      <c r="D4112" s="37">
        <v>362.0</v>
      </c>
      <c r="E4112" s="37">
        <v>3.0</v>
      </c>
      <c r="F4112" s="24" t="str">
        <f t="array" ref="F4112">"https://www.google.com/maps/search/?api=1&amp;query=" &amp; A4112 &amp; "," &amp; B4112</f>
        <v>https://www.google.com/maps/search/?api=1&amp;query=-30.89983868234220,-55.55442159888330</v>
      </c>
      <c r="G4112" s="25" t="str">
        <f t="array" ref="G4112">"https://earth.google.com/web/search/" &amp; A4112 &amp; "," &amp; B4112</f>
        <v>https://earth.google.com/web/search/-30.89983868234220,-55.55442159888330</v>
      </c>
      <c r="H4112" s="12"/>
      <c r="I4112" s="12"/>
      <c r="J4112" s="12"/>
      <c r="K4112" s="12"/>
      <c r="L4112" s="12"/>
      <c r="M4112" s="12"/>
      <c r="N4112" s="12"/>
      <c r="O4112" s="12"/>
      <c r="P4112" s="12"/>
      <c r="Q4112" s="12"/>
      <c r="R4112" s="12"/>
      <c r="S4112" s="12"/>
      <c r="T4112" s="12"/>
      <c r="U4112" s="12"/>
      <c r="V4112" s="12"/>
      <c r="W4112" s="12"/>
      <c r="X4112" s="12"/>
      <c r="Y4112" s="12"/>
      <c r="Z4112" s="12"/>
      <c r="AA4112" s="12"/>
    </row>
    <row r="4113" ht="26.25" customHeight="1">
      <c r="A4113" s="28" t="s">
        <v>8236</v>
      </c>
      <c r="B4113" s="29" t="s">
        <v>8237</v>
      </c>
      <c r="C4113" s="30">
        <v>4.0</v>
      </c>
      <c r="D4113" s="31">
        <v>362.0</v>
      </c>
      <c r="E4113" s="31">
        <v>4.0</v>
      </c>
      <c r="F4113" s="32" t="str">
        <f t="array" ref="F4113">"https://www.google.com/maps/search/?api=1&amp;query=" &amp; A4113 &amp; "," &amp; B4113</f>
        <v>https://www.google.com/maps/search/?api=1&amp;query=-0.30900494786962,-55.55495842921570</v>
      </c>
      <c r="G4113" s="33" t="str">
        <f t="array" ref="G4113">"https://earth.google.com/web/search/" &amp; A4113 &amp; "," &amp; B4113</f>
        <v>https://earth.google.com/web/search/-0.30900494786962,-55.55495842921570</v>
      </c>
      <c r="H4113" s="12"/>
      <c r="I4113" s="12"/>
      <c r="J4113" s="12"/>
      <c r="K4113" s="12"/>
      <c r="L4113" s="12"/>
      <c r="M4113" s="12"/>
      <c r="N4113" s="12"/>
      <c r="O4113" s="12"/>
      <c r="P4113" s="12"/>
      <c r="Q4113" s="12"/>
      <c r="R4113" s="12"/>
      <c r="S4113" s="12"/>
      <c r="T4113" s="12"/>
      <c r="U4113" s="12"/>
      <c r="V4113" s="12"/>
      <c r="W4113" s="12"/>
      <c r="X4113" s="12"/>
      <c r="Y4113" s="12"/>
      <c r="Z4113" s="12"/>
      <c r="AA4113" s="12"/>
    </row>
    <row r="4114" ht="26.25" customHeight="1">
      <c r="A4114" s="34" t="s">
        <v>8238</v>
      </c>
      <c r="B4114" s="35" t="s">
        <v>8239</v>
      </c>
      <c r="C4114" s="36">
        <v>4.0</v>
      </c>
      <c r="D4114" s="37">
        <v>363.0</v>
      </c>
      <c r="E4114" s="37">
        <v>1.0</v>
      </c>
      <c r="F4114" s="24" t="str">
        <f t="array" ref="F4114">"https://www.google.com/maps/search/?api=1&amp;query=" &amp; A4114 &amp; "," &amp; B4114</f>
        <v>https://www.google.com/maps/search/?api=1&amp;query=-30.90091384894350,-55.55426926853030</v>
      </c>
      <c r="G4114" s="25" t="str">
        <f t="array" ref="G4114">"https://earth.google.com/web/search/" &amp; A4114 &amp; "," &amp; B4114</f>
        <v>https://earth.google.com/web/search/-30.90091384894350,-55.55426926853030</v>
      </c>
      <c r="H4114" s="12"/>
      <c r="I4114" s="12"/>
      <c r="J4114" s="12"/>
      <c r="K4114" s="12"/>
      <c r="L4114" s="12"/>
      <c r="M4114" s="12"/>
      <c r="N4114" s="12"/>
      <c r="O4114" s="12"/>
      <c r="P4114" s="12"/>
      <c r="Q4114" s="12"/>
      <c r="R4114" s="12"/>
      <c r="S4114" s="12"/>
      <c r="T4114" s="12"/>
      <c r="U4114" s="12"/>
      <c r="V4114" s="12"/>
      <c r="W4114" s="12"/>
      <c r="X4114" s="12"/>
      <c r="Y4114" s="12"/>
      <c r="Z4114" s="12"/>
      <c r="AA4114" s="12"/>
    </row>
    <row r="4115" ht="26.25" customHeight="1">
      <c r="A4115" s="28" t="s">
        <v>8240</v>
      </c>
      <c r="B4115" s="29" t="s">
        <v>8241</v>
      </c>
      <c r="C4115" s="30">
        <v>4.0</v>
      </c>
      <c r="D4115" s="31">
        <v>363.0</v>
      </c>
      <c r="E4115" s="31">
        <v>2.0</v>
      </c>
      <c r="F4115" s="32" t="str">
        <f t="array" ref="F4115">"https://www.google.com/maps/search/?api=1&amp;query=" &amp; A4115 &amp; "," &amp; B4115</f>
        <v>https://www.google.com/maps/search/?api=1&amp;query=-30.90097125096410,-55.55413903278240</v>
      </c>
      <c r="G4115" s="33" t="str">
        <f t="array" ref="G4115">"https://earth.google.com/web/search/" &amp; A4115 &amp; "," &amp; B4115</f>
        <v>https://earth.google.com/web/search/-30.90097125096410,-55.55413903278240</v>
      </c>
      <c r="H4115" s="12"/>
      <c r="I4115" s="12"/>
      <c r="J4115" s="12"/>
      <c r="K4115" s="12"/>
      <c r="L4115" s="12"/>
      <c r="M4115" s="12"/>
      <c r="N4115" s="12"/>
      <c r="O4115" s="12"/>
      <c r="P4115" s="12"/>
      <c r="Q4115" s="12"/>
      <c r="R4115" s="12"/>
      <c r="S4115" s="12"/>
      <c r="T4115" s="12"/>
      <c r="U4115" s="12"/>
      <c r="V4115" s="12"/>
      <c r="W4115" s="12"/>
      <c r="X4115" s="12"/>
      <c r="Y4115" s="12"/>
      <c r="Z4115" s="12"/>
      <c r="AA4115" s="12"/>
    </row>
    <row r="4116" ht="26.25" customHeight="1">
      <c r="A4116" s="34" t="s">
        <v>8242</v>
      </c>
      <c r="B4116" s="35" t="s">
        <v>8243</v>
      </c>
      <c r="C4116" s="36">
        <v>4.0</v>
      </c>
      <c r="D4116" s="37">
        <v>363.0</v>
      </c>
      <c r="E4116" s="37">
        <v>3.0</v>
      </c>
      <c r="F4116" s="24" t="str">
        <f t="array" ref="F4116">"https://www.google.com/maps/search/?api=1&amp;query=" &amp; A4116 &amp; "," &amp; B4116</f>
        <v>https://www.google.com/maps/search/?api=1&amp;query=-30.90100322615770,-55.55408833605940</v>
      </c>
      <c r="G4116" s="25" t="str">
        <f t="array" ref="G4116">"https://earth.google.com/web/search/" &amp; A4116 &amp; "," &amp; B4116</f>
        <v>https://earth.google.com/web/search/-30.90100322615770,-55.55408833605940</v>
      </c>
      <c r="H4116" s="12"/>
      <c r="I4116" s="12"/>
      <c r="J4116" s="12"/>
      <c r="K4116" s="12"/>
      <c r="L4116" s="12"/>
      <c r="M4116" s="12"/>
      <c r="N4116" s="12"/>
      <c r="O4116" s="12"/>
      <c r="P4116" s="12"/>
      <c r="Q4116" s="12"/>
      <c r="R4116" s="12"/>
      <c r="S4116" s="12"/>
      <c r="T4116" s="12"/>
      <c r="U4116" s="12"/>
      <c r="V4116" s="12"/>
      <c r="W4116" s="12"/>
      <c r="X4116" s="12"/>
      <c r="Y4116" s="12"/>
      <c r="Z4116" s="12"/>
      <c r="AA4116" s="12"/>
    </row>
    <row r="4117" ht="26.25" customHeight="1">
      <c r="A4117" s="28" t="s">
        <v>8244</v>
      </c>
      <c r="B4117" s="29" t="s">
        <v>8245</v>
      </c>
      <c r="C4117" s="30">
        <v>4.0</v>
      </c>
      <c r="D4117" s="31">
        <v>394.0</v>
      </c>
      <c r="E4117" s="31">
        <v>1.0</v>
      </c>
      <c r="F4117" s="32" t="str">
        <f t="array" ref="F4117">"https://www.google.com/maps/search/?api=1&amp;query=" &amp; A4117 &amp; "," &amp; B4117</f>
        <v>https://www.google.com/maps/search/?api=1&amp;query=-30.90167250019510,-55.55478734437960</v>
      </c>
      <c r="G4117" s="33" t="str">
        <f t="array" ref="G4117">"https://earth.google.com/web/search/" &amp; A4117 &amp; "," &amp; B4117</f>
        <v>https://earth.google.com/web/search/-30.90167250019510,-55.55478734437960</v>
      </c>
      <c r="H4117" s="12"/>
      <c r="I4117" s="12"/>
      <c r="J4117" s="12"/>
      <c r="K4117" s="12"/>
      <c r="L4117" s="12"/>
      <c r="M4117" s="12"/>
      <c r="N4117" s="12"/>
      <c r="O4117" s="12"/>
      <c r="P4117" s="12"/>
      <c r="Q4117" s="12"/>
      <c r="R4117" s="12"/>
      <c r="S4117" s="12"/>
      <c r="T4117" s="12"/>
      <c r="U4117" s="12"/>
      <c r="V4117" s="12"/>
      <c r="W4117" s="12"/>
      <c r="X4117" s="12"/>
      <c r="Y4117" s="12"/>
      <c r="Z4117" s="12"/>
      <c r="AA4117" s="12"/>
    </row>
    <row r="4118" ht="26.25" customHeight="1">
      <c r="A4118" s="34" t="s">
        <v>8246</v>
      </c>
      <c r="B4118" s="35" t="s">
        <v>8247</v>
      </c>
      <c r="C4118" s="36">
        <v>4.0</v>
      </c>
      <c r="D4118" s="37">
        <v>394.0</v>
      </c>
      <c r="E4118" s="37">
        <v>2.0</v>
      </c>
      <c r="F4118" s="24" t="str">
        <f t="array" ref="F4118">"https://www.google.com/maps/search/?api=1&amp;query=" &amp; A4118 &amp; "," &amp; B4118</f>
        <v>https://www.google.com/maps/search/?api=1&amp;query=-30.90176785020540,-55.55459896787100</v>
      </c>
      <c r="G4118" s="25" t="str">
        <f t="array" ref="G4118">"https://earth.google.com/web/search/" &amp; A4118 &amp; "," &amp; B4118</f>
        <v>https://earth.google.com/web/search/-30.90176785020540,-55.55459896787100</v>
      </c>
      <c r="H4118" s="12"/>
      <c r="I4118" s="12"/>
      <c r="J4118" s="12"/>
      <c r="K4118" s="12"/>
      <c r="L4118" s="12"/>
      <c r="M4118" s="12"/>
      <c r="N4118" s="12"/>
      <c r="O4118" s="12"/>
      <c r="P4118" s="12"/>
      <c r="Q4118" s="12"/>
      <c r="R4118" s="12"/>
      <c r="S4118" s="12"/>
      <c r="T4118" s="12"/>
      <c r="U4118" s="12"/>
      <c r="V4118" s="12"/>
      <c r="W4118" s="12"/>
      <c r="X4118" s="12"/>
      <c r="Y4118" s="12"/>
      <c r="Z4118" s="12"/>
      <c r="AA4118" s="12"/>
    </row>
    <row r="4119" ht="26.25" customHeight="1">
      <c r="A4119" s="28" t="s">
        <v>8248</v>
      </c>
      <c r="B4119" s="29" t="s">
        <v>8249</v>
      </c>
      <c r="C4119" s="30">
        <v>4.0</v>
      </c>
      <c r="D4119" s="31">
        <v>394.0</v>
      </c>
      <c r="E4119" s="31">
        <v>3.0</v>
      </c>
      <c r="F4119" s="32" t="str">
        <f t="array" ref="F4119">"https://www.google.com/maps/search/?api=1&amp;query=" &amp; A4119 &amp; "," &amp; B4119</f>
        <v>https://www.google.com/maps/search/?api=1&amp;query=-30.90182343380110,-55.55451915249720</v>
      </c>
      <c r="G4119" s="33" t="str">
        <f t="array" ref="G4119">"https://earth.google.com/web/search/" &amp; A4119 &amp; "," &amp; B4119</f>
        <v>https://earth.google.com/web/search/-30.90182343380110,-55.55451915249720</v>
      </c>
      <c r="H4119" s="12"/>
      <c r="I4119" s="12"/>
      <c r="J4119" s="12"/>
      <c r="K4119" s="12"/>
      <c r="L4119" s="12"/>
      <c r="M4119" s="12"/>
      <c r="N4119" s="12"/>
      <c r="O4119" s="12"/>
      <c r="P4119" s="12"/>
      <c r="Q4119" s="12"/>
      <c r="R4119" s="12"/>
      <c r="S4119" s="12"/>
      <c r="T4119" s="12"/>
      <c r="U4119" s="12"/>
      <c r="V4119" s="12"/>
      <c r="W4119" s="12"/>
      <c r="X4119" s="12"/>
      <c r="Y4119" s="12"/>
      <c r="Z4119" s="12"/>
      <c r="AA4119" s="12"/>
    </row>
    <row r="4120" ht="26.25" customHeight="1">
      <c r="A4120" s="34" t="s">
        <v>8250</v>
      </c>
      <c r="B4120" s="35" t="s">
        <v>8251</v>
      </c>
      <c r="C4120" s="36">
        <v>4.0</v>
      </c>
      <c r="D4120" s="37">
        <v>394.0</v>
      </c>
      <c r="E4120" s="37">
        <v>4.0</v>
      </c>
      <c r="F4120" s="24" t="str">
        <f t="array" ref="F4120">"https://www.google.com/maps/search/?api=1&amp;query=" &amp; A4120 &amp; "," &amp; B4120</f>
        <v>https://www.google.com/maps/search/?api=1&amp;query=-30.90194069285350,-55.55423932937360</v>
      </c>
      <c r="G4120" s="25" t="str">
        <f t="array" ref="G4120">"https://earth.google.com/web/search/" &amp; A4120 &amp; "," &amp; B4120</f>
        <v>https://earth.google.com/web/search/-30.90194069285350,-55.55423932937360</v>
      </c>
      <c r="H4120" s="12"/>
      <c r="I4120" s="12"/>
      <c r="J4120" s="12"/>
      <c r="K4120" s="12"/>
      <c r="L4120" s="12"/>
      <c r="M4120" s="12"/>
      <c r="N4120" s="12"/>
      <c r="O4120" s="12"/>
      <c r="P4120" s="12"/>
      <c r="Q4120" s="12"/>
      <c r="R4120" s="12"/>
      <c r="S4120" s="12"/>
      <c r="T4120" s="12"/>
      <c r="U4120" s="12"/>
      <c r="V4120" s="12"/>
      <c r="W4120" s="12"/>
      <c r="X4120" s="12"/>
      <c r="Y4120" s="12"/>
      <c r="Z4120" s="12"/>
      <c r="AA4120" s="12"/>
    </row>
    <row r="4121" ht="26.25" customHeight="1">
      <c r="A4121" s="28" t="s">
        <v>8252</v>
      </c>
      <c r="B4121" s="29" t="s">
        <v>8253</v>
      </c>
      <c r="C4121" s="30">
        <v>4.0</v>
      </c>
      <c r="D4121" s="31">
        <v>394.0</v>
      </c>
      <c r="E4121" s="31">
        <v>5.0</v>
      </c>
      <c r="F4121" s="32" t="str">
        <f t="array" ref="F4121">"https://www.google.com/maps/search/?api=1&amp;query=" &amp; A4121 &amp; "," &amp; B4121</f>
        <v>https://www.google.com/maps/search/?api=1&amp;query=-30.90200079556340,-55.55416955279840</v>
      </c>
      <c r="G4121" s="33" t="str">
        <f t="array" ref="G4121">"https://earth.google.com/web/search/" &amp; A4121 &amp; "," &amp; B4121</f>
        <v>https://earth.google.com/web/search/-30.90200079556340,-55.55416955279840</v>
      </c>
      <c r="H4121" s="12"/>
      <c r="I4121" s="12"/>
      <c r="J4121" s="12"/>
      <c r="K4121" s="12"/>
      <c r="L4121" s="12"/>
      <c r="M4121" s="12"/>
      <c r="N4121" s="12"/>
      <c r="O4121" s="12"/>
      <c r="P4121" s="12"/>
      <c r="Q4121" s="12"/>
      <c r="R4121" s="12"/>
      <c r="S4121" s="12"/>
      <c r="T4121" s="12"/>
      <c r="U4121" s="12"/>
      <c r="V4121" s="12"/>
      <c r="W4121" s="12"/>
      <c r="X4121" s="12"/>
      <c r="Y4121" s="12"/>
      <c r="Z4121" s="12"/>
      <c r="AA4121" s="12"/>
    </row>
    <row r="4122" ht="26.25" customHeight="1">
      <c r="A4122" s="34" t="s">
        <v>8254</v>
      </c>
      <c r="B4122" s="35" t="s">
        <v>8255</v>
      </c>
      <c r="C4122" s="36">
        <v>4.0</v>
      </c>
      <c r="D4122" s="37">
        <v>394.0</v>
      </c>
      <c r="E4122" s="37">
        <v>6.0</v>
      </c>
      <c r="F4122" s="24" t="str">
        <f t="array" ref="F4122">"https://www.google.com/maps/search/?api=1&amp;query=" &amp; A4122 &amp; "," &amp; B4122</f>
        <v>https://www.google.com/maps/search/?api=1&amp;query=-30.90118585531640,-55.55387905218930</v>
      </c>
      <c r="G4122" s="25" t="str">
        <f t="array" ref="G4122">"https://earth.google.com/web/search/" &amp; A4122 &amp; "," &amp; B4122</f>
        <v>https://earth.google.com/web/search/-30.90118585531640,-55.55387905218930</v>
      </c>
      <c r="H4122" s="12"/>
      <c r="I4122" s="12"/>
      <c r="J4122" s="12"/>
      <c r="K4122" s="12"/>
      <c r="L4122" s="12"/>
      <c r="M4122" s="12"/>
      <c r="N4122" s="12"/>
      <c r="O4122" s="12"/>
      <c r="P4122" s="12"/>
      <c r="Q4122" s="12"/>
      <c r="R4122" s="12"/>
      <c r="S4122" s="12"/>
      <c r="T4122" s="12"/>
      <c r="U4122" s="12"/>
      <c r="V4122" s="12"/>
      <c r="W4122" s="12"/>
      <c r="X4122" s="12"/>
      <c r="Y4122" s="12"/>
      <c r="Z4122" s="12"/>
      <c r="AA4122" s="12"/>
    </row>
    <row r="4123" ht="26.25" customHeight="1">
      <c r="A4123" s="28" t="s">
        <v>8256</v>
      </c>
      <c r="B4123" s="29" t="s">
        <v>8257</v>
      </c>
      <c r="C4123" s="30">
        <v>4.0</v>
      </c>
      <c r="D4123" s="31">
        <v>394.0</v>
      </c>
      <c r="E4123" s="31">
        <v>7.0</v>
      </c>
      <c r="F4123" s="32" t="str">
        <f t="array" ref="F4123">"https://www.google.com/maps/search/?api=1&amp;query=" &amp; A4123 &amp; "," &amp; B4123</f>
        <v>https://www.google.com/maps/search/?api=1&amp;query=-30.90158067028520,-55.55482576677250</v>
      </c>
      <c r="G4123" s="33" t="str">
        <f t="array" ref="G4123">"https://earth.google.com/web/search/" &amp; A4123 &amp; "," &amp; B4123</f>
        <v>https://earth.google.com/web/search/-30.90158067028520,-55.55482576677250</v>
      </c>
      <c r="H4123" s="12"/>
      <c r="I4123" s="12"/>
      <c r="J4123" s="12"/>
      <c r="K4123" s="12"/>
      <c r="L4123" s="12"/>
      <c r="M4123" s="12"/>
      <c r="N4123" s="12"/>
      <c r="O4123" s="12"/>
      <c r="P4123" s="12"/>
      <c r="Q4123" s="12"/>
      <c r="R4123" s="12"/>
      <c r="S4123" s="12"/>
      <c r="T4123" s="12"/>
      <c r="U4123" s="12"/>
      <c r="V4123" s="12"/>
      <c r="W4123" s="12"/>
      <c r="X4123" s="12"/>
      <c r="Y4123" s="12"/>
      <c r="Z4123" s="12"/>
      <c r="AA4123" s="12"/>
    </row>
    <row r="4124" ht="26.25" customHeight="1">
      <c r="A4124" s="34" t="s">
        <v>8258</v>
      </c>
      <c r="B4124" s="35" t="s">
        <v>8259</v>
      </c>
      <c r="C4124" s="36">
        <v>4.0</v>
      </c>
      <c r="D4124" s="37">
        <v>395.0</v>
      </c>
      <c r="E4124" s="37">
        <v>1.0</v>
      </c>
      <c r="F4124" s="24" t="str">
        <f t="array" ref="F4124">"https://www.google.com/maps/search/?api=1&amp;query=" &amp; A4124 &amp; "," &amp; B4124</f>
        <v>https://www.google.com/maps/search/?api=1&amp;query=-30.90127331017760,-55.55471913173890</v>
      </c>
      <c r="G4124" s="25" t="str">
        <f t="array" ref="G4124">"https://earth.google.com/web/search/" &amp; A4124 &amp; "," &amp; B4124</f>
        <v>https://earth.google.com/web/search/-30.90127331017760,-55.55471913173890</v>
      </c>
      <c r="H4124" s="12"/>
      <c r="I4124" s="12"/>
      <c r="J4124" s="12"/>
      <c r="K4124" s="12"/>
      <c r="L4124" s="12"/>
      <c r="M4124" s="12"/>
      <c r="N4124" s="12"/>
      <c r="O4124" s="12"/>
      <c r="P4124" s="12"/>
      <c r="Q4124" s="12"/>
      <c r="R4124" s="12"/>
      <c r="S4124" s="12"/>
      <c r="T4124" s="12"/>
      <c r="U4124" s="12"/>
      <c r="V4124" s="12"/>
      <c r="W4124" s="12"/>
      <c r="X4124" s="12"/>
      <c r="Y4124" s="12"/>
      <c r="Z4124" s="12"/>
      <c r="AA4124" s="12"/>
    </row>
    <row r="4125" ht="26.25" customHeight="1">
      <c r="A4125" s="28" t="s">
        <v>8260</v>
      </c>
      <c r="B4125" s="29" t="s">
        <v>8261</v>
      </c>
      <c r="C4125" s="30">
        <v>4.0</v>
      </c>
      <c r="D4125" s="31">
        <v>395.0</v>
      </c>
      <c r="E4125" s="31">
        <v>2.0</v>
      </c>
      <c r="F4125" s="32" t="str">
        <f t="array" ref="F4125">"https://www.google.com/maps/search/?api=1&amp;query=" &amp; A4125 &amp; "," &amp; B4125</f>
        <v>https://www.google.com/maps/search/?api=1&amp;query=-30.90060263035420,-55.55499395345850</v>
      </c>
      <c r="G4125" s="33" t="str">
        <f t="array" ref="G4125">"https://earth.google.com/web/search/" &amp; A4125 &amp; "," &amp; B4125</f>
        <v>https://earth.google.com/web/search/-30.90060263035420,-55.55499395345850</v>
      </c>
      <c r="H4125" s="12"/>
      <c r="I4125" s="12"/>
      <c r="J4125" s="12"/>
      <c r="K4125" s="12"/>
      <c r="L4125" s="12"/>
      <c r="M4125" s="12"/>
      <c r="N4125" s="12"/>
      <c r="O4125" s="12"/>
      <c r="P4125" s="12"/>
      <c r="Q4125" s="12"/>
      <c r="R4125" s="12"/>
      <c r="S4125" s="12"/>
      <c r="T4125" s="12"/>
      <c r="U4125" s="12"/>
      <c r="V4125" s="12"/>
      <c r="W4125" s="12"/>
      <c r="X4125" s="12"/>
      <c r="Y4125" s="12"/>
      <c r="Z4125" s="12"/>
      <c r="AA4125" s="12"/>
    </row>
    <row r="4126" ht="26.25" customHeight="1">
      <c r="A4126" s="34" t="s">
        <v>8262</v>
      </c>
      <c r="B4126" s="35" t="s">
        <v>8263</v>
      </c>
      <c r="C4126" s="36">
        <v>4.0</v>
      </c>
      <c r="D4126" s="37">
        <v>395.0</v>
      </c>
      <c r="E4126" s="37">
        <v>3.0</v>
      </c>
      <c r="F4126" s="24" t="str">
        <f t="array" ref="F4126">"https://www.google.com/maps/search/?api=1&amp;query=" &amp; A4126 &amp; "," &amp; B4126</f>
        <v>https://www.google.com/maps/search/?api=1&amp;query=-30.90078566187460,-5.55554789653796</v>
      </c>
      <c r="G4126" s="25" t="str">
        <f t="array" ref="G4126">"https://earth.google.com/web/search/" &amp; A4126 &amp; "," &amp; B4126</f>
        <v>https://earth.google.com/web/search/-30.90078566187460,-5.55554789653796</v>
      </c>
      <c r="H4126" s="12"/>
      <c r="I4126" s="12"/>
      <c r="J4126" s="12"/>
      <c r="K4126" s="12"/>
      <c r="L4126" s="12"/>
      <c r="M4126" s="12"/>
      <c r="N4126" s="12"/>
      <c r="O4126" s="12"/>
      <c r="P4126" s="12"/>
      <c r="Q4126" s="12"/>
      <c r="R4126" s="12"/>
      <c r="S4126" s="12"/>
      <c r="T4126" s="12"/>
      <c r="U4126" s="12"/>
      <c r="V4126" s="12"/>
      <c r="W4126" s="12"/>
      <c r="X4126" s="12"/>
      <c r="Y4126" s="12"/>
      <c r="Z4126" s="12"/>
      <c r="AA4126" s="12"/>
    </row>
    <row r="4127" ht="26.25" customHeight="1">
      <c r="A4127" s="28" t="s">
        <v>8264</v>
      </c>
      <c r="B4127" s="29" t="s">
        <v>8265</v>
      </c>
      <c r="C4127" s="30">
        <v>4.0</v>
      </c>
      <c r="D4127" s="31">
        <v>396.0</v>
      </c>
      <c r="E4127" s="31">
        <v>1.0</v>
      </c>
      <c r="F4127" s="32" t="str">
        <f t="array" ref="F4127">"https://www.google.com/maps/search/?api=1&amp;query=" &amp; A4127 &amp; "," &amp; B4127</f>
        <v>https://www.google.com/maps/search/?api=1&amp;query=-30.90075989824120,-55.55658522630580</v>
      </c>
      <c r="G4127" s="33" t="str">
        <f t="array" ref="G4127">"https://earth.google.com/web/search/" &amp; A4127 &amp; "," &amp; B4127</f>
        <v>https://earth.google.com/web/search/-30.90075989824120,-55.55658522630580</v>
      </c>
      <c r="H4127" s="12"/>
      <c r="I4127" s="12"/>
      <c r="J4127" s="12"/>
      <c r="K4127" s="12"/>
      <c r="L4127" s="12"/>
      <c r="M4127" s="12"/>
      <c r="N4127" s="12"/>
      <c r="O4127" s="12"/>
      <c r="P4127" s="12"/>
      <c r="Q4127" s="12"/>
      <c r="R4127" s="12"/>
      <c r="S4127" s="12"/>
      <c r="T4127" s="12"/>
      <c r="U4127" s="12"/>
      <c r="V4127" s="12"/>
      <c r="W4127" s="12"/>
      <c r="X4127" s="12"/>
      <c r="Y4127" s="12"/>
      <c r="Z4127" s="12"/>
      <c r="AA4127" s="12"/>
    </row>
    <row r="4128" ht="26.25" customHeight="1">
      <c r="A4128" s="34" t="s">
        <v>8266</v>
      </c>
      <c r="B4128" s="35" t="s">
        <v>8267</v>
      </c>
      <c r="C4128" s="36">
        <v>4.0</v>
      </c>
      <c r="D4128" s="37">
        <v>396.0</v>
      </c>
      <c r="E4128" s="37">
        <v>2.0</v>
      </c>
      <c r="F4128" s="24" t="str">
        <f t="array" ref="F4128">"https://www.google.com/maps/search/?api=1&amp;query=" &amp; A4128 &amp; "," &amp; B4128</f>
        <v>https://www.google.com/maps/search/?api=1&amp;query=-30.90085352316900,-55.55632961392010</v>
      </c>
      <c r="G4128" s="25" t="str">
        <f t="array" ref="G4128">"https://earth.google.com/web/search/" &amp; A4128 &amp; "," &amp; B4128</f>
        <v>https://earth.google.com/web/search/-30.90085352316900,-55.55632961392010</v>
      </c>
      <c r="H4128" s="12"/>
      <c r="I4128" s="12"/>
      <c r="J4128" s="12"/>
      <c r="K4128" s="12"/>
      <c r="L4128" s="12"/>
      <c r="M4128" s="12"/>
      <c r="N4128" s="12"/>
      <c r="O4128" s="12"/>
      <c r="P4128" s="12"/>
      <c r="Q4128" s="12"/>
      <c r="R4128" s="12"/>
      <c r="S4128" s="12"/>
      <c r="T4128" s="12"/>
      <c r="U4128" s="12"/>
      <c r="V4128" s="12"/>
      <c r="W4128" s="12"/>
      <c r="X4128" s="12"/>
      <c r="Y4128" s="12"/>
      <c r="Z4128" s="12"/>
      <c r="AA4128" s="12"/>
    </row>
    <row r="4129" ht="26.25" customHeight="1">
      <c r="A4129" s="28" t="s">
        <v>8268</v>
      </c>
      <c r="B4129" s="29" t="s">
        <v>8269</v>
      </c>
      <c r="C4129" s="30">
        <v>4.0</v>
      </c>
      <c r="D4129" s="31">
        <v>396.0</v>
      </c>
      <c r="E4129" s="31">
        <v>3.0</v>
      </c>
      <c r="F4129" s="32" t="str">
        <f t="array" ref="F4129">"https://www.google.com/maps/search/?api=1&amp;query=" &amp; A4129 &amp; "," &amp; B4129</f>
        <v>https://www.google.com/maps/search/?api=1&amp;query=-30.90103367798990,-55.55580375883430</v>
      </c>
      <c r="G4129" s="33" t="str">
        <f t="array" ref="G4129">"https://earth.google.com/web/search/" &amp; A4129 &amp; "," &amp; B4129</f>
        <v>https://earth.google.com/web/search/-30.90103367798990,-55.55580375883430</v>
      </c>
      <c r="H4129" s="12"/>
      <c r="I4129" s="12"/>
      <c r="J4129" s="12"/>
      <c r="K4129" s="12"/>
      <c r="L4129" s="12"/>
      <c r="M4129" s="12"/>
      <c r="N4129" s="12"/>
      <c r="O4129" s="12"/>
      <c r="P4129" s="12"/>
      <c r="Q4129" s="12"/>
      <c r="R4129" s="12"/>
      <c r="S4129" s="12"/>
      <c r="T4129" s="12"/>
      <c r="U4129" s="12"/>
      <c r="V4129" s="12"/>
      <c r="W4129" s="12"/>
      <c r="X4129" s="12"/>
      <c r="Y4129" s="12"/>
      <c r="Z4129" s="12"/>
      <c r="AA4129" s="12"/>
    </row>
    <row r="4130" ht="26.25" customHeight="1">
      <c r="A4130" s="34" t="s">
        <v>8270</v>
      </c>
      <c r="B4130" s="35" t="s">
        <v>8271</v>
      </c>
      <c r="C4130" s="36">
        <v>4.0</v>
      </c>
      <c r="D4130" s="37">
        <v>396.0</v>
      </c>
      <c r="E4130" s="37">
        <v>4.0</v>
      </c>
      <c r="F4130" s="24" t="str">
        <f t="array" ref="F4130">"https://www.google.com/maps/search/?api=1&amp;query=" &amp; A4130 &amp; "," &amp; B4130</f>
        <v>https://www.google.com/maps/search/?api=1&amp;query=-30.90032703731160,-0.55555511142638</v>
      </c>
      <c r="G4130" s="25" t="str">
        <f t="array" ref="G4130">"https://earth.google.com/web/search/" &amp; A4130 &amp; "," &amp; B4130</f>
        <v>https://earth.google.com/web/search/-30.90032703731160,-0.55555511142638</v>
      </c>
      <c r="H4130" s="12"/>
      <c r="I4130" s="12"/>
      <c r="J4130" s="12"/>
      <c r="K4130" s="12"/>
      <c r="L4130" s="12"/>
      <c r="M4130" s="12"/>
      <c r="N4130" s="12"/>
      <c r="O4130" s="12"/>
      <c r="P4130" s="12"/>
      <c r="Q4130" s="12"/>
      <c r="R4130" s="12"/>
      <c r="S4130" s="12"/>
      <c r="T4130" s="12"/>
      <c r="U4130" s="12"/>
      <c r="V4130" s="12"/>
      <c r="W4130" s="12"/>
      <c r="X4130" s="12"/>
      <c r="Y4130" s="12"/>
      <c r="Z4130" s="12"/>
      <c r="AA4130" s="12"/>
    </row>
    <row r="4131" ht="26.25" customHeight="1">
      <c r="A4131" s="28" t="s">
        <v>8272</v>
      </c>
      <c r="B4131" s="29" t="s">
        <v>8273</v>
      </c>
      <c r="C4131" s="30">
        <v>4.0</v>
      </c>
      <c r="D4131" s="31">
        <v>396.0</v>
      </c>
      <c r="E4131" s="31">
        <v>5.0</v>
      </c>
      <c r="F4131" s="32" t="str">
        <f t="array" ref="F4131">"https://www.google.com/maps/search/?api=1&amp;query=" &amp; A4131 &amp; "," &amp; B4131</f>
        <v>https://www.google.com/maps/search/?api=1&amp;query=-30.90012969103500,-55.55592619166510</v>
      </c>
      <c r="G4131" s="33" t="str">
        <f t="array" ref="G4131">"https://earth.google.com/web/search/" &amp; A4131 &amp; "," &amp; B4131</f>
        <v>https://earth.google.com/web/search/-30.90012969103500,-55.55592619166510</v>
      </c>
      <c r="H4131" s="12"/>
      <c r="I4131" s="12"/>
      <c r="J4131" s="12"/>
      <c r="K4131" s="12"/>
      <c r="L4131" s="12"/>
      <c r="M4131" s="12"/>
      <c r="N4131" s="12"/>
      <c r="O4131" s="12"/>
      <c r="P4131" s="12"/>
      <c r="Q4131" s="12"/>
      <c r="R4131" s="12"/>
      <c r="S4131" s="12"/>
      <c r="T4131" s="12"/>
      <c r="U4131" s="12"/>
      <c r="V4131" s="12"/>
      <c r="W4131" s="12"/>
      <c r="X4131" s="12"/>
      <c r="Y4131" s="12"/>
      <c r="Z4131" s="12"/>
      <c r="AA4131" s="12"/>
    </row>
    <row r="4132" ht="26.25" customHeight="1">
      <c r="A4132" s="34" t="s">
        <v>8274</v>
      </c>
      <c r="B4132" s="35" t="s">
        <v>8275</v>
      </c>
      <c r="C4132" s="36">
        <v>4.0</v>
      </c>
      <c r="D4132" s="37">
        <v>396.0</v>
      </c>
      <c r="E4132" s="37">
        <v>6.0</v>
      </c>
      <c r="F4132" s="24" t="str">
        <f t="array" ref="F4132">"https://www.google.com/maps/search/?api=1&amp;query=" &amp; A4132 &amp; "," &amp; B4132</f>
        <v>https://www.google.com/maps/search/?api=1&amp;query=-30.90007351223040,-55.55600370083400</v>
      </c>
      <c r="G4132" s="25" t="str">
        <f t="array" ref="G4132">"https://earth.google.com/web/search/" &amp; A4132 &amp; "," &amp; B4132</f>
        <v>https://earth.google.com/web/search/-30.90007351223040,-55.55600370083400</v>
      </c>
      <c r="H4132" s="12"/>
      <c r="I4132" s="12"/>
      <c r="J4132" s="12"/>
      <c r="K4132" s="12"/>
      <c r="L4132" s="12"/>
      <c r="M4132" s="12"/>
      <c r="N4132" s="12"/>
      <c r="O4132" s="12"/>
      <c r="P4132" s="12"/>
      <c r="Q4132" s="12"/>
      <c r="R4132" s="12"/>
      <c r="S4132" s="12"/>
      <c r="T4132" s="12"/>
      <c r="U4132" s="12"/>
      <c r="V4132" s="12"/>
      <c r="W4132" s="12"/>
      <c r="X4132" s="12"/>
      <c r="Y4132" s="12"/>
      <c r="Z4132" s="12"/>
      <c r="AA4132" s="12"/>
    </row>
    <row r="4133" ht="26.25" customHeight="1">
      <c r="A4133" s="28" t="s">
        <v>8276</v>
      </c>
      <c r="B4133" s="29" t="s">
        <v>8277</v>
      </c>
      <c r="C4133" s="30">
        <v>4.0</v>
      </c>
      <c r="D4133" s="31">
        <v>396.0</v>
      </c>
      <c r="E4133" s="31">
        <v>7.0</v>
      </c>
      <c r="F4133" s="32" t="str">
        <f t="array" ref="F4133">"https://www.google.com/maps/search/?api=1&amp;query=" &amp; A4133 &amp; "," &amp; B4133</f>
        <v>https://www.google.com/maps/search/?api=1&amp;query=-30.90002298272880,-5.55561124266466</v>
      </c>
      <c r="G4133" s="33" t="str">
        <f t="array" ref="G4133">"https://earth.google.com/web/search/" &amp; A4133 &amp; "," &amp; B4133</f>
        <v>https://earth.google.com/web/search/-30.90002298272880,-5.55561124266466</v>
      </c>
      <c r="H4133" s="12"/>
      <c r="I4133" s="12"/>
      <c r="J4133" s="12"/>
      <c r="K4133" s="12"/>
      <c r="L4133" s="12"/>
      <c r="M4133" s="12"/>
      <c r="N4133" s="12"/>
      <c r="O4133" s="12"/>
      <c r="P4133" s="12"/>
      <c r="Q4133" s="12"/>
      <c r="R4133" s="12"/>
      <c r="S4133" s="12"/>
      <c r="T4133" s="12"/>
      <c r="U4133" s="12"/>
      <c r="V4133" s="12"/>
      <c r="W4133" s="12"/>
      <c r="X4133" s="12"/>
      <c r="Y4133" s="12"/>
      <c r="Z4133" s="12"/>
      <c r="AA4133" s="12"/>
    </row>
    <row r="4134" ht="26.25" customHeight="1">
      <c r="A4134" s="34" t="s">
        <v>8278</v>
      </c>
      <c r="B4134" s="35" t="s">
        <v>8279</v>
      </c>
      <c r="C4134" s="36">
        <v>4.0</v>
      </c>
      <c r="D4134" s="37">
        <v>396.0</v>
      </c>
      <c r="E4134" s="37">
        <v>8.0</v>
      </c>
      <c r="F4134" s="24" t="str">
        <f t="array" ref="F4134">"https://www.google.com/maps/search/?api=1&amp;query=" &amp; A4134 &amp; "," &amp; B4134</f>
        <v>https://www.google.com/maps/search/?api=1&amp;query=-30.90010147439820,-55.55627152745830</v>
      </c>
      <c r="G4134" s="25" t="str">
        <f t="array" ref="G4134">"https://earth.google.com/web/search/" &amp; A4134 &amp; "," &amp; B4134</f>
        <v>https://earth.google.com/web/search/-30.90010147439820,-55.55627152745830</v>
      </c>
      <c r="H4134" s="12"/>
      <c r="I4134" s="12"/>
      <c r="J4134" s="12"/>
      <c r="K4134" s="12"/>
      <c r="L4134" s="12"/>
      <c r="M4134" s="12"/>
      <c r="N4134" s="12"/>
      <c r="O4134" s="12"/>
      <c r="P4134" s="12"/>
      <c r="Q4134" s="12"/>
      <c r="R4134" s="12"/>
      <c r="S4134" s="12"/>
      <c r="T4134" s="12"/>
      <c r="U4134" s="12"/>
      <c r="V4134" s="12"/>
      <c r="W4134" s="12"/>
      <c r="X4134" s="12"/>
      <c r="Y4134" s="12"/>
      <c r="Z4134" s="12"/>
      <c r="AA4134" s="12"/>
    </row>
    <row r="4135" ht="26.25" customHeight="1">
      <c r="A4135" s="28" t="s">
        <v>8280</v>
      </c>
      <c r="B4135" s="29" t="s">
        <v>8281</v>
      </c>
      <c r="C4135" s="30">
        <v>4.0</v>
      </c>
      <c r="D4135" s="31">
        <v>396.0</v>
      </c>
      <c r="E4135" s="31">
        <v>9.0</v>
      </c>
      <c r="F4135" s="32" t="str">
        <f t="array" ref="F4135">"https://www.google.com/maps/search/?api=1&amp;query=" &amp; A4135 &amp; "," &amp; B4135</f>
        <v>https://www.google.com/maps/search/?api=1&amp;query=-30.90020734153950,-55.55631818971470</v>
      </c>
      <c r="G4135" s="33" t="str">
        <f t="array" ref="G4135">"https://earth.google.com/web/search/" &amp; A4135 &amp; "," &amp; B4135</f>
        <v>https://earth.google.com/web/search/-30.90020734153950,-55.55631818971470</v>
      </c>
      <c r="H4135" s="12"/>
      <c r="I4135" s="12"/>
      <c r="J4135" s="12"/>
      <c r="K4135" s="12"/>
      <c r="L4135" s="12"/>
      <c r="M4135" s="12"/>
      <c r="N4135" s="12"/>
      <c r="O4135" s="12"/>
      <c r="P4135" s="12"/>
      <c r="Q4135" s="12"/>
      <c r="R4135" s="12"/>
      <c r="S4135" s="12"/>
      <c r="T4135" s="12"/>
      <c r="U4135" s="12"/>
      <c r="V4135" s="12"/>
      <c r="W4135" s="12"/>
      <c r="X4135" s="12"/>
      <c r="Y4135" s="12"/>
      <c r="Z4135" s="12"/>
      <c r="AA4135" s="12"/>
    </row>
    <row r="4136" ht="26.25" customHeight="1">
      <c r="A4136" s="34" t="s">
        <v>8282</v>
      </c>
      <c r="B4136" s="35" t="s">
        <v>8283</v>
      </c>
      <c r="C4136" s="36">
        <v>4.0</v>
      </c>
      <c r="D4136" s="37">
        <v>396.0</v>
      </c>
      <c r="E4136" s="37">
        <v>10.0</v>
      </c>
      <c r="F4136" s="24" t="str">
        <f t="array" ref="F4136">"https://www.google.com/maps/search/?api=1&amp;query=" &amp; A4136 &amp; "," &amp; B4136</f>
        <v>https://www.google.com/maps/search/?api=1&amp;query=-30.90030882428740,-55.55641059655580</v>
      </c>
      <c r="G4136" s="25" t="str">
        <f t="array" ref="G4136">"https://earth.google.com/web/search/" &amp; A4136 &amp; "," &amp; B4136</f>
        <v>https://earth.google.com/web/search/-30.90030882428740,-55.55641059655580</v>
      </c>
      <c r="H4136" s="12"/>
      <c r="I4136" s="12"/>
      <c r="J4136" s="12"/>
      <c r="K4136" s="12"/>
      <c r="L4136" s="12"/>
      <c r="M4136" s="12"/>
      <c r="N4136" s="12"/>
      <c r="O4136" s="12"/>
      <c r="P4136" s="12"/>
      <c r="Q4136" s="12"/>
      <c r="R4136" s="12"/>
      <c r="S4136" s="12"/>
      <c r="T4136" s="12"/>
      <c r="U4136" s="12"/>
      <c r="V4136" s="12"/>
      <c r="W4136" s="12"/>
      <c r="X4136" s="12"/>
      <c r="Y4136" s="12"/>
      <c r="Z4136" s="12"/>
      <c r="AA4136" s="12"/>
    </row>
    <row r="4137" ht="26.25" customHeight="1">
      <c r="A4137" s="28" t="s">
        <v>8284</v>
      </c>
      <c r="B4137" s="29" t="s">
        <v>8285</v>
      </c>
      <c r="C4137" s="30">
        <v>4.0</v>
      </c>
      <c r="D4137" s="31">
        <v>396.0</v>
      </c>
      <c r="E4137" s="31">
        <v>11.0</v>
      </c>
      <c r="F4137" s="32" t="str">
        <f t="array" ref="F4137">"https://www.google.com/maps/search/?api=1&amp;query=" &amp; A4137 &amp; "," &amp; B4137</f>
        <v>https://www.google.com/maps/search/?api=1&amp;query=-30.90042089983240,-55.55645983090560</v>
      </c>
      <c r="G4137" s="33" t="str">
        <f t="array" ref="G4137">"https://earth.google.com/web/search/" &amp; A4137 &amp; "," &amp; B4137</f>
        <v>https://earth.google.com/web/search/-30.90042089983240,-55.55645983090560</v>
      </c>
      <c r="H4137" s="12"/>
      <c r="I4137" s="12"/>
      <c r="J4137" s="12"/>
      <c r="K4137" s="12"/>
      <c r="L4137" s="12"/>
      <c r="M4137" s="12"/>
      <c r="N4137" s="12"/>
      <c r="O4137" s="12"/>
      <c r="P4137" s="12"/>
      <c r="Q4137" s="12"/>
      <c r="R4137" s="12"/>
      <c r="S4137" s="12"/>
      <c r="T4137" s="12"/>
      <c r="U4137" s="12"/>
      <c r="V4137" s="12"/>
      <c r="W4137" s="12"/>
      <c r="X4137" s="12"/>
      <c r="Y4137" s="12"/>
      <c r="Z4137" s="12"/>
      <c r="AA4137" s="12"/>
    </row>
    <row r="4138" ht="26.25" customHeight="1">
      <c r="A4138" s="34" t="s">
        <v>8286</v>
      </c>
      <c r="B4138" s="35" t="s">
        <v>8287</v>
      </c>
      <c r="C4138" s="36">
        <v>4.0</v>
      </c>
      <c r="D4138" s="37">
        <v>396.0</v>
      </c>
      <c r="E4138" s="37">
        <v>12.0</v>
      </c>
      <c r="F4138" s="24" t="str">
        <f t="array" ref="F4138">"https://www.google.com/maps/search/?api=1&amp;query=" &amp; A4138 &amp; "," &amp; B4138</f>
        <v>https://www.google.com/maps/search/?api=1&amp;query=-30.90062414599760,-55.55660827972680</v>
      </c>
      <c r="G4138" s="25" t="str">
        <f t="array" ref="G4138">"https://earth.google.com/web/search/" &amp; A4138 &amp; "," &amp; B4138</f>
        <v>https://earth.google.com/web/search/-30.90062414599760,-55.55660827972680</v>
      </c>
      <c r="H4138" s="12"/>
      <c r="I4138" s="12"/>
      <c r="J4138" s="12"/>
      <c r="K4138" s="12"/>
      <c r="L4138" s="12"/>
      <c r="M4138" s="12"/>
      <c r="N4138" s="12"/>
      <c r="O4138" s="12"/>
      <c r="P4138" s="12"/>
      <c r="Q4138" s="12"/>
      <c r="R4138" s="12"/>
      <c r="S4138" s="12"/>
      <c r="T4138" s="12"/>
      <c r="U4138" s="12"/>
      <c r="V4138" s="12"/>
      <c r="W4138" s="12"/>
      <c r="X4138" s="12"/>
      <c r="Y4138" s="12"/>
      <c r="Z4138" s="12"/>
      <c r="AA4138" s="12"/>
    </row>
    <row r="4139" ht="26.25" customHeight="1">
      <c r="A4139" s="28" t="s">
        <v>8288</v>
      </c>
      <c r="B4139" s="29" t="s">
        <v>8289</v>
      </c>
      <c r="C4139" s="30">
        <v>4.0</v>
      </c>
      <c r="D4139" s="31">
        <v>397.0</v>
      </c>
      <c r="E4139" s="31">
        <v>1.0</v>
      </c>
      <c r="F4139" s="32" t="str">
        <f t="array" ref="F4139">"https://www.google.com/maps/search/?api=1&amp;query=" &amp; A4139 &amp; "," &amp; B4139</f>
        <v>https://www.google.com/maps/search/?api=1&amp;query=-30.90057009219380,-55.55684104633200</v>
      </c>
      <c r="G4139" s="33" t="str">
        <f t="array" ref="G4139">"https://earth.google.com/web/search/" &amp; A4139 &amp; "," &amp; B4139</f>
        <v>https://earth.google.com/web/search/-30.90057009219380,-55.55684104633200</v>
      </c>
      <c r="H4139" s="12"/>
      <c r="I4139" s="12"/>
      <c r="J4139" s="12"/>
      <c r="K4139" s="12"/>
      <c r="L4139" s="12"/>
      <c r="M4139" s="12"/>
      <c r="N4139" s="12"/>
      <c r="O4139" s="12"/>
      <c r="P4139" s="12"/>
      <c r="Q4139" s="12"/>
      <c r="R4139" s="12"/>
      <c r="S4139" s="12"/>
      <c r="T4139" s="12"/>
      <c r="U4139" s="12"/>
      <c r="V4139" s="12"/>
      <c r="W4139" s="12"/>
      <c r="X4139" s="12"/>
      <c r="Y4139" s="12"/>
      <c r="Z4139" s="12"/>
      <c r="AA4139" s="12"/>
    </row>
    <row r="4140" ht="26.25" customHeight="1">
      <c r="A4140" s="34" t="s">
        <v>8290</v>
      </c>
      <c r="B4140" s="35" t="s">
        <v>8291</v>
      </c>
      <c r="C4140" s="36">
        <v>4.0</v>
      </c>
      <c r="D4140" s="37">
        <v>397.0</v>
      </c>
      <c r="E4140" s="37">
        <v>2.0</v>
      </c>
      <c r="F4140" s="24" t="str">
        <f t="array" ref="F4140">"https://www.google.com/maps/search/?api=1&amp;query=" &amp; A4140 &amp; "," &amp; B4140</f>
        <v>https://www.google.com/maps/search/?api=1&amp;query=-30.90050744742050,-5.55566771467919</v>
      </c>
      <c r="G4140" s="25" t="str">
        <f t="array" ref="G4140">"https://earth.google.com/web/search/" &amp; A4140 &amp; "," &amp; B4140</f>
        <v>https://earth.google.com/web/search/-30.90050744742050,-5.55566771467919</v>
      </c>
      <c r="H4140" s="12"/>
      <c r="I4140" s="12"/>
      <c r="J4140" s="12"/>
      <c r="K4140" s="12"/>
      <c r="L4140" s="12"/>
      <c r="M4140" s="12"/>
      <c r="N4140" s="12"/>
      <c r="O4140" s="12"/>
      <c r="P4140" s="12"/>
      <c r="Q4140" s="12"/>
      <c r="R4140" s="12"/>
      <c r="S4140" s="12"/>
      <c r="T4140" s="12"/>
      <c r="U4140" s="12"/>
      <c r="V4140" s="12"/>
      <c r="W4140" s="12"/>
      <c r="X4140" s="12"/>
      <c r="Y4140" s="12"/>
      <c r="Z4140" s="12"/>
      <c r="AA4140" s="12"/>
    </row>
    <row r="4141" ht="26.25" customHeight="1">
      <c r="A4141" s="28" t="s">
        <v>8292</v>
      </c>
      <c r="B4141" s="29" t="s">
        <v>8293</v>
      </c>
      <c r="C4141" s="30">
        <v>4.0</v>
      </c>
      <c r="D4141" s="31">
        <v>397.0</v>
      </c>
      <c r="E4141" s="31">
        <v>3.0</v>
      </c>
      <c r="F4141" s="32" t="str">
        <f t="array" ref="F4141">"https://www.google.com/maps/search/?api=1&amp;query=" &amp; A4141 &amp; "," &amp; B4141</f>
        <v>https://www.google.com/maps/search/?api=1&amp;query=-30.90007175730760,-55.55638336244620</v>
      </c>
      <c r="G4141" s="33" t="str">
        <f t="array" ref="G4141">"https://earth.google.com/web/search/" &amp; A4141 &amp; "," &amp; B4141</f>
        <v>https://earth.google.com/web/search/-30.90007175730760,-55.55638336244620</v>
      </c>
      <c r="H4141" s="12"/>
      <c r="I4141" s="12"/>
      <c r="J4141" s="12"/>
      <c r="K4141" s="12"/>
      <c r="L4141" s="12"/>
      <c r="M4141" s="12"/>
      <c r="N4141" s="12"/>
      <c r="O4141" s="12"/>
      <c r="P4141" s="12"/>
      <c r="Q4141" s="12"/>
      <c r="R4141" s="12"/>
      <c r="S4141" s="12"/>
      <c r="T4141" s="12"/>
      <c r="U4141" s="12"/>
      <c r="V4141" s="12"/>
      <c r="W4141" s="12"/>
      <c r="X4141" s="12"/>
      <c r="Y4141" s="12"/>
      <c r="Z4141" s="12"/>
      <c r="AA4141" s="12"/>
    </row>
    <row r="4142" ht="26.25" customHeight="1">
      <c r="A4142" s="34" t="s">
        <v>8294</v>
      </c>
      <c r="B4142" s="35" t="s">
        <v>8295</v>
      </c>
      <c r="C4142" s="36">
        <v>4.0</v>
      </c>
      <c r="D4142" s="37">
        <v>397.0</v>
      </c>
      <c r="E4142" s="37">
        <v>4.0</v>
      </c>
      <c r="F4142" s="24" t="str">
        <f t="array" ref="F4142">"https://www.google.com/maps/search/?api=1&amp;query=" &amp; A4142 &amp; "," &amp; B4142</f>
        <v>https://www.google.com/maps/search/?api=1&amp;query=-30.89980559777950,-55.55650982813220</v>
      </c>
      <c r="G4142" s="25" t="str">
        <f t="array" ref="G4142">"https://earth.google.com/web/search/" &amp; A4142 &amp; "," &amp; B4142</f>
        <v>https://earth.google.com/web/search/-30.89980559777950,-55.55650982813220</v>
      </c>
      <c r="H4142" s="12"/>
      <c r="I4142" s="12"/>
      <c r="J4142" s="12"/>
      <c r="K4142" s="12"/>
      <c r="L4142" s="12"/>
      <c r="M4142" s="12"/>
      <c r="N4142" s="12"/>
      <c r="O4142" s="12"/>
      <c r="P4142" s="12"/>
      <c r="Q4142" s="12"/>
      <c r="R4142" s="12"/>
      <c r="S4142" s="12"/>
      <c r="T4142" s="12"/>
      <c r="U4142" s="12"/>
      <c r="V4142" s="12"/>
      <c r="W4142" s="12"/>
      <c r="X4142" s="12"/>
      <c r="Y4142" s="12"/>
      <c r="Z4142" s="12"/>
      <c r="AA4142" s="12"/>
    </row>
    <row r="4143" ht="26.25" customHeight="1">
      <c r="A4143" s="28" t="s">
        <v>8296</v>
      </c>
      <c r="B4143" s="29" t="s">
        <v>8297</v>
      </c>
      <c r="C4143" s="30">
        <v>4.0</v>
      </c>
      <c r="D4143" s="31">
        <v>397.0</v>
      </c>
      <c r="E4143" s="31">
        <v>5.0</v>
      </c>
      <c r="F4143" s="32" t="str">
        <f t="array" ref="F4143">"https://www.google.com/maps/search/?api=1&amp;query=" &amp; A4143 &amp; "," &amp; B4143</f>
        <v>https://www.google.com/maps/search/?api=1&amp;query=-30.89970921024850,-5.55572196065091</v>
      </c>
      <c r="G4143" s="33" t="str">
        <f t="array" ref="G4143">"https://earth.google.com/web/search/" &amp; A4143 &amp; "," &amp; B4143</f>
        <v>https://earth.google.com/web/search/-30.89970921024850,-5.55572196065091</v>
      </c>
      <c r="H4143" s="12"/>
      <c r="I4143" s="12"/>
      <c r="J4143" s="12"/>
      <c r="K4143" s="12"/>
      <c r="L4143" s="12"/>
      <c r="M4143" s="12"/>
      <c r="N4143" s="12"/>
      <c r="O4143" s="12"/>
      <c r="P4143" s="12"/>
      <c r="Q4143" s="12"/>
      <c r="R4143" s="12"/>
      <c r="S4143" s="12"/>
      <c r="T4143" s="12"/>
      <c r="U4143" s="12"/>
      <c r="V4143" s="12"/>
      <c r="W4143" s="12"/>
      <c r="X4143" s="12"/>
      <c r="Y4143" s="12"/>
      <c r="Z4143" s="12"/>
      <c r="AA4143" s="12"/>
    </row>
    <row r="4144" ht="26.25" customHeight="1">
      <c r="A4144" s="34" t="s">
        <v>8298</v>
      </c>
      <c r="B4144" s="35" t="s">
        <v>8299</v>
      </c>
      <c r="C4144" s="36">
        <v>4.0</v>
      </c>
      <c r="D4144" s="37">
        <v>397.0</v>
      </c>
      <c r="E4144" s="37">
        <v>6.0</v>
      </c>
      <c r="F4144" s="24" t="str">
        <f t="array" ref="F4144">"https://www.google.com/maps/search/?api=1&amp;query=" &amp; A4144 &amp; "," &amp; B4144</f>
        <v>https://www.google.com/maps/search/?api=1&amp;query=-30.89984526727900,-55.55731631385090</v>
      </c>
      <c r="G4144" s="25" t="str">
        <f t="array" ref="G4144">"https://earth.google.com/web/search/" &amp; A4144 &amp; "," &amp; B4144</f>
        <v>https://earth.google.com/web/search/-30.89984526727900,-55.55731631385090</v>
      </c>
      <c r="H4144" s="12"/>
      <c r="I4144" s="12"/>
      <c r="J4144" s="12"/>
      <c r="K4144" s="12"/>
      <c r="L4144" s="12"/>
      <c r="M4144" s="12"/>
      <c r="N4144" s="12"/>
      <c r="O4144" s="12"/>
      <c r="P4144" s="12"/>
      <c r="Q4144" s="12"/>
      <c r="R4144" s="12"/>
      <c r="S4144" s="12"/>
      <c r="T4144" s="12"/>
      <c r="U4144" s="12"/>
      <c r="V4144" s="12"/>
      <c r="W4144" s="12"/>
      <c r="X4144" s="12"/>
      <c r="Y4144" s="12"/>
      <c r="Z4144" s="12"/>
      <c r="AA4144" s="12"/>
    </row>
    <row r="4145" ht="26.25" customHeight="1">
      <c r="A4145" s="28" t="s">
        <v>8300</v>
      </c>
      <c r="B4145" s="29" t="s">
        <v>8301</v>
      </c>
      <c r="C4145" s="30">
        <v>4.0</v>
      </c>
      <c r="D4145" s="31">
        <v>398.0</v>
      </c>
      <c r="E4145" s="31">
        <v>1.0</v>
      </c>
      <c r="F4145" s="32" t="str">
        <f t="array" ref="F4145">"https://www.google.com/maps/search/?api=1&amp;query=" &amp; A4145 &amp; "," &amp; B4145</f>
        <v>https://www.google.com/maps/search/?api=1&amp;query=-30.89983411408250,-55.55828943753470</v>
      </c>
      <c r="G4145" s="33" t="str">
        <f t="array" ref="G4145">"https://earth.google.com/web/search/" &amp; A4145 &amp; "," &amp; B4145</f>
        <v>https://earth.google.com/web/search/-30.89983411408250,-55.55828943753470</v>
      </c>
      <c r="H4145" s="12"/>
      <c r="I4145" s="12"/>
      <c r="J4145" s="12"/>
      <c r="K4145" s="12"/>
      <c r="L4145" s="12"/>
      <c r="M4145" s="12"/>
      <c r="N4145" s="12"/>
      <c r="O4145" s="12"/>
      <c r="P4145" s="12"/>
      <c r="Q4145" s="12"/>
      <c r="R4145" s="12"/>
      <c r="S4145" s="12"/>
      <c r="T4145" s="12"/>
      <c r="U4145" s="12"/>
      <c r="V4145" s="12"/>
      <c r="W4145" s="12"/>
      <c r="X4145" s="12"/>
      <c r="Y4145" s="12"/>
      <c r="Z4145" s="12"/>
      <c r="AA4145" s="12"/>
    </row>
    <row r="4146" ht="26.25" customHeight="1">
      <c r="A4146" s="34" t="s">
        <v>8302</v>
      </c>
      <c r="B4146" s="35" t="s">
        <v>8303</v>
      </c>
      <c r="C4146" s="36">
        <v>4.0</v>
      </c>
      <c r="D4146" s="37">
        <v>398.0</v>
      </c>
      <c r="E4146" s="37">
        <v>2.0</v>
      </c>
      <c r="F4146" s="24" t="str">
        <f t="array" ref="F4146">"https://www.google.com/maps/search/?api=1&amp;query=" &amp; A4146 &amp; "," &amp; B4146</f>
        <v>https://www.google.com/maps/search/?api=1&amp;query=-30.89988194250980,-55.55818248742860</v>
      </c>
      <c r="G4146" s="25" t="str">
        <f t="array" ref="G4146">"https://earth.google.com/web/search/" &amp; A4146 &amp; "," &amp; B4146</f>
        <v>https://earth.google.com/web/search/-30.89988194250980,-55.55818248742860</v>
      </c>
      <c r="H4146" s="12"/>
      <c r="I4146" s="12"/>
      <c r="J4146" s="12"/>
      <c r="K4146" s="12"/>
      <c r="L4146" s="12"/>
      <c r="M4146" s="12"/>
      <c r="N4146" s="12"/>
      <c r="O4146" s="12"/>
      <c r="P4146" s="12"/>
      <c r="Q4146" s="12"/>
      <c r="R4146" s="12"/>
      <c r="S4146" s="12"/>
      <c r="T4146" s="12"/>
      <c r="U4146" s="12"/>
      <c r="V4146" s="12"/>
      <c r="W4146" s="12"/>
      <c r="X4146" s="12"/>
      <c r="Y4146" s="12"/>
      <c r="Z4146" s="12"/>
      <c r="AA4146" s="12"/>
    </row>
    <row r="4147" ht="26.25" customHeight="1">
      <c r="A4147" s="28" t="s">
        <v>8304</v>
      </c>
      <c r="B4147" s="29" t="s">
        <v>8305</v>
      </c>
      <c r="C4147" s="30">
        <v>4.0</v>
      </c>
      <c r="D4147" s="31">
        <v>398.0</v>
      </c>
      <c r="E4147" s="31">
        <v>3.0</v>
      </c>
      <c r="F4147" s="32" t="str">
        <f t="array" ref="F4147">"https://www.google.com/maps/search/?api=1&amp;query=" &amp; A4147 &amp; "," &amp; B4147</f>
        <v>https://www.google.com/maps/search/?api=1&amp;query=-30.89994996120820,-5.55580267796489</v>
      </c>
      <c r="G4147" s="33" t="str">
        <f t="array" ref="G4147">"https://earth.google.com/web/search/" &amp; A4147 &amp; "," &amp; B4147</f>
        <v>https://earth.google.com/web/search/-30.89994996120820,-5.55580267796489</v>
      </c>
      <c r="H4147" s="12"/>
      <c r="I4147" s="12"/>
      <c r="J4147" s="12"/>
      <c r="K4147" s="12"/>
      <c r="L4147" s="12"/>
      <c r="M4147" s="12"/>
      <c r="N4147" s="12"/>
      <c r="O4147" s="12"/>
      <c r="P4147" s="12"/>
      <c r="Q4147" s="12"/>
      <c r="R4147" s="12"/>
      <c r="S4147" s="12"/>
      <c r="T4147" s="12"/>
      <c r="U4147" s="12"/>
      <c r="V4147" s="12"/>
      <c r="W4147" s="12"/>
      <c r="X4147" s="12"/>
      <c r="Y4147" s="12"/>
      <c r="Z4147" s="12"/>
      <c r="AA4147" s="12"/>
    </row>
    <row r="4148" ht="26.25" customHeight="1">
      <c r="A4148" s="34" t="s">
        <v>8306</v>
      </c>
      <c r="B4148" s="35" t="s">
        <v>8307</v>
      </c>
      <c r="C4148" s="36">
        <v>4.0</v>
      </c>
      <c r="D4148" s="37">
        <v>398.0</v>
      </c>
      <c r="E4148" s="37">
        <v>4.0</v>
      </c>
      <c r="F4148" s="24" t="str">
        <f t="array" ref="F4148">"https://www.google.com/maps/search/?api=1&amp;query=" &amp; A4148 &amp; "," &amp; B4148</f>
        <v>https://www.google.com/maps/search/?api=1&amp;query=-30.89982096851190,-55.55743198045520</v>
      </c>
      <c r="G4148" s="25" t="str">
        <f t="array" ref="G4148">"https://earth.google.com/web/search/" &amp; A4148 &amp; "," &amp; B4148</f>
        <v>https://earth.google.com/web/search/-30.89982096851190,-55.55743198045520</v>
      </c>
      <c r="H4148" s="12"/>
      <c r="I4148" s="12"/>
      <c r="J4148" s="12"/>
      <c r="K4148" s="12"/>
      <c r="L4148" s="12"/>
      <c r="M4148" s="12"/>
      <c r="N4148" s="12"/>
      <c r="O4148" s="12"/>
      <c r="P4148" s="12"/>
      <c r="Q4148" s="12"/>
      <c r="R4148" s="12"/>
      <c r="S4148" s="12"/>
      <c r="T4148" s="12"/>
      <c r="U4148" s="12"/>
      <c r="V4148" s="12"/>
      <c r="W4148" s="12"/>
      <c r="X4148" s="12"/>
      <c r="Y4148" s="12"/>
      <c r="Z4148" s="12"/>
      <c r="AA4148" s="12"/>
    </row>
    <row r="4149" ht="26.25" customHeight="1">
      <c r="A4149" s="28" t="s">
        <v>8308</v>
      </c>
      <c r="B4149" s="29" t="s">
        <v>8309</v>
      </c>
      <c r="C4149" s="30">
        <v>4.0</v>
      </c>
      <c r="D4149" s="31">
        <v>398.0</v>
      </c>
      <c r="E4149" s="31">
        <v>5.0</v>
      </c>
      <c r="F4149" s="32" t="str">
        <f t="array" ref="F4149">"https://www.google.com/maps/search/?api=1&amp;query=" &amp; A4149 &amp; "," &amp; B4149</f>
        <v>https://www.google.com/maps/search/?api=1&amp;query=-30.89960557393080,-55.55726587037080</v>
      </c>
      <c r="G4149" s="33" t="str">
        <f t="array" ref="G4149">"https://earth.google.com/web/search/" &amp; A4149 &amp; "," &amp; B4149</f>
        <v>https://earth.google.com/web/search/-30.89960557393080,-55.55726587037080</v>
      </c>
      <c r="H4149" s="12"/>
      <c r="I4149" s="12"/>
      <c r="J4149" s="12"/>
      <c r="K4149" s="12"/>
      <c r="L4149" s="12"/>
      <c r="M4149" s="12"/>
      <c r="N4149" s="12"/>
      <c r="O4149" s="12"/>
      <c r="P4149" s="12"/>
      <c r="Q4149" s="12"/>
      <c r="R4149" s="12"/>
      <c r="S4149" s="12"/>
      <c r="T4149" s="12"/>
      <c r="U4149" s="12"/>
      <c r="V4149" s="12"/>
      <c r="W4149" s="12"/>
      <c r="X4149" s="12"/>
      <c r="Y4149" s="12"/>
      <c r="Z4149" s="12"/>
      <c r="AA4149" s="12"/>
    </row>
    <row r="4150" ht="26.25" customHeight="1">
      <c r="A4150" s="34" t="s">
        <v>8310</v>
      </c>
      <c r="B4150" s="35" t="s">
        <v>8311</v>
      </c>
      <c r="C4150" s="36">
        <v>4.0</v>
      </c>
      <c r="D4150" s="37">
        <v>398.0</v>
      </c>
      <c r="E4150" s="37">
        <v>6.0</v>
      </c>
      <c r="F4150" s="24" t="str">
        <f t="array" ref="F4150">"https://www.google.com/maps/search/?api=1&amp;query=" &amp; A4150 &amp; "," &amp; B4150</f>
        <v>https://www.google.com/maps/search/?api=1&amp;query=-30.89942514464440,-55.55727605224330</v>
      </c>
      <c r="G4150" s="25" t="str">
        <f t="array" ref="G4150">"https://earth.google.com/web/search/" &amp; A4150 &amp; "," &amp; B4150</f>
        <v>https://earth.google.com/web/search/-30.89942514464440,-55.55727605224330</v>
      </c>
      <c r="H4150" s="12"/>
      <c r="I4150" s="12"/>
      <c r="J4150" s="12"/>
      <c r="K4150" s="12"/>
      <c r="L4150" s="12"/>
      <c r="M4150" s="12"/>
      <c r="N4150" s="12"/>
      <c r="O4150" s="12"/>
      <c r="P4150" s="12"/>
      <c r="Q4150" s="12"/>
      <c r="R4150" s="12"/>
      <c r="S4150" s="12"/>
      <c r="T4150" s="12"/>
      <c r="U4150" s="12"/>
      <c r="V4150" s="12"/>
      <c r="W4150" s="12"/>
      <c r="X4150" s="12"/>
      <c r="Y4150" s="12"/>
      <c r="Z4150" s="12"/>
      <c r="AA4150" s="12"/>
    </row>
    <row r="4151" ht="26.25" customHeight="1">
      <c r="A4151" s="28" t="s">
        <v>8312</v>
      </c>
      <c r="B4151" s="29" t="s">
        <v>8313</v>
      </c>
      <c r="C4151" s="30">
        <v>4.0</v>
      </c>
      <c r="D4151" s="31">
        <v>398.0</v>
      </c>
      <c r="E4151" s="31">
        <v>7.0</v>
      </c>
      <c r="F4151" s="32" t="str">
        <f t="array" ref="F4151">"https://www.google.com/maps/search/?api=1&amp;query=" &amp; A4151 &amp; "," &amp; B4151</f>
        <v>https://www.google.com/maps/search/?api=1&amp;query=-30.89933073346080,-55.55740154674310</v>
      </c>
      <c r="G4151" s="33" t="str">
        <f t="array" ref="G4151">"https://earth.google.com/web/search/" &amp; A4151 &amp; "," &amp; B4151</f>
        <v>https://earth.google.com/web/search/-30.89933073346080,-55.55740154674310</v>
      </c>
      <c r="H4151" s="12"/>
      <c r="I4151" s="12"/>
      <c r="J4151" s="12"/>
      <c r="K4151" s="12"/>
      <c r="L4151" s="12"/>
      <c r="M4151" s="12"/>
      <c r="N4151" s="12"/>
      <c r="O4151" s="12"/>
      <c r="P4151" s="12"/>
      <c r="Q4151" s="12"/>
      <c r="R4151" s="12"/>
      <c r="S4151" s="12"/>
      <c r="T4151" s="12"/>
      <c r="U4151" s="12"/>
      <c r="V4151" s="12"/>
      <c r="W4151" s="12"/>
      <c r="X4151" s="12"/>
      <c r="Y4151" s="12"/>
      <c r="Z4151" s="12"/>
      <c r="AA4151" s="12"/>
    </row>
    <row r="4152" ht="26.25" customHeight="1">
      <c r="A4152" s="34" t="s">
        <v>8314</v>
      </c>
      <c r="B4152" s="35" t="s">
        <v>8315</v>
      </c>
      <c r="C4152" s="36">
        <v>4.0</v>
      </c>
      <c r="D4152" s="37">
        <v>398.0</v>
      </c>
      <c r="E4152" s="37">
        <v>7.0</v>
      </c>
      <c r="F4152" s="24" t="str">
        <f t="array" ref="F4152">"https://www.google.com/maps/search/?api=1&amp;query=" &amp; A4152 &amp; "," &amp; B4152</f>
        <v>https://www.google.com/maps/search/?api=1&amp;query=-30.89925225355100,-55.55813029609160</v>
      </c>
      <c r="G4152" s="25" t="str">
        <f t="array" ref="G4152">"https://earth.google.com/web/search/" &amp; A4152 &amp; "," &amp; B4152</f>
        <v>https://earth.google.com/web/search/-30.89925225355100,-55.55813029609160</v>
      </c>
      <c r="H4152" s="12"/>
      <c r="I4152" s="12"/>
      <c r="J4152" s="12"/>
      <c r="K4152" s="12"/>
      <c r="L4152" s="12"/>
      <c r="M4152" s="12"/>
      <c r="N4152" s="12"/>
      <c r="O4152" s="12"/>
      <c r="P4152" s="12"/>
      <c r="Q4152" s="12"/>
      <c r="R4152" s="12"/>
      <c r="S4152" s="12"/>
      <c r="T4152" s="12"/>
      <c r="U4152" s="12"/>
      <c r="V4152" s="12"/>
      <c r="W4152" s="12"/>
      <c r="X4152" s="12"/>
      <c r="Y4152" s="12"/>
      <c r="Z4152" s="12"/>
      <c r="AA4152" s="12"/>
    </row>
    <row r="4153" ht="26.25" customHeight="1">
      <c r="A4153" s="28" t="s">
        <v>8316</v>
      </c>
      <c r="B4153" s="29" t="s">
        <v>8317</v>
      </c>
      <c r="C4153" s="30">
        <v>4.0</v>
      </c>
      <c r="D4153" s="31">
        <v>398.0</v>
      </c>
      <c r="E4153" s="31">
        <v>8.0</v>
      </c>
      <c r="F4153" s="32" t="str">
        <f t="array" ref="F4153">"https://www.google.com/maps/search/?api=1&amp;query=" &amp; A4153 &amp; "," &amp; B4153</f>
        <v>https://www.google.com/maps/search/?api=1&amp;query=-30.89948114187480,-55.55829755436860</v>
      </c>
      <c r="G4153" s="33" t="str">
        <f t="array" ref="G4153">"https://earth.google.com/web/search/" &amp; A4153 &amp; "," &amp; B4153</f>
        <v>https://earth.google.com/web/search/-30.89948114187480,-55.55829755436860</v>
      </c>
      <c r="H4153" s="12"/>
      <c r="I4153" s="12"/>
      <c r="J4153" s="12"/>
      <c r="K4153" s="12"/>
      <c r="L4153" s="12"/>
      <c r="M4153" s="12"/>
      <c r="N4153" s="12"/>
      <c r="O4153" s="12"/>
      <c r="P4153" s="12"/>
      <c r="Q4153" s="12"/>
      <c r="R4153" s="12"/>
      <c r="S4153" s="12"/>
      <c r="T4153" s="12"/>
      <c r="U4153" s="12"/>
      <c r="V4153" s="12"/>
      <c r="W4153" s="12"/>
      <c r="X4153" s="12"/>
      <c r="Y4153" s="12"/>
      <c r="Z4153" s="12"/>
      <c r="AA4153" s="12"/>
    </row>
    <row r="4154" ht="26.25" customHeight="1">
      <c r="A4154" s="34" t="s">
        <v>8318</v>
      </c>
      <c r="B4154" s="35" t="s">
        <v>8319</v>
      </c>
      <c r="C4154" s="36">
        <v>4.0</v>
      </c>
      <c r="D4154" s="37">
        <v>398.0</v>
      </c>
      <c r="E4154" s="37">
        <v>9.0</v>
      </c>
      <c r="F4154" s="24" t="str">
        <f t="array" ref="F4154">"https://www.google.com/maps/search/?api=1&amp;query=" &amp; A4154 &amp; "," &amp; B4154</f>
        <v>https://www.google.com/maps/search/?api=1&amp;query=-3.08997110155668,-5.55584925175644</v>
      </c>
      <c r="G4154" s="25" t="str">
        <f t="array" ref="G4154">"https://earth.google.com/web/search/" &amp; A4154 &amp; "," &amp; B4154</f>
        <v>https://earth.google.com/web/search/-3.08997110155668,-5.55584925175644</v>
      </c>
      <c r="H4154" s="12"/>
      <c r="I4154" s="12"/>
      <c r="J4154" s="12"/>
      <c r="K4154" s="12"/>
      <c r="L4154" s="12"/>
      <c r="M4154" s="12"/>
      <c r="N4154" s="12"/>
      <c r="O4154" s="12"/>
      <c r="P4154" s="12"/>
      <c r="Q4154" s="12"/>
      <c r="R4154" s="12"/>
      <c r="S4154" s="12"/>
      <c r="T4154" s="12"/>
      <c r="U4154" s="12"/>
      <c r="V4154" s="12"/>
      <c r="W4154" s="12"/>
      <c r="X4154" s="12"/>
      <c r="Y4154" s="12"/>
      <c r="Z4154" s="12"/>
      <c r="AA4154" s="12"/>
    </row>
    <row r="4155" ht="26.25" customHeight="1">
      <c r="A4155" s="28" t="s">
        <v>8320</v>
      </c>
      <c r="B4155" s="29" t="s">
        <v>8321</v>
      </c>
      <c r="C4155" s="30">
        <v>4.0</v>
      </c>
      <c r="D4155" s="31">
        <v>399.0</v>
      </c>
      <c r="E4155" s="31">
        <v>1.0</v>
      </c>
      <c r="F4155" s="32" t="str">
        <f t="array" ref="F4155">"https://www.google.com/maps/search/?api=1&amp;query=" &amp; A4155 &amp; "," &amp; B4155</f>
        <v>https://www.google.com/maps/search/?api=1&amp;query=-30.89940004912190,-55.55909867320920</v>
      </c>
      <c r="G4155" s="33" t="str">
        <f t="array" ref="G4155">"https://earth.google.com/web/search/" &amp; A4155 &amp; "," &amp; B4155</f>
        <v>https://earth.google.com/web/search/-30.89940004912190,-55.55909867320920</v>
      </c>
      <c r="H4155" s="12"/>
      <c r="I4155" s="12"/>
      <c r="J4155" s="12"/>
      <c r="K4155" s="12"/>
      <c r="L4155" s="12"/>
      <c r="M4155" s="12"/>
      <c r="N4155" s="12"/>
      <c r="O4155" s="12"/>
      <c r="P4155" s="12"/>
      <c r="Q4155" s="12"/>
      <c r="R4155" s="12"/>
      <c r="S4155" s="12"/>
      <c r="T4155" s="12"/>
      <c r="U4155" s="12"/>
      <c r="V4155" s="12"/>
      <c r="W4155" s="12"/>
      <c r="X4155" s="12"/>
      <c r="Y4155" s="12"/>
      <c r="Z4155" s="12"/>
      <c r="AA4155" s="12"/>
    </row>
    <row r="4156" ht="26.25" customHeight="1">
      <c r="A4156" s="34" t="s">
        <v>8322</v>
      </c>
      <c r="B4156" s="35" t="s">
        <v>8323</v>
      </c>
      <c r="C4156" s="36">
        <v>4.0</v>
      </c>
      <c r="D4156" s="37">
        <v>399.0</v>
      </c>
      <c r="E4156" s="37">
        <v>2.0</v>
      </c>
      <c r="F4156" s="24" t="str">
        <f t="array" ref="F4156">"https://www.google.com/maps/search/?api=1&amp;query=" &amp; A4156 &amp; "," &amp; B4156</f>
        <v>https://www.google.com/maps/search/?api=1&amp;query=-30.89948888898360,-55.55893759371770</v>
      </c>
      <c r="G4156" s="25" t="str">
        <f t="array" ref="G4156">"https://earth.google.com/web/search/" &amp; A4156 &amp; "," &amp; B4156</f>
        <v>https://earth.google.com/web/search/-30.89948888898360,-55.55893759371770</v>
      </c>
      <c r="H4156" s="12"/>
      <c r="I4156" s="12"/>
      <c r="J4156" s="12"/>
      <c r="K4156" s="12"/>
      <c r="L4156" s="12"/>
      <c r="M4156" s="12"/>
      <c r="N4156" s="12"/>
      <c r="O4156" s="12"/>
      <c r="P4156" s="12"/>
      <c r="Q4156" s="12"/>
      <c r="R4156" s="12"/>
      <c r="S4156" s="12"/>
      <c r="T4156" s="12"/>
      <c r="U4156" s="12"/>
      <c r="V4156" s="12"/>
      <c r="W4156" s="12"/>
      <c r="X4156" s="12"/>
      <c r="Y4156" s="12"/>
      <c r="Z4156" s="12"/>
      <c r="AA4156" s="12"/>
    </row>
    <row r="4157" ht="26.25" customHeight="1">
      <c r="A4157" s="28" t="s">
        <v>8324</v>
      </c>
      <c r="B4157" s="29" t="s">
        <v>8325</v>
      </c>
      <c r="C4157" s="30">
        <v>4.0</v>
      </c>
      <c r="D4157" s="31">
        <v>399.0</v>
      </c>
      <c r="E4157" s="31">
        <v>3.0</v>
      </c>
      <c r="F4157" s="32" t="str">
        <f t="array" ref="F4157">"https://www.google.com/maps/search/?api=1&amp;query=" &amp; A4157 &amp; "," &amp; B4157</f>
        <v>https://www.google.com/maps/search/?api=1&amp;query=-30.89962267438020,-55.55873080946780</v>
      </c>
      <c r="G4157" s="33" t="str">
        <f t="array" ref="G4157">"https://earth.google.com/web/search/" &amp; A4157 &amp; "," &amp; B4157</f>
        <v>https://earth.google.com/web/search/-30.89962267438020,-55.55873080946780</v>
      </c>
      <c r="H4157" s="12"/>
      <c r="I4157" s="12"/>
      <c r="J4157" s="12"/>
      <c r="K4157" s="12"/>
      <c r="L4157" s="12"/>
      <c r="M4157" s="12"/>
      <c r="N4157" s="12"/>
      <c r="O4157" s="12"/>
      <c r="P4157" s="12"/>
      <c r="Q4157" s="12"/>
      <c r="R4157" s="12"/>
      <c r="S4157" s="12"/>
      <c r="T4157" s="12"/>
      <c r="U4157" s="12"/>
      <c r="V4157" s="12"/>
      <c r="W4157" s="12"/>
      <c r="X4157" s="12"/>
      <c r="Y4157" s="12"/>
      <c r="Z4157" s="12"/>
      <c r="AA4157" s="12"/>
    </row>
    <row r="4158" ht="26.25" customHeight="1">
      <c r="A4158" s="34" t="s">
        <v>8326</v>
      </c>
      <c r="B4158" s="35" t="s">
        <v>8327</v>
      </c>
      <c r="C4158" s="36">
        <v>4.0</v>
      </c>
      <c r="D4158" s="37">
        <v>399.0</v>
      </c>
      <c r="E4158" s="37">
        <v>4.0</v>
      </c>
      <c r="F4158" s="24" t="str">
        <f t="array" ref="F4158">"https://www.google.com/maps/search/?api=1&amp;query=" &amp; A4158 &amp; "," &amp; B4158</f>
        <v>https://www.google.com/maps/search/?api=1&amp;query=-30.89940381591890,-55.55840336273730</v>
      </c>
      <c r="G4158" s="25" t="str">
        <f t="array" ref="G4158">"https://earth.google.com/web/search/" &amp; A4158 &amp; "," &amp; B4158</f>
        <v>https://earth.google.com/web/search/-30.89940381591890,-55.55840336273730</v>
      </c>
      <c r="H4158" s="12"/>
      <c r="I4158" s="12"/>
      <c r="J4158" s="12"/>
      <c r="K4158" s="12"/>
      <c r="L4158" s="12"/>
      <c r="M4158" s="12"/>
      <c r="N4158" s="12"/>
      <c r="O4158" s="12"/>
      <c r="P4158" s="12"/>
      <c r="Q4158" s="12"/>
      <c r="R4158" s="12"/>
      <c r="S4158" s="12"/>
      <c r="T4158" s="12"/>
      <c r="U4158" s="12"/>
      <c r="V4158" s="12"/>
      <c r="W4158" s="12"/>
      <c r="X4158" s="12"/>
      <c r="Y4158" s="12"/>
      <c r="Z4158" s="12"/>
      <c r="AA4158" s="12"/>
    </row>
    <row r="4159" ht="26.25" customHeight="1">
      <c r="A4159" s="28" t="s">
        <v>8328</v>
      </c>
      <c r="B4159" s="29" t="s">
        <v>8329</v>
      </c>
      <c r="C4159" s="30">
        <v>4.0</v>
      </c>
      <c r="D4159" s="31">
        <v>399.0</v>
      </c>
      <c r="E4159" s="31">
        <v>5.0</v>
      </c>
      <c r="F4159" s="32" t="str">
        <f t="array" ref="F4159">"https://www.google.com/maps/search/?api=1&amp;query=" &amp; A4159 &amp; "," &amp; B4159</f>
        <v>https://www.google.com/maps/search/?api=1&amp;query=-30.89888077279260,-55.55827175393780</v>
      </c>
      <c r="G4159" s="33" t="str">
        <f t="array" ref="G4159">"https://earth.google.com/web/search/" &amp; A4159 &amp; "," &amp; B4159</f>
        <v>https://earth.google.com/web/search/-30.89888077279260,-55.55827175393780</v>
      </c>
      <c r="H4159" s="12"/>
      <c r="I4159" s="12"/>
      <c r="J4159" s="12"/>
      <c r="K4159" s="12"/>
      <c r="L4159" s="12"/>
      <c r="M4159" s="12"/>
      <c r="N4159" s="12"/>
      <c r="O4159" s="12"/>
      <c r="P4159" s="12"/>
      <c r="Q4159" s="12"/>
      <c r="R4159" s="12"/>
      <c r="S4159" s="12"/>
      <c r="T4159" s="12"/>
      <c r="U4159" s="12"/>
      <c r="V4159" s="12"/>
      <c r="W4159" s="12"/>
      <c r="X4159" s="12"/>
      <c r="Y4159" s="12"/>
      <c r="Z4159" s="12"/>
      <c r="AA4159" s="12"/>
    </row>
    <row r="4160" ht="26.25" customHeight="1">
      <c r="A4160" s="34" t="s">
        <v>8330</v>
      </c>
      <c r="B4160" s="35" t="s">
        <v>8331</v>
      </c>
      <c r="C4160" s="36">
        <v>4.0</v>
      </c>
      <c r="D4160" s="37">
        <v>399.0</v>
      </c>
      <c r="E4160" s="37">
        <v>6.0</v>
      </c>
      <c r="F4160" s="24" t="str">
        <f t="array" ref="F4160">"https://www.google.com/maps/search/?api=1&amp;query=" &amp; A4160 &amp; "," &amp; B4160</f>
        <v>https://www.google.com/maps/search/?api=1&amp;query=-3.08987395707401,-55.55856543104980</v>
      </c>
      <c r="G4160" s="25" t="str">
        <f t="array" ref="G4160">"https://earth.google.com/web/search/" &amp; A4160 &amp; "," &amp; B4160</f>
        <v>https://earth.google.com/web/search/-3.08987395707401,-55.55856543104980</v>
      </c>
      <c r="H4160" s="12"/>
      <c r="I4160" s="12"/>
      <c r="J4160" s="12"/>
      <c r="K4160" s="12"/>
      <c r="L4160" s="12"/>
      <c r="M4160" s="12"/>
      <c r="N4160" s="12"/>
      <c r="O4160" s="12"/>
      <c r="P4160" s="12"/>
      <c r="Q4160" s="12"/>
      <c r="R4160" s="12"/>
      <c r="S4160" s="12"/>
      <c r="T4160" s="12"/>
      <c r="U4160" s="12"/>
      <c r="V4160" s="12"/>
      <c r="W4160" s="12"/>
      <c r="X4160" s="12"/>
      <c r="Y4160" s="12"/>
      <c r="Z4160" s="12"/>
      <c r="AA4160" s="12"/>
    </row>
    <row r="4161" ht="26.25" customHeight="1">
      <c r="A4161" s="28" t="s">
        <v>8332</v>
      </c>
      <c r="B4161" s="29" t="s">
        <v>8333</v>
      </c>
      <c r="C4161" s="30">
        <v>4.0</v>
      </c>
      <c r="D4161" s="31">
        <v>399.0</v>
      </c>
      <c r="E4161" s="31">
        <v>7.0</v>
      </c>
      <c r="F4161" s="32" t="str">
        <f t="array" ref="F4161">"https://www.google.com/maps/search/?api=1&amp;query=" &amp; A4161 &amp; "," &amp; B4161</f>
        <v>https://www.google.com/maps/search/?api=1&amp;query=-30.89864273594500,-55.55872548566360</v>
      </c>
      <c r="G4161" s="33" t="str">
        <f t="array" ref="G4161">"https://earth.google.com/web/search/" &amp; A4161 &amp; "," &amp; B4161</f>
        <v>https://earth.google.com/web/search/-30.89864273594500,-55.55872548566360</v>
      </c>
      <c r="H4161" s="12"/>
      <c r="I4161" s="12"/>
      <c r="J4161" s="12"/>
      <c r="K4161" s="12"/>
      <c r="L4161" s="12"/>
      <c r="M4161" s="12"/>
      <c r="N4161" s="12"/>
      <c r="O4161" s="12"/>
      <c r="P4161" s="12"/>
      <c r="Q4161" s="12"/>
      <c r="R4161" s="12"/>
      <c r="S4161" s="12"/>
      <c r="T4161" s="12"/>
      <c r="U4161" s="12"/>
      <c r="V4161" s="12"/>
      <c r="W4161" s="12"/>
      <c r="X4161" s="12"/>
      <c r="Y4161" s="12"/>
      <c r="Z4161" s="12"/>
      <c r="AA4161" s="12"/>
    </row>
    <row r="4162" ht="26.25" customHeight="1">
      <c r="A4162" s="34" t="s">
        <v>8334</v>
      </c>
      <c r="B4162" s="35" t="s">
        <v>8335</v>
      </c>
      <c r="C4162" s="36">
        <v>4.0</v>
      </c>
      <c r="D4162" s="37">
        <v>399.0</v>
      </c>
      <c r="E4162" s="37">
        <v>8.0</v>
      </c>
      <c r="F4162" s="24" t="str">
        <f t="array" ref="F4162">"https://www.google.com/maps/search/?api=1&amp;query=" &amp; A4162 &amp; "," &amp; B4162</f>
        <v>https://www.google.com/maps/search/?api=1&amp;query=-30.89861745483430,-55.55892883892260</v>
      </c>
      <c r="G4162" s="25" t="str">
        <f t="array" ref="G4162">"https://earth.google.com/web/search/" &amp; A4162 &amp; "," &amp; B4162</f>
        <v>https://earth.google.com/web/search/-30.89861745483430,-55.55892883892260</v>
      </c>
      <c r="H4162" s="12"/>
      <c r="I4162" s="12"/>
      <c r="J4162" s="12"/>
      <c r="K4162" s="12"/>
      <c r="L4162" s="12"/>
      <c r="M4162" s="12"/>
      <c r="N4162" s="12"/>
      <c r="O4162" s="12"/>
      <c r="P4162" s="12"/>
      <c r="Q4162" s="12"/>
      <c r="R4162" s="12"/>
      <c r="S4162" s="12"/>
      <c r="T4162" s="12"/>
      <c r="U4162" s="12"/>
      <c r="V4162" s="12"/>
      <c r="W4162" s="12"/>
      <c r="X4162" s="12"/>
      <c r="Y4162" s="12"/>
      <c r="Z4162" s="12"/>
      <c r="AA4162" s="12"/>
    </row>
    <row r="4163" ht="26.25" customHeight="1">
      <c r="A4163" s="28" t="s">
        <v>8336</v>
      </c>
      <c r="B4163" s="29" t="s">
        <v>8337</v>
      </c>
      <c r="C4163" s="30">
        <v>4.0</v>
      </c>
      <c r="D4163" s="31">
        <v>399.0</v>
      </c>
      <c r="E4163" s="31">
        <v>9.0</v>
      </c>
      <c r="F4163" s="32" t="str">
        <f t="array" ref="F4163">"https://www.google.com/maps/search/?api=1&amp;query=" &amp; A4163 &amp; "," &amp; B4163</f>
        <v>https://www.google.com/maps/search/?api=1&amp;query=-30.89906010133050,-55.55927510529850</v>
      </c>
      <c r="G4163" s="33" t="str">
        <f t="array" ref="G4163">"https://earth.google.com/web/search/" &amp; A4163 &amp; "," &amp; B4163</f>
        <v>https://earth.google.com/web/search/-30.89906010133050,-55.55927510529850</v>
      </c>
      <c r="H4163" s="12"/>
      <c r="I4163" s="12"/>
      <c r="J4163" s="12"/>
      <c r="K4163" s="12"/>
      <c r="L4163" s="12"/>
      <c r="M4163" s="12"/>
      <c r="N4163" s="12"/>
      <c r="O4163" s="12"/>
      <c r="P4163" s="12"/>
      <c r="Q4163" s="12"/>
      <c r="R4163" s="12"/>
      <c r="S4163" s="12"/>
      <c r="T4163" s="12"/>
      <c r="U4163" s="12"/>
      <c r="V4163" s="12"/>
      <c r="W4163" s="12"/>
      <c r="X4163" s="12"/>
      <c r="Y4163" s="12"/>
      <c r="Z4163" s="12"/>
      <c r="AA4163" s="12"/>
    </row>
    <row r="4164" ht="26.25" customHeight="1">
      <c r="A4164" s="34" t="s">
        <v>8338</v>
      </c>
      <c r="B4164" s="35" t="s">
        <v>8339</v>
      </c>
      <c r="C4164" s="36">
        <v>4.0</v>
      </c>
      <c r="D4164" s="37">
        <v>399.0</v>
      </c>
      <c r="E4164" s="37">
        <v>10.0</v>
      </c>
      <c r="F4164" s="24" t="str">
        <f t="array" ref="F4164">"https://www.google.com/maps/search/?api=1&amp;query=" &amp; A4164 &amp; "," &amp; B4164</f>
        <v>https://www.google.com/maps/search/?api=1&amp;query=-30.89919392156440,-55.55936125001630</v>
      </c>
      <c r="G4164" s="25" t="str">
        <f t="array" ref="G4164">"https://earth.google.com/web/search/" &amp; A4164 &amp; "," &amp; B4164</f>
        <v>https://earth.google.com/web/search/-30.89919392156440,-55.55936125001630</v>
      </c>
      <c r="H4164" s="12"/>
      <c r="I4164" s="12"/>
      <c r="J4164" s="12"/>
      <c r="K4164" s="12"/>
      <c r="L4164" s="12"/>
      <c r="M4164" s="12"/>
      <c r="N4164" s="12"/>
      <c r="O4164" s="12"/>
      <c r="P4164" s="12"/>
      <c r="Q4164" s="12"/>
      <c r="R4164" s="12"/>
      <c r="S4164" s="12"/>
      <c r="T4164" s="12"/>
      <c r="U4164" s="12"/>
      <c r="V4164" s="12"/>
      <c r="W4164" s="12"/>
      <c r="X4164" s="12"/>
      <c r="Y4164" s="12"/>
      <c r="Z4164" s="12"/>
      <c r="AA4164" s="12"/>
    </row>
    <row r="4165" ht="26.25" customHeight="1">
      <c r="A4165" s="28" t="s">
        <v>8340</v>
      </c>
      <c r="B4165" s="29" t="s">
        <v>8341</v>
      </c>
      <c r="C4165" s="30">
        <v>4.0</v>
      </c>
      <c r="D4165" s="31">
        <v>400.0</v>
      </c>
      <c r="E4165" s="31">
        <v>1.0</v>
      </c>
      <c r="F4165" s="32" t="str">
        <f t="array" ref="F4165">"https://www.google.com/maps/search/?api=1&amp;query=" &amp; A4165 &amp; "," &amp; B4165</f>
        <v>https://www.google.com/maps/search/?api=1&amp;query=-30.89873241098840,-55.56025266498590</v>
      </c>
      <c r="G4165" s="33" t="str">
        <f t="array" ref="G4165">"https://earth.google.com/web/search/" &amp; A4165 &amp; "," &amp; B4165</f>
        <v>https://earth.google.com/web/search/-30.89873241098840,-55.56025266498590</v>
      </c>
      <c r="H4165" s="12"/>
      <c r="I4165" s="12"/>
      <c r="J4165" s="12"/>
      <c r="K4165" s="12"/>
      <c r="L4165" s="12"/>
      <c r="M4165" s="12"/>
      <c r="N4165" s="12"/>
      <c r="O4165" s="12"/>
      <c r="P4165" s="12"/>
      <c r="Q4165" s="12"/>
      <c r="R4165" s="12"/>
      <c r="S4165" s="12"/>
      <c r="T4165" s="12"/>
      <c r="U4165" s="12"/>
      <c r="V4165" s="12"/>
      <c r="W4165" s="12"/>
      <c r="X4165" s="12"/>
      <c r="Y4165" s="12"/>
      <c r="Z4165" s="12"/>
      <c r="AA4165" s="12"/>
    </row>
    <row r="4166" ht="26.25" customHeight="1">
      <c r="A4166" s="34" t="s">
        <v>8342</v>
      </c>
      <c r="B4166" s="35" t="s">
        <v>8343</v>
      </c>
      <c r="C4166" s="36">
        <v>4.0</v>
      </c>
      <c r="D4166" s="37">
        <v>400.0</v>
      </c>
      <c r="E4166" s="37">
        <v>2.0</v>
      </c>
      <c r="F4166" s="24" t="str">
        <f t="array" ref="F4166">"https://www.google.com/maps/search/?api=1&amp;query=" &amp; A4166 &amp; "," &amp; B4166</f>
        <v>https://www.google.com/maps/search/?api=1&amp;query=-30.89884116104770,-55.56008369365750</v>
      </c>
      <c r="G4166" s="25" t="str">
        <f t="array" ref="G4166">"https://earth.google.com/web/search/" &amp; A4166 &amp; "," &amp; B4166</f>
        <v>https://earth.google.com/web/search/-30.89884116104770,-55.56008369365750</v>
      </c>
      <c r="H4166" s="12"/>
      <c r="I4166" s="12"/>
      <c r="J4166" s="12"/>
      <c r="K4166" s="12"/>
      <c r="L4166" s="12"/>
      <c r="M4166" s="12"/>
      <c r="N4166" s="12"/>
      <c r="O4166" s="12"/>
      <c r="P4166" s="12"/>
      <c r="Q4166" s="12"/>
      <c r="R4166" s="12"/>
      <c r="S4166" s="12"/>
      <c r="T4166" s="12"/>
      <c r="U4166" s="12"/>
      <c r="V4166" s="12"/>
      <c r="W4166" s="12"/>
      <c r="X4166" s="12"/>
      <c r="Y4166" s="12"/>
      <c r="Z4166" s="12"/>
      <c r="AA4166" s="12"/>
    </row>
    <row r="4167" ht="26.25" customHeight="1">
      <c r="A4167" s="28" t="s">
        <v>8344</v>
      </c>
      <c r="B4167" s="29" t="s">
        <v>8345</v>
      </c>
      <c r="C4167" s="30">
        <v>4.0</v>
      </c>
      <c r="D4167" s="31">
        <v>400.0</v>
      </c>
      <c r="E4167" s="31">
        <v>3.0</v>
      </c>
      <c r="F4167" s="32" t="str">
        <f t="array" ref="F4167">"https://www.google.com/maps/search/?api=1&amp;query=" &amp; A4167 &amp; "," &amp; B4167</f>
        <v>https://www.google.com/maps/search/?api=1&amp;query=-0.30898908633606,-5.55599852049962</v>
      </c>
      <c r="G4167" s="33" t="str">
        <f t="array" ref="G4167">"https://earth.google.com/web/search/" &amp; A4167 &amp; "," &amp; B4167</f>
        <v>https://earth.google.com/web/search/-0.30898908633606,-5.55599852049962</v>
      </c>
      <c r="H4167" s="12"/>
      <c r="I4167" s="12"/>
      <c r="J4167" s="12"/>
      <c r="K4167" s="12"/>
      <c r="L4167" s="12"/>
      <c r="M4167" s="12"/>
      <c r="N4167" s="12"/>
      <c r="O4167" s="12"/>
      <c r="P4167" s="12"/>
      <c r="Q4167" s="12"/>
      <c r="R4167" s="12"/>
      <c r="S4167" s="12"/>
      <c r="T4167" s="12"/>
      <c r="U4167" s="12"/>
      <c r="V4167" s="12"/>
      <c r="W4167" s="12"/>
      <c r="X4167" s="12"/>
      <c r="Y4167" s="12"/>
      <c r="Z4167" s="12"/>
      <c r="AA4167" s="12"/>
    </row>
    <row r="4168" ht="26.25" customHeight="1">
      <c r="A4168" s="34" t="s">
        <v>8346</v>
      </c>
      <c r="B4168" s="35" t="s">
        <v>8347</v>
      </c>
      <c r="C4168" s="36">
        <v>4.0</v>
      </c>
      <c r="D4168" s="37">
        <v>400.0</v>
      </c>
      <c r="E4168" s="37">
        <v>4.0</v>
      </c>
      <c r="F4168" s="24" t="str">
        <f t="array" ref="F4168">"https://www.google.com/maps/search/?api=1&amp;query=" &amp; A4168 &amp; "," &amp; B4168</f>
        <v>https://www.google.com/maps/search/?api=1&amp;query=-30.89891486415520,-55.55928825309410</v>
      </c>
      <c r="G4168" s="25" t="str">
        <f t="array" ref="G4168">"https://earth.google.com/web/search/" &amp; A4168 &amp; "," &amp; B4168</f>
        <v>https://earth.google.com/web/search/-30.89891486415520,-55.55928825309410</v>
      </c>
      <c r="H4168" s="12"/>
      <c r="I4168" s="12"/>
      <c r="J4168" s="12"/>
      <c r="K4168" s="12"/>
      <c r="L4168" s="12"/>
      <c r="M4168" s="12"/>
      <c r="N4168" s="12"/>
      <c r="O4168" s="12"/>
      <c r="P4168" s="12"/>
      <c r="Q4168" s="12"/>
      <c r="R4168" s="12"/>
      <c r="S4168" s="12"/>
      <c r="T4168" s="12"/>
      <c r="U4168" s="12"/>
      <c r="V4168" s="12"/>
      <c r="W4168" s="12"/>
      <c r="X4168" s="12"/>
      <c r="Y4168" s="12"/>
      <c r="Z4168" s="12"/>
      <c r="AA4168" s="12"/>
    </row>
    <row r="4169" ht="26.25" customHeight="1">
      <c r="A4169" s="28" t="s">
        <v>8348</v>
      </c>
      <c r="B4169" s="29" t="s">
        <v>8349</v>
      </c>
      <c r="C4169" s="30">
        <v>4.0</v>
      </c>
      <c r="D4169" s="31">
        <v>400.0</v>
      </c>
      <c r="E4169" s="31">
        <v>5.0</v>
      </c>
      <c r="F4169" s="32" t="str">
        <f t="array" ref="F4169">"https://www.google.com/maps/search/?api=1&amp;query=" &amp; A4169 &amp; "," &amp; B4169</f>
        <v>https://www.google.com/maps/search/?api=1&amp;query=-3.08984875693826,-55.55903111392590</v>
      </c>
      <c r="G4169" s="33" t="str">
        <f t="array" ref="G4169">"https://earth.google.com/web/search/" &amp; A4169 &amp; "," &amp; B4169</f>
        <v>https://earth.google.com/web/search/-3.08984875693826,-55.55903111392590</v>
      </c>
      <c r="H4169" s="12"/>
      <c r="I4169" s="12"/>
      <c r="J4169" s="12"/>
      <c r="K4169" s="12"/>
      <c r="L4169" s="12"/>
      <c r="M4169" s="12"/>
      <c r="N4169" s="12"/>
      <c r="O4169" s="12"/>
      <c r="P4169" s="12"/>
      <c r="Q4169" s="12"/>
      <c r="R4169" s="12"/>
      <c r="S4169" s="12"/>
      <c r="T4169" s="12"/>
      <c r="U4169" s="12"/>
      <c r="V4169" s="12"/>
      <c r="W4169" s="12"/>
      <c r="X4169" s="12"/>
      <c r="Y4169" s="12"/>
      <c r="Z4169" s="12"/>
      <c r="AA4169" s="12"/>
    </row>
    <row r="4170" ht="26.25" customHeight="1">
      <c r="A4170" s="34" t="s">
        <v>8350</v>
      </c>
      <c r="B4170" s="35" t="s">
        <v>8351</v>
      </c>
      <c r="C4170" s="36">
        <v>4.0</v>
      </c>
      <c r="D4170" s="37">
        <v>400.0</v>
      </c>
      <c r="E4170" s="37">
        <v>6.0</v>
      </c>
      <c r="F4170" s="24" t="str">
        <f t="array" ref="F4170">"https://www.google.com/maps/search/?api=1&amp;query=" &amp; A4170 &amp; "," &amp; B4170</f>
        <v>https://www.google.com/maps/search/?api=1&amp;query=-30.89840891251770,-55.55911755399820</v>
      </c>
      <c r="G4170" s="25" t="str">
        <f t="array" ref="G4170">"https://earth.google.com/web/search/" &amp; A4170 &amp; "," &amp; B4170</f>
        <v>https://earth.google.com/web/search/-30.89840891251770,-55.55911755399820</v>
      </c>
      <c r="H4170" s="12"/>
      <c r="I4170" s="12"/>
      <c r="J4170" s="12"/>
      <c r="K4170" s="12"/>
      <c r="L4170" s="12"/>
      <c r="M4170" s="12"/>
      <c r="N4170" s="12"/>
      <c r="O4170" s="12"/>
      <c r="P4170" s="12"/>
      <c r="Q4170" s="12"/>
      <c r="R4170" s="12"/>
      <c r="S4170" s="12"/>
      <c r="T4170" s="12"/>
      <c r="U4170" s="12"/>
      <c r="V4170" s="12"/>
      <c r="W4170" s="12"/>
      <c r="X4170" s="12"/>
      <c r="Y4170" s="12"/>
      <c r="Z4170" s="12"/>
      <c r="AA4170" s="12"/>
    </row>
    <row r="4171" ht="26.25" customHeight="1">
      <c r="A4171" s="28" t="s">
        <v>8352</v>
      </c>
      <c r="B4171" s="29" t="s">
        <v>8353</v>
      </c>
      <c r="C4171" s="30">
        <v>4.0</v>
      </c>
      <c r="D4171" s="31">
        <v>400.0</v>
      </c>
      <c r="E4171" s="31">
        <v>7.0</v>
      </c>
      <c r="F4171" s="32" t="str">
        <f t="array" ref="F4171">"https://www.google.com/maps/search/?api=1&amp;query=" &amp; A4171 &amp; "," &amp; B4171</f>
        <v>https://www.google.com/maps/search/?api=1&amp;query=-3.08983607272093,-55.55924464415150</v>
      </c>
      <c r="G4171" s="33" t="str">
        <f t="array" ref="G4171">"https://earth.google.com/web/search/" &amp; A4171 &amp; "," &amp; B4171</f>
        <v>https://earth.google.com/web/search/-3.08983607272093,-55.55924464415150</v>
      </c>
      <c r="H4171" s="12"/>
      <c r="I4171" s="12"/>
      <c r="J4171" s="12"/>
      <c r="K4171" s="12"/>
      <c r="L4171" s="12"/>
      <c r="M4171" s="12"/>
      <c r="N4171" s="12"/>
      <c r="O4171" s="12"/>
      <c r="P4171" s="12"/>
      <c r="Q4171" s="12"/>
      <c r="R4171" s="12"/>
      <c r="S4171" s="12"/>
      <c r="T4171" s="12"/>
      <c r="U4171" s="12"/>
      <c r="V4171" s="12"/>
      <c r="W4171" s="12"/>
      <c r="X4171" s="12"/>
      <c r="Y4171" s="12"/>
      <c r="Z4171" s="12"/>
      <c r="AA4171" s="12"/>
    </row>
    <row r="4172" ht="26.25" customHeight="1">
      <c r="A4172" s="34" t="s">
        <v>8354</v>
      </c>
      <c r="B4172" s="35" t="s">
        <v>8355</v>
      </c>
      <c r="C4172" s="36">
        <v>4.0</v>
      </c>
      <c r="D4172" s="37">
        <v>400.0</v>
      </c>
      <c r="E4172" s="37">
        <v>8.0</v>
      </c>
      <c r="F4172" s="24" t="str">
        <f t="array" ref="F4172">"https://www.google.com/maps/search/?api=1&amp;query=" &amp; A4172 &amp; "," &amp; B4172</f>
        <v>https://www.google.com/maps/search/?api=1&amp;query=-30.89825762940470,-5.55593872327627</v>
      </c>
      <c r="G4172" s="25" t="str">
        <f t="array" ref="G4172">"https://earth.google.com/web/search/" &amp; A4172 &amp; "," &amp; B4172</f>
        <v>https://earth.google.com/web/search/-30.89825762940470,-5.55593872327627</v>
      </c>
      <c r="H4172" s="12"/>
      <c r="I4172" s="12"/>
      <c r="J4172" s="12"/>
      <c r="K4172" s="12"/>
      <c r="L4172" s="12"/>
      <c r="M4172" s="12"/>
      <c r="N4172" s="12"/>
      <c r="O4172" s="12"/>
      <c r="P4172" s="12"/>
      <c r="Q4172" s="12"/>
      <c r="R4172" s="12"/>
      <c r="S4172" s="12"/>
      <c r="T4172" s="12"/>
      <c r="U4172" s="12"/>
      <c r="V4172" s="12"/>
      <c r="W4172" s="12"/>
      <c r="X4172" s="12"/>
      <c r="Y4172" s="12"/>
      <c r="Z4172" s="12"/>
      <c r="AA4172" s="12"/>
    </row>
    <row r="4173" ht="26.25" customHeight="1">
      <c r="A4173" s="28" t="s">
        <v>8356</v>
      </c>
      <c r="B4173" s="29" t="s">
        <v>8357</v>
      </c>
      <c r="C4173" s="30">
        <v>4.0</v>
      </c>
      <c r="D4173" s="31">
        <v>400.0</v>
      </c>
      <c r="E4173" s="31">
        <v>9.0</v>
      </c>
      <c r="F4173" s="32" t="str">
        <f t="array" ref="F4173">"https://www.google.com/maps/search/?api=1&amp;query=" &amp; A4173 &amp; "," &amp; B4173</f>
        <v>https://www.google.com/maps/search/?api=1&amp;query=-30.89811895858090,-5.55596782493603</v>
      </c>
      <c r="G4173" s="33" t="str">
        <f t="array" ref="G4173">"https://earth.google.com/web/search/" &amp; A4173 &amp; "," &amp; B4173</f>
        <v>https://earth.google.com/web/search/-30.89811895858090,-5.55596782493603</v>
      </c>
      <c r="H4173" s="12"/>
      <c r="I4173" s="12"/>
      <c r="J4173" s="12"/>
      <c r="K4173" s="12"/>
      <c r="L4173" s="12"/>
      <c r="M4173" s="12"/>
      <c r="N4173" s="12"/>
      <c r="O4173" s="12"/>
      <c r="P4173" s="12"/>
      <c r="Q4173" s="12"/>
      <c r="R4173" s="12"/>
      <c r="S4173" s="12"/>
      <c r="T4173" s="12"/>
      <c r="U4173" s="12"/>
      <c r="V4173" s="12"/>
      <c r="W4173" s="12"/>
      <c r="X4173" s="12"/>
      <c r="Y4173" s="12"/>
      <c r="Z4173" s="12"/>
      <c r="AA4173" s="12"/>
    </row>
    <row r="4174" ht="26.25" customHeight="1">
      <c r="A4174" s="34" t="s">
        <v>8358</v>
      </c>
      <c r="B4174" s="35" t="s">
        <v>8359</v>
      </c>
      <c r="C4174" s="36">
        <v>4.0</v>
      </c>
      <c r="D4174" s="37">
        <v>400.0</v>
      </c>
      <c r="E4174" s="37">
        <v>10.0</v>
      </c>
      <c r="F4174" s="24" t="str">
        <f t="array" ref="F4174">"https://www.google.com/maps/search/?api=1&amp;query=" &amp; A4174 &amp; "," &amp; B4174</f>
        <v>https://www.google.com/maps/search/?api=1&amp;query=-30.89823837928640,-55.55993077110040</v>
      </c>
      <c r="G4174" s="25" t="str">
        <f t="array" ref="G4174">"https://earth.google.com/web/search/" &amp; A4174 &amp; "," &amp; B4174</f>
        <v>https://earth.google.com/web/search/-30.89823837928640,-55.55993077110040</v>
      </c>
      <c r="H4174" s="12"/>
      <c r="I4174" s="12"/>
      <c r="J4174" s="12"/>
      <c r="K4174" s="12"/>
      <c r="L4174" s="12"/>
      <c r="M4174" s="12"/>
      <c r="N4174" s="12"/>
      <c r="O4174" s="12"/>
      <c r="P4174" s="12"/>
      <c r="Q4174" s="12"/>
      <c r="R4174" s="12"/>
      <c r="S4174" s="12"/>
      <c r="T4174" s="12"/>
      <c r="U4174" s="12"/>
      <c r="V4174" s="12"/>
      <c r="W4174" s="12"/>
      <c r="X4174" s="12"/>
      <c r="Y4174" s="12"/>
      <c r="Z4174" s="12"/>
      <c r="AA4174" s="12"/>
    </row>
    <row r="4175" ht="26.25" customHeight="1">
      <c r="A4175" s="28" t="s">
        <v>8360</v>
      </c>
      <c r="B4175" s="29" t="s">
        <v>8361</v>
      </c>
      <c r="C4175" s="30">
        <v>4.0</v>
      </c>
      <c r="D4175" s="31">
        <v>400.0</v>
      </c>
      <c r="E4175" s="31">
        <v>11.0</v>
      </c>
      <c r="F4175" s="32" t="str">
        <f t="array" ref="F4175">"https://www.google.com/maps/search/?api=1&amp;query=" &amp; A4175 &amp; "," &amp; B4175</f>
        <v>https://www.google.com/maps/search/?api=1&amp;query=-30.89842202516310,-55.56004300832060</v>
      </c>
      <c r="G4175" s="33" t="str">
        <f t="array" ref="G4175">"https://earth.google.com/web/search/" &amp; A4175 &amp; "," &amp; B4175</f>
        <v>https://earth.google.com/web/search/-30.89842202516310,-55.56004300832060</v>
      </c>
      <c r="H4175" s="12"/>
      <c r="I4175" s="12"/>
      <c r="J4175" s="12"/>
      <c r="K4175" s="12"/>
      <c r="L4175" s="12"/>
      <c r="M4175" s="12"/>
      <c r="N4175" s="12"/>
      <c r="O4175" s="12"/>
      <c r="P4175" s="12"/>
      <c r="Q4175" s="12"/>
      <c r="R4175" s="12"/>
      <c r="S4175" s="12"/>
      <c r="T4175" s="12"/>
      <c r="U4175" s="12"/>
      <c r="V4175" s="12"/>
      <c r="W4175" s="12"/>
      <c r="X4175" s="12"/>
      <c r="Y4175" s="12"/>
      <c r="Z4175" s="12"/>
      <c r="AA4175" s="12"/>
    </row>
    <row r="4176" ht="26.25" customHeight="1">
      <c r="A4176" s="34" t="s">
        <v>8362</v>
      </c>
      <c r="B4176" s="35" t="s">
        <v>8363</v>
      </c>
      <c r="C4176" s="36">
        <v>4.0</v>
      </c>
      <c r="D4176" s="37">
        <v>400.0</v>
      </c>
      <c r="E4176" s="37">
        <v>12.0</v>
      </c>
      <c r="F4176" s="24" t="str">
        <f t="array" ref="F4176">"https://www.google.com/maps/search/?api=1&amp;query=" &amp; A4176 &amp; "," &amp; B4176</f>
        <v>https://www.google.com/maps/search/?api=1&amp;query=-30.89850674700040,-5.55601168791515</v>
      </c>
      <c r="G4176" s="25" t="str">
        <f t="array" ref="G4176">"https://earth.google.com/web/search/" &amp; A4176 &amp; "," &amp; B4176</f>
        <v>https://earth.google.com/web/search/-30.89850674700040,-5.55601168791515</v>
      </c>
      <c r="H4176" s="12"/>
      <c r="I4176" s="12"/>
      <c r="J4176" s="12"/>
      <c r="K4176" s="12"/>
      <c r="L4176" s="12"/>
      <c r="M4176" s="12"/>
      <c r="N4176" s="12"/>
      <c r="O4176" s="12"/>
      <c r="P4176" s="12"/>
      <c r="Q4176" s="12"/>
      <c r="R4176" s="12"/>
      <c r="S4176" s="12"/>
      <c r="T4176" s="12"/>
      <c r="U4176" s="12"/>
      <c r="V4176" s="12"/>
      <c r="W4176" s="12"/>
      <c r="X4176" s="12"/>
      <c r="Y4176" s="12"/>
      <c r="Z4176" s="12"/>
      <c r="AA4176" s="12"/>
    </row>
    <row r="4177" ht="26.25" customHeight="1">
      <c r="A4177" s="28" t="s">
        <v>8364</v>
      </c>
      <c r="B4177" s="29" t="s">
        <v>8365</v>
      </c>
      <c r="C4177" s="30">
        <v>4.0</v>
      </c>
      <c r="D4177" s="31">
        <v>405.0</v>
      </c>
      <c r="E4177" s="31">
        <v>1.0</v>
      </c>
      <c r="F4177" s="32" t="str">
        <f t="array" ref="F4177">"https://www.google.com/maps/search/?api=1&amp;query=" &amp; A4177 &amp; "," &amp; B4177</f>
        <v>https://www.google.com/maps/search/?api=1&amp;query=-30.88771718269560,-55.54857129686820</v>
      </c>
      <c r="G4177" s="33" t="str">
        <f t="array" ref="G4177">"https://earth.google.com/web/search/" &amp; A4177 &amp; "," &amp; B4177</f>
        <v>https://earth.google.com/web/search/-30.88771718269560,-55.54857129686820</v>
      </c>
      <c r="H4177" s="12"/>
      <c r="I4177" s="12"/>
      <c r="J4177" s="12"/>
      <c r="K4177" s="12"/>
      <c r="L4177" s="12"/>
      <c r="M4177" s="12"/>
      <c r="N4177" s="12"/>
      <c r="O4177" s="12"/>
      <c r="P4177" s="12"/>
      <c r="Q4177" s="12"/>
      <c r="R4177" s="12"/>
      <c r="S4177" s="12"/>
      <c r="T4177" s="12"/>
      <c r="U4177" s="12"/>
      <c r="V4177" s="12"/>
      <c r="W4177" s="12"/>
      <c r="X4177" s="12"/>
      <c r="Y4177" s="12"/>
      <c r="Z4177" s="12"/>
      <c r="AA4177" s="12"/>
    </row>
    <row r="4178" ht="26.25" customHeight="1">
      <c r="A4178" s="34" t="s">
        <v>8366</v>
      </c>
      <c r="B4178" s="35" t="s">
        <v>8367</v>
      </c>
      <c r="C4178" s="36">
        <v>4.0</v>
      </c>
      <c r="D4178" s="37">
        <v>405.0</v>
      </c>
      <c r="E4178" s="37">
        <v>2.0</v>
      </c>
      <c r="F4178" s="24" t="str">
        <f t="array" ref="F4178">"https://www.google.com/maps/search/?api=1&amp;query=" &amp; A4178 &amp; "," &amp; B4178</f>
        <v>https://www.google.com/maps/search/?api=1&amp;query=-30.88749897092780,-55.54807398530850</v>
      </c>
      <c r="G4178" s="25" t="str">
        <f t="array" ref="G4178">"https://earth.google.com/web/search/" &amp; A4178 &amp; "," &amp; B4178</f>
        <v>https://earth.google.com/web/search/-30.88749897092780,-55.54807398530850</v>
      </c>
      <c r="H4178" s="12"/>
      <c r="I4178" s="12"/>
      <c r="J4178" s="12"/>
      <c r="K4178" s="12"/>
      <c r="L4178" s="12"/>
      <c r="M4178" s="12"/>
      <c r="N4178" s="12"/>
      <c r="O4178" s="12"/>
      <c r="P4178" s="12"/>
      <c r="Q4178" s="12"/>
      <c r="R4178" s="12"/>
      <c r="S4178" s="12"/>
      <c r="T4178" s="12"/>
      <c r="U4178" s="12"/>
      <c r="V4178" s="12"/>
      <c r="W4178" s="12"/>
      <c r="X4178" s="12"/>
      <c r="Y4178" s="12"/>
      <c r="Z4178" s="12"/>
      <c r="AA4178" s="12"/>
    </row>
    <row r="4179" ht="26.25" customHeight="1">
      <c r="A4179" s="28" t="s">
        <v>8368</v>
      </c>
      <c r="B4179" s="29" t="s">
        <v>8369</v>
      </c>
      <c r="C4179" s="30">
        <v>4.0</v>
      </c>
      <c r="D4179" s="31">
        <v>405.0</v>
      </c>
      <c r="E4179" s="31">
        <v>3.0</v>
      </c>
      <c r="F4179" s="32" t="str">
        <f t="array" ref="F4179">"https://www.google.com/maps/search/?api=1&amp;query=" &amp; A4179 &amp; "," &amp; B4179</f>
        <v>https://www.google.com/maps/search/?api=1&amp;query=-3.08872382710238,-55.54828950826270</v>
      </c>
      <c r="G4179" s="33" t="str">
        <f t="array" ref="G4179">"https://earth.google.com/web/search/" &amp; A4179 &amp; "," &amp; B4179</f>
        <v>https://earth.google.com/web/search/-3.08872382710238,-55.54828950826270</v>
      </c>
      <c r="H4179" s="12"/>
      <c r="I4179" s="12"/>
      <c r="J4179" s="12"/>
      <c r="K4179" s="12"/>
      <c r="L4179" s="12"/>
      <c r="M4179" s="12"/>
      <c r="N4179" s="12"/>
      <c r="O4179" s="12"/>
      <c r="P4179" s="12"/>
      <c r="Q4179" s="12"/>
      <c r="R4179" s="12"/>
      <c r="S4179" s="12"/>
      <c r="T4179" s="12"/>
      <c r="U4179" s="12"/>
      <c r="V4179" s="12"/>
      <c r="W4179" s="12"/>
      <c r="X4179" s="12"/>
      <c r="Y4179" s="12"/>
      <c r="Z4179" s="12"/>
      <c r="AA4179" s="12"/>
    </row>
    <row r="4180" ht="26.25" customHeight="1">
      <c r="A4180" s="34" t="s">
        <v>8370</v>
      </c>
      <c r="B4180" s="35" t="s">
        <v>8371</v>
      </c>
      <c r="C4180" s="36">
        <v>4.0</v>
      </c>
      <c r="D4180" s="37">
        <v>405.0</v>
      </c>
      <c r="E4180" s="37">
        <v>4.0</v>
      </c>
      <c r="F4180" s="24" t="str">
        <f t="array" ref="F4180">"https://www.google.com/maps/search/?api=1&amp;query=" &amp; A4180 &amp; "," &amp; B4180</f>
        <v>https://www.google.com/maps/search/?api=1&amp;query=-30.88730723637800,-55.54838825467330</v>
      </c>
      <c r="G4180" s="25" t="str">
        <f t="array" ref="G4180">"https://earth.google.com/web/search/" &amp; A4180 &amp; "," &amp; B4180</f>
        <v>https://earth.google.com/web/search/-30.88730723637800,-55.54838825467330</v>
      </c>
      <c r="H4180" s="12"/>
      <c r="I4180" s="12"/>
      <c r="J4180" s="12"/>
      <c r="K4180" s="12"/>
      <c r="L4180" s="12"/>
      <c r="M4180" s="12"/>
      <c r="N4180" s="12"/>
      <c r="O4180" s="12"/>
      <c r="P4180" s="12"/>
      <c r="Q4180" s="12"/>
      <c r="R4180" s="12"/>
      <c r="S4180" s="12"/>
      <c r="T4180" s="12"/>
      <c r="U4180" s="12"/>
      <c r="V4180" s="12"/>
      <c r="W4180" s="12"/>
      <c r="X4180" s="12"/>
      <c r="Y4180" s="12"/>
      <c r="Z4180" s="12"/>
      <c r="AA4180" s="12"/>
    </row>
    <row r="4181" ht="26.25" customHeight="1">
      <c r="A4181" s="28" t="s">
        <v>8372</v>
      </c>
      <c r="B4181" s="29" t="s">
        <v>8373</v>
      </c>
      <c r="C4181" s="30">
        <v>4.0</v>
      </c>
      <c r="D4181" s="31">
        <v>406.0</v>
      </c>
      <c r="E4181" s="31">
        <v>1.0</v>
      </c>
      <c r="F4181" s="32" t="str">
        <f t="array" ref="F4181">"https://www.google.com/maps/search/?api=1&amp;query=" &amp; A4181 &amp; "," &amp; B4181</f>
        <v>https://www.google.com/maps/search/?api=1&amp;query=-3.08881267611347,-55.54770177758380</v>
      </c>
      <c r="G4181" s="33" t="str">
        <f t="array" ref="G4181">"https://earth.google.com/web/search/" &amp; A4181 &amp; "," &amp; B4181</f>
        <v>https://earth.google.com/web/search/-3.08881267611347,-55.54770177758380</v>
      </c>
      <c r="H4181" s="12"/>
      <c r="I4181" s="12"/>
      <c r="J4181" s="12"/>
      <c r="K4181" s="12"/>
      <c r="L4181" s="12"/>
      <c r="M4181" s="12"/>
      <c r="N4181" s="12"/>
      <c r="O4181" s="12"/>
      <c r="P4181" s="12"/>
      <c r="Q4181" s="12"/>
      <c r="R4181" s="12"/>
      <c r="S4181" s="12"/>
      <c r="T4181" s="12"/>
      <c r="U4181" s="12"/>
      <c r="V4181" s="12"/>
      <c r="W4181" s="12"/>
      <c r="X4181" s="12"/>
      <c r="Y4181" s="12"/>
      <c r="Z4181" s="12"/>
      <c r="AA4181" s="12"/>
    </row>
    <row r="4182" ht="26.25" customHeight="1">
      <c r="A4182" s="34" t="s">
        <v>8374</v>
      </c>
      <c r="B4182" s="35" t="s">
        <v>8375</v>
      </c>
      <c r="C4182" s="36">
        <v>4.0</v>
      </c>
      <c r="D4182" s="37">
        <v>406.0</v>
      </c>
      <c r="E4182" s="37">
        <v>2.0</v>
      </c>
      <c r="F4182" s="24" t="str">
        <f t="array" ref="F4182">"https://www.google.com/maps/search/?api=1&amp;query=" &amp; A4182 &amp; "," &amp; B4182</f>
        <v>https://www.google.com/maps/search/?api=1&amp;query=-30.88837284943970,-55.54763783590260</v>
      </c>
      <c r="G4182" s="25" t="str">
        <f t="array" ref="G4182">"https://earth.google.com/web/search/" &amp; A4182 &amp; "," &amp; B4182</f>
        <v>https://earth.google.com/web/search/-30.88837284943970,-55.54763783590260</v>
      </c>
      <c r="H4182" s="12"/>
      <c r="I4182" s="12"/>
      <c r="J4182" s="12"/>
      <c r="K4182" s="12"/>
      <c r="L4182" s="12"/>
      <c r="M4182" s="12"/>
      <c r="N4182" s="12"/>
      <c r="O4182" s="12"/>
      <c r="P4182" s="12"/>
      <c r="Q4182" s="12"/>
      <c r="R4182" s="12"/>
      <c r="S4182" s="12"/>
      <c r="T4182" s="12"/>
      <c r="U4182" s="12"/>
      <c r="V4182" s="12"/>
      <c r="W4182" s="12"/>
      <c r="X4182" s="12"/>
      <c r="Y4182" s="12"/>
      <c r="Z4182" s="12"/>
      <c r="AA4182" s="12"/>
    </row>
    <row r="4183" ht="26.25" customHeight="1">
      <c r="A4183" s="28" t="s">
        <v>8376</v>
      </c>
      <c r="B4183" s="29" t="s">
        <v>8377</v>
      </c>
      <c r="C4183" s="30">
        <v>4.0</v>
      </c>
      <c r="D4183" s="31">
        <v>407.0</v>
      </c>
      <c r="E4183" s="31">
        <v>1.0</v>
      </c>
      <c r="F4183" s="32" t="str">
        <f t="array" ref="F4183">"https://www.google.com/maps/search/?api=1&amp;query=" &amp; A4183 &amp; "," &amp; B4183</f>
        <v>https://www.google.com/maps/search/?api=1&amp;query=-30.89008270385900,-55.54611455011760</v>
      </c>
      <c r="G4183" s="33" t="str">
        <f t="array" ref="G4183">"https://earth.google.com/web/search/" &amp; A4183 &amp; "," &amp; B4183</f>
        <v>https://earth.google.com/web/search/-30.89008270385900,-55.54611455011760</v>
      </c>
      <c r="H4183" s="12"/>
      <c r="I4183" s="12"/>
      <c r="J4183" s="12"/>
      <c r="K4183" s="12"/>
      <c r="L4183" s="12"/>
      <c r="M4183" s="12"/>
      <c r="N4183" s="12"/>
      <c r="O4183" s="12"/>
      <c r="P4183" s="12"/>
      <c r="Q4183" s="12"/>
      <c r="R4183" s="12"/>
      <c r="S4183" s="12"/>
      <c r="T4183" s="12"/>
      <c r="U4183" s="12"/>
      <c r="V4183" s="12"/>
      <c r="W4183" s="12"/>
      <c r="X4183" s="12"/>
      <c r="Y4183" s="12"/>
      <c r="Z4183" s="12"/>
      <c r="AA4183" s="12"/>
    </row>
    <row r="4184" ht="26.25" customHeight="1">
      <c r="A4184" s="34" t="s">
        <v>8378</v>
      </c>
      <c r="B4184" s="35" t="s">
        <v>8379</v>
      </c>
      <c r="C4184" s="36">
        <v>4.0</v>
      </c>
      <c r="D4184" s="37">
        <v>407.0</v>
      </c>
      <c r="E4184" s="37">
        <v>2.0</v>
      </c>
      <c r="F4184" s="24" t="str">
        <f t="array" ref="F4184">"https://www.google.com/maps/search/?api=1&amp;query=" &amp; A4184 &amp; "," &amp; B4184</f>
        <v>https://www.google.com/maps/search/?api=1&amp;query=-30.89007031502620,-55.54638057534040</v>
      </c>
      <c r="G4184" s="25" t="str">
        <f t="array" ref="G4184">"https://earth.google.com/web/search/" &amp; A4184 &amp; "," &amp; B4184</f>
        <v>https://earth.google.com/web/search/-30.89007031502620,-55.54638057534040</v>
      </c>
      <c r="H4184" s="12"/>
      <c r="I4184" s="12"/>
      <c r="J4184" s="12"/>
      <c r="K4184" s="12"/>
      <c r="L4184" s="12"/>
      <c r="M4184" s="12"/>
      <c r="N4184" s="12"/>
      <c r="O4184" s="12"/>
      <c r="P4184" s="12"/>
      <c r="Q4184" s="12"/>
      <c r="R4184" s="12"/>
      <c r="S4184" s="12"/>
      <c r="T4184" s="12"/>
      <c r="U4184" s="12"/>
      <c r="V4184" s="12"/>
      <c r="W4184" s="12"/>
      <c r="X4184" s="12"/>
      <c r="Y4184" s="12"/>
      <c r="Z4184" s="12"/>
      <c r="AA4184" s="12"/>
    </row>
    <row r="4185" ht="26.25" customHeight="1">
      <c r="A4185" s="28" t="s">
        <v>8380</v>
      </c>
      <c r="B4185" s="29" t="s">
        <v>8381</v>
      </c>
      <c r="C4185" s="30">
        <v>4.0</v>
      </c>
      <c r="D4185" s="31">
        <v>407.0</v>
      </c>
      <c r="E4185" s="31">
        <v>3.0</v>
      </c>
      <c r="F4185" s="32" t="str">
        <f t="array" ref="F4185">"https://www.google.com/maps/search/?api=1&amp;query=" &amp; A4185 &amp; "," &amp; B4185</f>
        <v>https://www.google.com/maps/search/?api=1&amp;query=-30.88994243446320,-5.55461939638805</v>
      </c>
      <c r="G4185" s="33" t="str">
        <f t="array" ref="G4185">"https://earth.google.com/web/search/" &amp; A4185 &amp; "," &amp; B4185</f>
        <v>https://earth.google.com/web/search/-30.88994243446320,-5.55461939638805</v>
      </c>
      <c r="H4185" s="12"/>
      <c r="I4185" s="12"/>
      <c r="J4185" s="12"/>
      <c r="K4185" s="12"/>
      <c r="L4185" s="12"/>
      <c r="M4185" s="12"/>
      <c r="N4185" s="12"/>
      <c r="O4185" s="12"/>
      <c r="P4185" s="12"/>
      <c r="Q4185" s="12"/>
      <c r="R4185" s="12"/>
      <c r="S4185" s="12"/>
      <c r="T4185" s="12"/>
      <c r="U4185" s="12"/>
      <c r="V4185" s="12"/>
      <c r="W4185" s="12"/>
      <c r="X4185" s="12"/>
      <c r="Y4185" s="12"/>
      <c r="Z4185" s="12"/>
      <c r="AA4185" s="12"/>
    </row>
    <row r="4186" ht="26.25" customHeight="1">
      <c r="A4186" s="34" t="s">
        <v>8382</v>
      </c>
      <c r="B4186" s="35" t="s">
        <v>8383</v>
      </c>
      <c r="C4186" s="36">
        <v>4.0</v>
      </c>
      <c r="D4186" s="37">
        <v>407.0</v>
      </c>
      <c r="E4186" s="37">
        <v>4.0</v>
      </c>
      <c r="F4186" s="24" t="str">
        <f t="array" ref="F4186">"https://www.google.com/maps/search/?api=1&amp;query=" &amp; A4186 &amp; "," &amp; B4186</f>
        <v>https://www.google.com/maps/search/?api=1&amp;query=-30.88988761613530,-55.54624866811120</v>
      </c>
      <c r="G4186" s="25" t="str">
        <f t="array" ref="G4186">"https://earth.google.com/web/search/" &amp; A4186 &amp; "," &amp; B4186</f>
        <v>https://earth.google.com/web/search/-30.88988761613530,-55.54624866811120</v>
      </c>
      <c r="H4186" s="12"/>
      <c r="I4186" s="12"/>
      <c r="J4186" s="12"/>
      <c r="K4186" s="12"/>
      <c r="L4186" s="12"/>
      <c r="M4186" s="12"/>
      <c r="N4186" s="12"/>
      <c r="O4186" s="12"/>
      <c r="P4186" s="12"/>
      <c r="Q4186" s="12"/>
      <c r="R4186" s="12"/>
      <c r="S4186" s="12"/>
      <c r="T4186" s="12"/>
      <c r="U4186" s="12"/>
      <c r="V4186" s="12"/>
      <c r="W4186" s="12"/>
      <c r="X4186" s="12"/>
      <c r="Y4186" s="12"/>
      <c r="Z4186" s="12"/>
      <c r="AA4186" s="12"/>
    </row>
    <row r="4187" ht="26.25" customHeight="1">
      <c r="A4187" s="28" t="s">
        <v>8384</v>
      </c>
      <c r="B4187" s="29" t="s">
        <v>8385</v>
      </c>
      <c r="C4187" s="30">
        <v>4.0</v>
      </c>
      <c r="D4187" s="31">
        <v>407.0</v>
      </c>
      <c r="E4187" s="31">
        <v>5.0</v>
      </c>
      <c r="F4187" s="32" t="str">
        <f t="array" ref="F4187">"https://www.google.com/maps/search/?api=1&amp;query=" &amp; A4187 &amp; "," &amp; B4187</f>
        <v>https://www.google.com/maps/search/?api=1&amp;query=-30.89003914608250,-55.54650660025930</v>
      </c>
      <c r="G4187" s="33" t="str">
        <f t="array" ref="G4187">"https://earth.google.com/web/search/" &amp; A4187 &amp; "," &amp; B4187</f>
        <v>https://earth.google.com/web/search/-30.89003914608250,-55.54650660025930</v>
      </c>
      <c r="H4187" s="12"/>
      <c r="I4187" s="12"/>
      <c r="J4187" s="12"/>
      <c r="K4187" s="12"/>
      <c r="L4187" s="12"/>
      <c r="M4187" s="12"/>
      <c r="N4187" s="12"/>
      <c r="O4187" s="12"/>
      <c r="P4187" s="12"/>
      <c r="Q4187" s="12"/>
      <c r="R4187" s="12"/>
      <c r="S4187" s="12"/>
      <c r="T4187" s="12"/>
      <c r="U4187" s="12"/>
      <c r="V4187" s="12"/>
      <c r="W4187" s="12"/>
      <c r="X4187" s="12"/>
      <c r="Y4187" s="12"/>
      <c r="Z4187" s="12"/>
      <c r="AA4187" s="12"/>
    </row>
    <row r="4188" ht="26.25" customHeight="1">
      <c r="A4188" s="34" t="s">
        <v>8386</v>
      </c>
      <c r="B4188" s="35" t="s">
        <v>8387</v>
      </c>
      <c r="C4188" s="36">
        <v>4.0</v>
      </c>
      <c r="D4188" s="37">
        <v>407.0</v>
      </c>
      <c r="E4188" s="37">
        <v>6.0</v>
      </c>
      <c r="F4188" s="24" t="str">
        <f t="array" ref="F4188">"https://www.google.com/maps/search/?api=1&amp;query=" &amp; A4188 &amp; "," &amp; B4188</f>
        <v>https://www.google.com/maps/search/?api=1&amp;query=-30.89009261834100,-55.54659545960350</v>
      </c>
      <c r="G4188" s="25" t="str">
        <f t="array" ref="G4188">"https://earth.google.com/web/search/" &amp; A4188 &amp; "," &amp; B4188</f>
        <v>https://earth.google.com/web/search/-30.89009261834100,-55.54659545960350</v>
      </c>
      <c r="H4188" s="12"/>
      <c r="I4188" s="12"/>
      <c r="J4188" s="12"/>
      <c r="K4188" s="12"/>
      <c r="L4188" s="12"/>
      <c r="M4188" s="12"/>
      <c r="N4188" s="12"/>
      <c r="O4188" s="12"/>
      <c r="P4188" s="12"/>
      <c r="Q4188" s="12"/>
      <c r="R4188" s="12"/>
      <c r="S4188" s="12"/>
      <c r="T4188" s="12"/>
      <c r="U4188" s="12"/>
      <c r="V4188" s="12"/>
      <c r="W4188" s="12"/>
      <c r="X4188" s="12"/>
      <c r="Y4188" s="12"/>
      <c r="Z4188" s="12"/>
      <c r="AA4188" s="12"/>
    </row>
    <row r="4189" ht="26.25" customHeight="1">
      <c r="A4189" s="38"/>
      <c r="B4189" s="39"/>
      <c r="C4189" s="30"/>
      <c r="D4189" s="31"/>
      <c r="E4189" s="31"/>
      <c r="F4189" s="32" t="str">
        <f t="array" ref="F4189">"https://www.google.com/maps/search/?api=1&amp;query=" &amp; A4189 &amp; "," &amp; B4189</f>
        <v>https://www.google.com/maps/search/?api=1&amp;query=,</v>
      </c>
      <c r="G4189" s="33" t="str">
        <f t="array" ref="G4189">"https://earth.google.com/web/search/" &amp; A4189 &amp; "," &amp; B4189</f>
        <v>https://earth.google.com/web/search/,</v>
      </c>
      <c r="H4189" s="12"/>
      <c r="I4189" s="12"/>
      <c r="J4189" s="12"/>
      <c r="K4189" s="12"/>
      <c r="L4189" s="12"/>
      <c r="M4189" s="12"/>
      <c r="N4189" s="12"/>
      <c r="O4189" s="12"/>
      <c r="P4189" s="12"/>
      <c r="Q4189" s="12"/>
      <c r="R4189" s="12"/>
      <c r="S4189" s="12"/>
      <c r="T4189" s="12"/>
      <c r="U4189" s="12"/>
      <c r="V4189" s="12"/>
      <c r="W4189" s="12"/>
      <c r="X4189" s="12"/>
      <c r="Y4189" s="12"/>
      <c r="Z4189" s="12"/>
      <c r="AA4189" s="12"/>
    </row>
    <row r="4190" ht="26.25" customHeight="1">
      <c r="A4190" s="40"/>
      <c r="B4190" s="41"/>
      <c r="C4190" s="36"/>
      <c r="D4190" s="37"/>
      <c r="E4190" s="37"/>
      <c r="F4190" s="24" t="str">
        <f t="array" ref="F4190">"https://www.google.com/maps/search/?api=1&amp;query=" &amp; A4190 &amp; "," &amp; B4190</f>
        <v>https://www.google.com/maps/search/?api=1&amp;query=,</v>
      </c>
      <c r="G4190" s="25" t="str">
        <f t="array" ref="G4190">"https://earth.google.com/web/search/" &amp; A4190 &amp; "," &amp; B4190</f>
        <v>https://earth.google.com/web/search/,</v>
      </c>
      <c r="H4190" s="12"/>
      <c r="I4190" s="12"/>
      <c r="J4190" s="12"/>
      <c r="K4190" s="12"/>
      <c r="L4190" s="12"/>
      <c r="M4190" s="12"/>
      <c r="N4190" s="12"/>
      <c r="O4190" s="12"/>
      <c r="P4190" s="12"/>
      <c r="Q4190" s="12"/>
      <c r="R4190" s="12"/>
      <c r="S4190" s="12"/>
      <c r="T4190" s="12"/>
      <c r="U4190" s="12"/>
      <c r="V4190" s="12"/>
      <c r="W4190" s="12"/>
      <c r="X4190" s="12"/>
      <c r="Y4190" s="12"/>
      <c r="Z4190" s="12"/>
      <c r="AA4190" s="12"/>
    </row>
    <row r="4191" ht="26.25" customHeight="1">
      <c r="A4191" s="38"/>
      <c r="B4191" s="39"/>
      <c r="C4191" s="30"/>
      <c r="D4191" s="31"/>
      <c r="E4191" s="31"/>
      <c r="F4191" s="32" t="str">
        <f t="array" ref="F4191">"https://www.google.com/maps/search/?api=1&amp;query=" &amp; A4191 &amp; "," &amp; B4191</f>
        <v>https://www.google.com/maps/search/?api=1&amp;query=,</v>
      </c>
      <c r="G4191" s="33" t="str">
        <f t="array" ref="G4191">"https://earth.google.com/web/search/" &amp; A4191 &amp; "," &amp; B4191</f>
        <v>https://earth.google.com/web/search/,</v>
      </c>
      <c r="H4191" s="12"/>
      <c r="I4191" s="12"/>
      <c r="J4191" s="12"/>
      <c r="K4191" s="12"/>
      <c r="L4191" s="12"/>
      <c r="M4191" s="12"/>
      <c r="N4191" s="12"/>
      <c r="O4191" s="12"/>
      <c r="P4191" s="12"/>
      <c r="Q4191" s="12"/>
      <c r="R4191" s="12"/>
      <c r="S4191" s="12"/>
      <c r="T4191" s="12"/>
      <c r="U4191" s="12"/>
      <c r="V4191" s="12"/>
      <c r="W4191" s="12"/>
      <c r="X4191" s="12"/>
      <c r="Y4191" s="12"/>
      <c r="Z4191" s="12"/>
      <c r="AA4191" s="12"/>
    </row>
    <row r="4192" ht="26.25" customHeight="1">
      <c r="A4192" s="40"/>
      <c r="B4192" s="41"/>
      <c r="C4192" s="36"/>
      <c r="D4192" s="37"/>
      <c r="E4192" s="37"/>
      <c r="F4192" s="24" t="str">
        <f t="array" ref="F4192">"https://www.google.com/maps/search/?api=1&amp;query=" &amp; A4192 &amp; "," &amp; B4192</f>
        <v>https://www.google.com/maps/search/?api=1&amp;query=,</v>
      </c>
      <c r="G4192" s="25" t="str">
        <f t="array" ref="G4192">"https://earth.google.com/web/search/" &amp; A4192 &amp; "," &amp; B4192</f>
        <v>https://earth.google.com/web/search/,</v>
      </c>
      <c r="H4192" s="12"/>
      <c r="I4192" s="12"/>
      <c r="J4192" s="12"/>
      <c r="K4192" s="12"/>
      <c r="L4192" s="12"/>
      <c r="M4192" s="12"/>
      <c r="N4192" s="12"/>
      <c r="O4192" s="12"/>
      <c r="P4192" s="12"/>
      <c r="Q4192" s="12"/>
      <c r="R4192" s="12"/>
      <c r="S4192" s="12"/>
      <c r="T4192" s="12"/>
      <c r="U4192" s="12"/>
      <c r="V4192" s="12"/>
      <c r="W4192" s="12"/>
      <c r="X4192" s="12"/>
      <c r="Y4192" s="12"/>
      <c r="Z4192" s="12"/>
      <c r="AA4192" s="12"/>
    </row>
    <row r="4193" ht="26.25" customHeight="1">
      <c r="A4193" s="38"/>
      <c r="B4193" s="39"/>
      <c r="C4193" s="30"/>
      <c r="D4193" s="31"/>
      <c r="E4193" s="31"/>
      <c r="F4193" s="32" t="str">
        <f t="array" ref="F4193">"https://www.google.com/maps/search/?api=1&amp;query=" &amp; A4193 &amp; "," &amp; B4193</f>
        <v>https://www.google.com/maps/search/?api=1&amp;query=,</v>
      </c>
      <c r="G4193" s="33" t="str">
        <f t="array" ref="G4193">"https://earth.google.com/web/search/" &amp; A4193 &amp; "," &amp; B4193</f>
        <v>https://earth.google.com/web/search/,</v>
      </c>
      <c r="H4193" s="12"/>
      <c r="I4193" s="12"/>
      <c r="J4193" s="12"/>
      <c r="K4193" s="12"/>
      <c r="L4193" s="12"/>
      <c r="M4193" s="12"/>
      <c r="N4193" s="12"/>
      <c r="O4193" s="12"/>
      <c r="P4193" s="12"/>
      <c r="Q4193" s="12"/>
      <c r="R4193" s="12"/>
      <c r="S4193" s="12"/>
      <c r="T4193" s="12"/>
      <c r="U4193" s="12"/>
      <c r="V4193" s="12"/>
      <c r="W4193" s="12"/>
      <c r="X4193" s="12"/>
      <c r="Y4193" s="12"/>
      <c r="Z4193" s="12"/>
      <c r="AA4193" s="12"/>
    </row>
    <row r="4194" ht="26.25" customHeight="1">
      <c r="A4194" s="40"/>
      <c r="B4194" s="41"/>
      <c r="C4194" s="36"/>
      <c r="D4194" s="37"/>
      <c r="E4194" s="37"/>
      <c r="F4194" s="24" t="str">
        <f t="array" ref="F4194">"https://www.google.com/maps/search/?api=1&amp;query=" &amp; A4194 &amp; "," &amp; B4194</f>
        <v>https://www.google.com/maps/search/?api=1&amp;query=,</v>
      </c>
      <c r="G4194" s="25" t="str">
        <f t="array" ref="G4194">"https://earth.google.com/web/search/" &amp; A4194 &amp; "," &amp; B4194</f>
        <v>https://earth.google.com/web/search/,</v>
      </c>
      <c r="H4194" s="12"/>
      <c r="I4194" s="12"/>
      <c r="J4194" s="12"/>
      <c r="K4194" s="12"/>
      <c r="L4194" s="12"/>
      <c r="M4194" s="12"/>
      <c r="N4194" s="12"/>
      <c r="O4194" s="12"/>
      <c r="P4194" s="12"/>
      <c r="Q4194" s="12"/>
      <c r="R4194" s="12"/>
      <c r="S4194" s="12"/>
      <c r="T4194" s="12"/>
      <c r="U4194" s="12"/>
      <c r="V4194" s="12"/>
      <c r="W4194" s="12"/>
      <c r="X4194" s="12"/>
      <c r="Y4194" s="12"/>
      <c r="Z4194" s="12"/>
      <c r="AA4194" s="12"/>
    </row>
    <row r="4195" ht="26.25" customHeight="1">
      <c r="A4195" s="38"/>
      <c r="B4195" s="39"/>
      <c r="C4195" s="30"/>
      <c r="D4195" s="31"/>
      <c r="E4195" s="31"/>
      <c r="F4195" s="32" t="str">
        <f t="array" ref="F4195">"https://www.google.com/maps/search/?api=1&amp;query=" &amp; A4195 &amp; "," &amp; B4195</f>
        <v>https://www.google.com/maps/search/?api=1&amp;query=,</v>
      </c>
      <c r="G4195" s="33" t="str">
        <f t="array" ref="G4195">"https://earth.google.com/web/search/" &amp; A4195 &amp; "," &amp; B4195</f>
        <v>https://earth.google.com/web/search/,</v>
      </c>
      <c r="H4195" s="12"/>
      <c r="I4195" s="12"/>
      <c r="J4195" s="12"/>
      <c r="K4195" s="12"/>
      <c r="L4195" s="12"/>
      <c r="M4195" s="12"/>
      <c r="N4195" s="12"/>
      <c r="O4195" s="12"/>
      <c r="P4195" s="12"/>
      <c r="Q4195" s="12"/>
      <c r="R4195" s="12"/>
      <c r="S4195" s="12"/>
      <c r="T4195" s="12"/>
      <c r="U4195" s="12"/>
      <c r="V4195" s="12"/>
      <c r="W4195" s="12"/>
      <c r="X4195" s="12"/>
      <c r="Y4195" s="12"/>
      <c r="Z4195" s="12"/>
      <c r="AA4195" s="12"/>
    </row>
    <row r="4196" ht="26.25" customHeight="1">
      <c r="A4196" s="40"/>
      <c r="B4196" s="41"/>
      <c r="C4196" s="36"/>
      <c r="D4196" s="37"/>
      <c r="E4196" s="37"/>
      <c r="F4196" s="24" t="str">
        <f t="array" ref="F4196">"https://www.google.com/maps/search/?api=1&amp;query=" &amp; A4196 &amp; "," &amp; B4196</f>
        <v>https://www.google.com/maps/search/?api=1&amp;query=,</v>
      </c>
      <c r="G4196" s="25" t="str">
        <f t="array" ref="G4196">"https://earth.google.com/web/search/" &amp; A4196 &amp; "," &amp; B4196</f>
        <v>https://earth.google.com/web/search/,</v>
      </c>
      <c r="H4196" s="12"/>
      <c r="I4196" s="12"/>
      <c r="J4196" s="12"/>
      <c r="K4196" s="12"/>
      <c r="L4196" s="12"/>
      <c r="M4196" s="12"/>
      <c r="N4196" s="12"/>
      <c r="O4196" s="12"/>
      <c r="P4196" s="12"/>
      <c r="Q4196" s="12"/>
      <c r="R4196" s="12"/>
      <c r="S4196" s="12"/>
      <c r="T4196" s="12"/>
      <c r="U4196" s="12"/>
      <c r="V4196" s="12"/>
      <c r="W4196" s="12"/>
      <c r="X4196" s="12"/>
      <c r="Y4196" s="12"/>
      <c r="Z4196" s="12"/>
      <c r="AA4196" s="12"/>
    </row>
    <row r="4197" ht="26.25" customHeight="1">
      <c r="A4197" s="38"/>
      <c r="B4197" s="39"/>
      <c r="C4197" s="30"/>
      <c r="D4197" s="31"/>
      <c r="E4197" s="31"/>
      <c r="F4197" s="32" t="str">
        <f t="array" ref="F4197">"https://www.google.com/maps/search/?api=1&amp;query=" &amp; A4197 &amp; "," &amp; B4197</f>
        <v>https://www.google.com/maps/search/?api=1&amp;query=,</v>
      </c>
      <c r="G4197" s="33" t="str">
        <f t="array" ref="G4197">"https://earth.google.com/web/search/" &amp; A4197 &amp; "," &amp; B4197</f>
        <v>https://earth.google.com/web/search/,</v>
      </c>
      <c r="H4197" s="12"/>
      <c r="I4197" s="12"/>
      <c r="J4197" s="12"/>
      <c r="K4197" s="12"/>
      <c r="L4197" s="12"/>
      <c r="M4197" s="12"/>
      <c r="N4197" s="12"/>
      <c r="O4197" s="12"/>
      <c r="P4197" s="12"/>
      <c r="Q4197" s="12"/>
      <c r="R4197" s="12"/>
      <c r="S4197" s="12"/>
      <c r="T4197" s="12"/>
      <c r="U4197" s="12"/>
      <c r="V4197" s="12"/>
      <c r="W4197" s="12"/>
      <c r="X4197" s="12"/>
      <c r="Y4197" s="12"/>
      <c r="Z4197" s="12"/>
      <c r="AA4197" s="12"/>
    </row>
    <row r="4198" ht="26.25" customHeight="1">
      <c r="A4198" s="40"/>
      <c r="B4198" s="41"/>
      <c r="C4198" s="36"/>
      <c r="D4198" s="37"/>
      <c r="E4198" s="37"/>
      <c r="F4198" s="24" t="str">
        <f t="array" ref="F4198">"https://www.google.com/maps/search/?api=1&amp;query=" &amp; A4198 &amp; "," &amp; B4198</f>
        <v>https://www.google.com/maps/search/?api=1&amp;query=,</v>
      </c>
      <c r="G4198" s="25" t="str">
        <f t="array" ref="G4198">"https://earth.google.com/web/search/" &amp; A4198 &amp; "," &amp; B4198</f>
        <v>https://earth.google.com/web/search/,</v>
      </c>
      <c r="H4198" s="12"/>
      <c r="I4198" s="12"/>
      <c r="J4198" s="12"/>
      <c r="K4198" s="12"/>
      <c r="L4198" s="12"/>
      <c r="M4198" s="12"/>
      <c r="N4198" s="12"/>
      <c r="O4198" s="12"/>
      <c r="P4198" s="12"/>
      <c r="Q4198" s="12"/>
      <c r="R4198" s="12"/>
      <c r="S4198" s="12"/>
      <c r="T4198" s="12"/>
      <c r="U4198" s="12"/>
      <c r="V4198" s="12"/>
      <c r="W4198" s="12"/>
      <c r="X4198" s="12"/>
      <c r="Y4198" s="12"/>
      <c r="Z4198" s="12"/>
      <c r="AA4198" s="12"/>
    </row>
    <row r="4199" ht="26.25" customHeight="1">
      <c r="A4199" s="38"/>
      <c r="B4199" s="39"/>
      <c r="C4199" s="30"/>
      <c r="D4199" s="31"/>
      <c r="E4199" s="31"/>
      <c r="F4199" s="32" t="str">
        <f t="array" ref="F4199">"https://www.google.com/maps/search/?api=1&amp;query=" &amp; A4199 &amp; "," &amp; B4199</f>
        <v>https://www.google.com/maps/search/?api=1&amp;query=,</v>
      </c>
      <c r="G4199" s="33" t="str">
        <f t="array" ref="G4199">"https://earth.google.com/web/search/" &amp; A4199 &amp; "," &amp; B4199</f>
        <v>https://earth.google.com/web/search/,</v>
      </c>
      <c r="H4199" s="12"/>
      <c r="I4199" s="12"/>
      <c r="J4199" s="12"/>
      <c r="K4199" s="12"/>
      <c r="L4199" s="12"/>
      <c r="M4199" s="12"/>
      <c r="N4199" s="12"/>
      <c r="O4199" s="12"/>
      <c r="P4199" s="12"/>
      <c r="Q4199" s="12"/>
      <c r="R4199" s="12"/>
      <c r="S4199" s="12"/>
      <c r="T4199" s="12"/>
      <c r="U4199" s="12"/>
      <c r="V4199" s="12"/>
      <c r="W4199" s="12"/>
      <c r="X4199" s="12"/>
      <c r="Y4199" s="12"/>
      <c r="Z4199" s="12"/>
      <c r="AA4199" s="12"/>
    </row>
    <row r="4200" ht="26.25" customHeight="1">
      <c r="A4200" s="40"/>
      <c r="B4200" s="41"/>
      <c r="C4200" s="36"/>
      <c r="D4200" s="37"/>
      <c r="E4200" s="37"/>
      <c r="F4200" s="24" t="str">
        <f t="array" ref="F4200">"https://www.google.com/maps/search/?api=1&amp;query=" &amp; A4200 &amp; "," &amp; B4200</f>
        <v>https://www.google.com/maps/search/?api=1&amp;query=,</v>
      </c>
      <c r="G4200" s="25" t="str">
        <f t="array" ref="G4200">"https://earth.google.com/web/search/" &amp; A4200 &amp; "," &amp; B4200</f>
        <v>https://earth.google.com/web/search/,</v>
      </c>
      <c r="H4200" s="12"/>
      <c r="I4200" s="12"/>
      <c r="J4200" s="12"/>
      <c r="K4200" s="12"/>
      <c r="L4200" s="12"/>
      <c r="M4200" s="12"/>
      <c r="N4200" s="12"/>
      <c r="O4200" s="12"/>
      <c r="P4200" s="12"/>
      <c r="Q4200" s="12"/>
      <c r="R4200" s="12"/>
      <c r="S4200" s="12"/>
      <c r="T4200" s="12"/>
      <c r="U4200" s="12"/>
      <c r="V4200" s="12"/>
      <c r="W4200" s="12"/>
      <c r="X4200" s="12"/>
      <c r="Y4200" s="12"/>
      <c r="Z4200" s="12"/>
      <c r="AA4200" s="12"/>
    </row>
    <row r="4201" ht="26.25" customHeight="1">
      <c r="A4201" s="38"/>
      <c r="B4201" s="39"/>
      <c r="C4201" s="30"/>
      <c r="D4201" s="31"/>
      <c r="E4201" s="31"/>
      <c r="F4201" s="32" t="str">
        <f t="array" ref="F4201">"https://www.google.com/maps/search/?api=1&amp;query=" &amp; A4201 &amp; "," &amp; B4201</f>
        <v>https://www.google.com/maps/search/?api=1&amp;query=,</v>
      </c>
      <c r="G4201" s="33" t="str">
        <f t="array" ref="G4201">"https://earth.google.com/web/search/" &amp; A4201 &amp; "," &amp; B4201</f>
        <v>https://earth.google.com/web/search/,</v>
      </c>
      <c r="H4201" s="12"/>
      <c r="I4201" s="12"/>
      <c r="J4201" s="12"/>
      <c r="K4201" s="12"/>
      <c r="L4201" s="12"/>
      <c r="M4201" s="12"/>
      <c r="N4201" s="12"/>
      <c r="O4201" s="12"/>
      <c r="P4201" s="12"/>
      <c r="Q4201" s="12"/>
      <c r="R4201" s="12"/>
      <c r="S4201" s="12"/>
      <c r="T4201" s="12"/>
      <c r="U4201" s="12"/>
      <c r="V4201" s="12"/>
      <c r="W4201" s="12"/>
      <c r="X4201" s="12"/>
      <c r="Y4201" s="12"/>
      <c r="Z4201" s="12"/>
      <c r="AA4201" s="12"/>
    </row>
    <row r="4202" ht="26.25" customHeight="1">
      <c r="A4202" s="40"/>
      <c r="B4202" s="41"/>
      <c r="C4202" s="36"/>
      <c r="D4202" s="37"/>
      <c r="E4202" s="37"/>
      <c r="F4202" s="24" t="str">
        <f t="array" ref="F4202">"https://www.google.com/maps/search/?api=1&amp;query=" &amp; A4202 &amp; "," &amp; B4202</f>
        <v>https://www.google.com/maps/search/?api=1&amp;query=,</v>
      </c>
      <c r="G4202" s="25" t="str">
        <f t="array" ref="G4202">"https://earth.google.com/web/search/" &amp; A4202 &amp; "," &amp; B4202</f>
        <v>https://earth.google.com/web/search/,</v>
      </c>
      <c r="H4202" s="12"/>
      <c r="I4202" s="12"/>
      <c r="J4202" s="12"/>
      <c r="K4202" s="12"/>
      <c r="L4202" s="12"/>
      <c r="M4202" s="12"/>
      <c r="N4202" s="12"/>
      <c r="O4202" s="12"/>
      <c r="P4202" s="12"/>
      <c r="Q4202" s="12"/>
      <c r="R4202" s="12"/>
      <c r="S4202" s="12"/>
      <c r="T4202" s="12"/>
      <c r="U4202" s="12"/>
      <c r="V4202" s="12"/>
      <c r="W4202" s="12"/>
      <c r="X4202" s="12"/>
      <c r="Y4202" s="12"/>
      <c r="Z4202" s="12"/>
      <c r="AA4202" s="12"/>
    </row>
    <row r="4203" ht="26.25" customHeight="1">
      <c r="A4203" s="38"/>
      <c r="B4203" s="39"/>
      <c r="C4203" s="30"/>
      <c r="D4203" s="31"/>
      <c r="E4203" s="31"/>
      <c r="F4203" s="32" t="str">
        <f t="array" ref="F4203">"https://www.google.com/maps/search/?api=1&amp;query=" &amp; A4203 &amp; "," &amp; B4203</f>
        <v>https://www.google.com/maps/search/?api=1&amp;query=,</v>
      </c>
      <c r="G4203" s="33" t="str">
        <f t="array" ref="G4203">"https://earth.google.com/web/search/" &amp; A4203 &amp; "," &amp; B4203</f>
        <v>https://earth.google.com/web/search/,</v>
      </c>
      <c r="H4203" s="12"/>
      <c r="I4203" s="12"/>
      <c r="J4203" s="12"/>
      <c r="K4203" s="12"/>
      <c r="L4203" s="12"/>
      <c r="M4203" s="12"/>
      <c r="N4203" s="12"/>
      <c r="O4203" s="12"/>
      <c r="P4203" s="12"/>
      <c r="Q4203" s="12"/>
      <c r="R4203" s="12"/>
      <c r="S4203" s="12"/>
      <c r="T4203" s="12"/>
      <c r="U4203" s="12"/>
      <c r="V4203" s="12"/>
      <c r="W4203" s="12"/>
      <c r="X4203" s="12"/>
      <c r="Y4203" s="12"/>
      <c r="Z4203" s="12"/>
      <c r="AA4203" s="12"/>
    </row>
    <row r="4204" ht="26.25" customHeight="1">
      <c r="A4204" s="40"/>
      <c r="B4204" s="41"/>
      <c r="C4204" s="36"/>
      <c r="D4204" s="37"/>
      <c r="E4204" s="37"/>
      <c r="F4204" s="24" t="str">
        <f t="array" ref="F4204">"https://www.google.com/maps/search/?api=1&amp;query=" &amp; A4204 &amp; "," &amp; B4204</f>
        <v>https://www.google.com/maps/search/?api=1&amp;query=,</v>
      </c>
      <c r="G4204" s="25" t="str">
        <f t="array" ref="G4204">"https://earth.google.com/web/search/" &amp; A4204 &amp; "," &amp; B4204</f>
        <v>https://earth.google.com/web/search/,</v>
      </c>
      <c r="H4204" s="12"/>
      <c r="I4204" s="12"/>
      <c r="J4204" s="12"/>
      <c r="K4204" s="12"/>
      <c r="L4204" s="12"/>
      <c r="M4204" s="12"/>
      <c r="N4204" s="12"/>
      <c r="O4204" s="12"/>
      <c r="P4204" s="12"/>
      <c r="Q4204" s="12"/>
      <c r="R4204" s="12"/>
      <c r="S4204" s="12"/>
      <c r="T4204" s="12"/>
      <c r="U4204" s="12"/>
      <c r="V4204" s="12"/>
      <c r="W4204" s="12"/>
      <c r="X4204" s="12"/>
      <c r="Y4204" s="12"/>
      <c r="Z4204" s="12"/>
      <c r="AA4204" s="12"/>
    </row>
    <row r="4205" ht="26.25" customHeight="1">
      <c r="A4205" s="38"/>
      <c r="B4205" s="39"/>
      <c r="C4205" s="30"/>
      <c r="D4205" s="31"/>
      <c r="E4205" s="31"/>
      <c r="F4205" s="32" t="str">
        <f t="array" ref="F4205">"https://www.google.com/maps/search/?api=1&amp;query=" &amp; A4205 &amp; "," &amp; B4205</f>
        <v>https://www.google.com/maps/search/?api=1&amp;query=,</v>
      </c>
      <c r="G4205" s="33" t="str">
        <f t="array" ref="G4205">"https://earth.google.com/web/search/" &amp; A4205 &amp; "," &amp; B4205</f>
        <v>https://earth.google.com/web/search/,</v>
      </c>
      <c r="H4205" s="12"/>
      <c r="I4205" s="12"/>
      <c r="J4205" s="12"/>
      <c r="K4205" s="12"/>
      <c r="L4205" s="12"/>
      <c r="M4205" s="12"/>
      <c r="N4205" s="12"/>
      <c r="O4205" s="12"/>
      <c r="P4205" s="12"/>
      <c r="Q4205" s="12"/>
      <c r="R4205" s="12"/>
      <c r="S4205" s="12"/>
      <c r="T4205" s="12"/>
      <c r="U4205" s="12"/>
      <c r="V4205" s="12"/>
      <c r="W4205" s="12"/>
      <c r="X4205" s="12"/>
      <c r="Y4205" s="12"/>
      <c r="Z4205" s="12"/>
      <c r="AA4205" s="12"/>
    </row>
    <row r="4206" ht="26.25" customHeight="1">
      <c r="A4206" s="40"/>
      <c r="B4206" s="41"/>
      <c r="C4206" s="36"/>
      <c r="D4206" s="37"/>
      <c r="E4206" s="37"/>
      <c r="F4206" s="24" t="str">
        <f t="array" ref="F4206">"https://www.google.com/maps/search/?api=1&amp;query=" &amp; A4206 &amp; "," &amp; B4206</f>
        <v>https://www.google.com/maps/search/?api=1&amp;query=,</v>
      </c>
      <c r="G4206" s="25" t="str">
        <f t="array" ref="G4206">"https://earth.google.com/web/search/" &amp; A4206 &amp; "," &amp; B4206</f>
        <v>https://earth.google.com/web/search/,</v>
      </c>
      <c r="H4206" s="12"/>
      <c r="I4206" s="12"/>
      <c r="J4206" s="12"/>
      <c r="K4206" s="12"/>
      <c r="L4206" s="12"/>
      <c r="M4206" s="12"/>
      <c r="N4206" s="12"/>
      <c r="O4206" s="12"/>
      <c r="P4206" s="12"/>
      <c r="Q4206" s="12"/>
      <c r="R4206" s="12"/>
      <c r="S4206" s="12"/>
      <c r="T4206" s="12"/>
      <c r="U4206" s="12"/>
      <c r="V4206" s="12"/>
      <c r="W4206" s="12"/>
      <c r="X4206" s="12"/>
      <c r="Y4206" s="12"/>
      <c r="Z4206" s="12"/>
      <c r="AA4206" s="12"/>
    </row>
    <row r="4207" ht="26.25" customHeight="1">
      <c r="A4207" s="38"/>
      <c r="B4207" s="39"/>
      <c r="C4207" s="30"/>
      <c r="D4207" s="31"/>
      <c r="E4207" s="31"/>
      <c r="F4207" s="32" t="str">
        <f t="array" ref="F4207">"https://www.google.com/maps/search/?api=1&amp;query=" &amp; A4207 &amp; "," &amp; B4207</f>
        <v>https://www.google.com/maps/search/?api=1&amp;query=,</v>
      </c>
      <c r="G4207" s="33" t="str">
        <f t="array" ref="G4207">"https://earth.google.com/web/search/" &amp; A4207 &amp; "," &amp; B4207</f>
        <v>https://earth.google.com/web/search/,</v>
      </c>
      <c r="H4207" s="12"/>
      <c r="I4207" s="12"/>
      <c r="J4207" s="12"/>
      <c r="K4207" s="12"/>
      <c r="L4207" s="12"/>
      <c r="M4207" s="12"/>
      <c r="N4207" s="12"/>
      <c r="O4207" s="12"/>
      <c r="P4207" s="12"/>
      <c r="Q4207" s="12"/>
      <c r="R4207" s="12"/>
      <c r="S4207" s="12"/>
      <c r="T4207" s="12"/>
      <c r="U4207" s="12"/>
      <c r="V4207" s="12"/>
      <c r="W4207" s="12"/>
      <c r="X4207" s="12"/>
      <c r="Y4207" s="12"/>
      <c r="Z4207" s="12"/>
      <c r="AA4207" s="12"/>
    </row>
    <row r="4208" ht="26.25" customHeight="1">
      <c r="A4208" s="40"/>
      <c r="B4208" s="41"/>
      <c r="C4208" s="36"/>
      <c r="D4208" s="37"/>
      <c r="E4208" s="37"/>
      <c r="F4208" s="24" t="str">
        <f t="array" ref="F4208">"https://www.google.com/maps/search/?api=1&amp;query=" &amp; A4208 &amp; "," &amp; B4208</f>
        <v>https://www.google.com/maps/search/?api=1&amp;query=,</v>
      </c>
      <c r="G4208" s="25" t="str">
        <f t="array" ref="G4208">"https://earth.google.com/web/search/" &amp; A4208 &amp; "," &amp; B4208</f>
        <v>https://earth.google.com/web/search/,</v>
      </c>
      <c r="H4208" s="12"/>
      <c r="I4208" s="12"/>
      <c r="J4208" s="12"/>
      <c r="K4208" s="12"/>
      <c r="L4208" s="12"/>
      <c r="M4208" s="12"/>
      <c r="N4208" s="12"/>
      <c r="O4208" s="12"/>
      <c r="P4208" s="12"/>
      <c r="Q4208" s="12"/>
      <c r="R4208" s="12"/>
      <c r="S4208" s="12"/>
      <c r="T4208" s="12"/>
      <c r="U4208" s="12"/>
      <c r="V4208" s="12"/>
      <c r="W4208" s="12"/>
      <c r="X4208" s="12"/>
      <c r="Y4208" s="12"/>
      <c r="Z4208" s="12"/>
      <c r="AA4208" s="12"/>
    </row>
    <row r="4209" ht="26.25" customHeight="1">
      <c r="A4209" s="38"/>
      <c r="B4209" s="39"/>
      <c r="C4209" s="30"/>
      <c r="D4209" s="31"/>
      <c r="E4209" s="31"/>
      <c r="F4209" s="32" t="str">
        <f t="array" ref="F4209">"https://www.google.com/maps/search/?api=1&amp;query=" &amp; A4209 &amp; "," &amp; B4209</f>
        <v>https://www.google.com/maps/search/?api=1&amp;query=,</v>
      </c>
      <c r="G4209" s="33" t="str">
        <f t="array" ref="G4209">"https://earth.google.com/web/search/" &amp; A4209 &amp; "," &amp; B4209</f>
        <v>https://earth.google.com/web/search/,</v>
      </c>
      <c r="H4209" s="12"/>
      <c r="I4209" s="12"/>
      <c r="J4209" s="12"/>
      <c r="K4209" s="12"/>
      <c r="L4209" s="12"/>
      <c r="M4209" s="12"/>
      <c r="N4209" s="12"/>
      <c r="O4209" s="12"/>
      <c r="P4209" s="12"/>
      <c r="Q4209" s="12"/>
      <c r="R4209" s="12"/>
      <c r="S4209" s="12"/>
      <c r="T4209" s="12"/>
      <c r="U4209" s="12"/>
      <c r="V4209" s="12"/>
      <c r="W4209" s="12"/>
      <c r="X4209" s="12"/>
      <c r="Y4209" s="12"/>
      <c r="Z4209" s="12"/>
      <c r="AA4209" s="12"/>
    </row>
    <row r="4210" ht="26.25" customHeight="1">
      <c r="A4210" s="40"/>
      <c r="B4210" s="41"/>
      <c r="C4210" s="36"/>
      <c r="D4210" s="37"/>
      <c r="E4210" s="37"/>
      <c r="F4210" s="24" t="str">
        <f t="array" ref="F4210">"https://www.google.com/maps/search/?api=1&amp;query=" &amp; A4210 &amp; "," &amp; B4210</f>
        <v>https://www.google.com/maps/search/?api=1&amp;query=,</v>
      </c>
      <c r="G4210" s="25" t="str">
        <f t="array" ref="G4210">"https://earth.google.com/web/search/" &amp; A4210 &amp; "," &amp; B4210</f>
        <v>https://earth.google.com/web/search/,</v>
      </c>
      <c r="H4210" s="12"/>
      <c r="I4210" s="12"/>
      <c r="J4210" s="12"/>
      <c r="K4210" s="12"/>
      <c r="L4210" s="12"/>
      <c r="M4210" s="12"/>
      <c r="N4210" s="12"/>
      <c r="O4210" s="12"/>
      <c r="P4210" s="12"/>
      <c r="Q4210" s="12"/>
      <c r="R4210" s="12"/>
      <c r="S4210" s="12"/>
      <c r="T4210" s="12"/>
      <c r="U4210" s="12"/>
      <c r="V4210" s="12"/>
      <c r="W4210" s="12"/>
      <c r="X4210" s="12"/>
      <c r="Y4210" s="12"/>
      <c r="Z4210" s="12"/>
      <c r="AA4210" s="12"/>
    </row>
    <row r="4211" ht="26.25" customHeight="1">
      <c r="A4211" s="38"/>
      <c r="B4211" s="39"/>
      <c r="C4211" s="30"/>
      <c r="D4211" s="31"/>
      <c r="E4211" s="31"/>
      <c r="F4211" s="32" t="str">
        <f t="array" ref="F4211">"https://www.google.com/maps/search/?api=1&amp;query=" &amp; A4211 &amp; "," &amp; B4211</f>
        <v>https://www.google.com/maps/search/?api=1&amp;query=,</v>
      </c>
      <c r="G4211" s="33" t="str">
        <f t="array" ref="G4211">"https://earth.google.com/web/search/" &amp; A4211 &amp; "," &amp; B4211</f>
        <v>https://earth.google.com/web/search/,</v>
      </c>
      <c r="H4211" s="12"/>
      <c r="I4211" s="12"/>
      <c r="J4211" s="12"/>
      <c r="K4211" s="12"/>
      <c r="L4211" s="12"/>
      <c r="M4211" s="12"/>
      <c r="N4211" s="12"/>
      <c r="O4211" s="12"/>
      <c r="P4211" s="12"/>
      <c r="Q4211" s="12"/>
      <c r="R4211" s="12"/>
      <c r="S4211" s="12"/>
      <c r="T4211" s="12"/>
      <c r="U4211" s="12"/>
      <c r="V4211" s="12"/>
      <c r="W4211" s="12"/>
      <c r="X4211" s="12"/>
      <c r="Y4211" s="12"/>
      <c r="Z4211" s="12"/>
      <c r="AA4211" s="12"/>
    </row>
    <row r="4212" ht="26.25" customHeight="1">
      <c r="A4212" s="40"/>
      <c r="B4212" s="41"/>
      <c r="C4212" s="36"/>
      <c r="D4212" s="37"/>
      <c r="E4212" s="37"/>
      <c r="F4212" s="24" t="str">
        <f t="array" ref="F4212">"https://www.google.com/maps/search/?api=1&amp;query=" &amp; A4212 &amp; "," &amp; B4212</f>
        <v>https://www.google.com/maps/search/?api=1&amp;query=,</v>
      </c>
      <c r="G4212" s="25" t="str">
        <f t="array" ref="G4212">"https://earth.google.com/web/search/" &amp; A4212 &amp; "," &amp; B4212</f>
        <v>https://earth.google.com/web/search/,</v>
      </c>
      <c r="H4212" s="12"/>
      <c r="I4212" s="12"/>
      <c r="J4212" s="12"/>
      <c r="K4212" s="12"/>
      <c r="L4212" s="12"/>
      <c r="M4212" s="12"/>
      <c r="N4212" s="12"/>
      <c r="O4212" s="12"/>
      <c r="P4212" s="12"/>
      <c r="Q4212" s="12"/>
      <c r="R4212" s="12"/>
      <c r="S4212" s="12"/>
      <c r="T4212" s="12"/>
      <c r="U4212" s="12"/>
      <c r="V4212" s="12"/>
      <c r="W4212" s="12"/>
      <c r="X4212" s="12"/>
      <c r="Y4212" s="12"/>
      <c r="Z4212" s="12"/>
      <c r="AA4212" s="12"/>
    </row>
    <row r="4213" ht="26.25" customHeight="1">
      <c r="A4213" s="38"/>
      <c r="B4213" s="39"/>
      <c r="C4213" s="30"/>
      <c r="D4213" s="31"/>
      <c r="E4213" s="31"/>
      <c r="F4213" s="32" t="str">
        <f t="array" ref="F4213">"https://www.google.com/maps/search/?api=1&amp;query=" &amp; A4213 &amp; "," &amp; B4213</f>
        <v>https://www.google.com/maps/search/?api=1&amp;query=,</v>
      </c>
      <c r="G4213" s="33" t="str">
        <f t="array" ref="G4213">"https://earth.google.com/web/search/" &amp; A4213 &amp; "," &amp; B4213</f>
        <v>https://earth.google.com/web/search/,</v>
      </c>
      <c r="H4213" s="12"/>
      <c r="I4213" s="12"/>
      <c r="J4213" s="12"/>
      <c r="K4213" s="12"/>
      <c r="L4213" s="12"/>
      <c r="M4213" s="12"/>
      <c r="N4213" s="12"/>
      <c r="O4213" s="12"/>
      <c r="P4213" s="12"/>
      <c r="Q4213" s="12"/>
      <c r="R4213" s="12"/>
      <c r="S4213" s="12"/>
      <c r="T4213" s="12"/>
      <c r="U4213" s="12"/>
      <c r="V4213" s="12"/>
      <c r="W4213" s="12"/>
      <c r="X4213" s="12"/>
      <c r="Y4213" s="12"/>
      <c r="Z4213" s="12"/>
      <c r="AA4213" s="12"/>
    </row>
    <row r="4214" ht="26.25" customHeight="1">
      <c r="A4214" s="40"/>
      <c r="B4214" s="41"/>
      <c r="C4214" s="36"/>
      <c r="D4214" s="37"/>
      <c r="E4214" s="37"/>
      <c r="F4214" s="24" t="str">
        <f t="array" ref="F4214">"https://www.google.com/maps/search/?api=1&amp;query=" &amp; A4214 &amp; "," &amp; B4214</f>
        <v>https://www.google.com/maps/search/?api=1&amp;query=,</v>
      </c>
      <c r="G4214" s="25" t="str">
        <f t="array" ref="G4214">"https://earth.google.com/web/search/" &amp; A4214 &amp; "," &amp; B4214</f>
        <v>https://earth.google.com/web/search/,</v>
      </c>
      <c r="H4214" s="12"/>
      <c r="I4214" s="12"/>
      <c r="J4214" s="12"/>
      <c r="K4214" s="12"/>
      <c r="L4214" s="12"/>
      <c r="M4214" s="12"/>
      <c r="N4214" s="12"/>
      <c r="O4214" s="12"/>
      <c r="P4214" s="12"/>
      <c r="Q4214" s="12"/>
      <c r="R4214" s="12"/>
      <c r="S4214" s="12"/>
      <c r="T4214" s="12"/>
      <c r="U4214" s="12"/>
      <c r="V4214" s="12"/>
      <c r="W4214" s="12"/>
      <c r="X4214" s="12"/>
      <c r="Y4214" s="12"/>
      <c r="Z4214" s="12"/>
      <c r="AA4214" s="12"/>
    </row>
    <row r="4215" ht="26.25" customHeight="1">
      <c r="A4215" s="38"/>
      <c r="B4215" s="39"/>
      <c r="C4215" s="30"/>
      <c r="D4215" s="31"/>
      <c r="E4215" s="31"/>
      <c r="F4215" s="32" t="str">
        <f t="array" ref="F4215">"https://www.google.com/maps/search/?api=1&amp;query=" &amp; A4215 &amp; "," &amp; B4215</f>
        <v>https://www.google.com/maps/search/?api=1&amp;query=,</v>
      </c>
      <c r="G4215" s="33" t="str">
        <f t="array" ref="G4215">"https://earth.google.com/web/search/" &amp; A4215 &amp; "," &amp; B4215</f>
        <v>https://earth.google.com/web/search/,</v>
      </c>
      <c r="H4215" s="12"/>
      <c r="I4215" s="12"/>
      <c r="J4215" s="12"/>
      <c r="K4215" s="12"/>
      <c r="L4215" s="12"/>
      <c r="M4215" s="12"/>
      <c r="N4215" s="12"/>
      <c r="O4215" s="12"/>
      <c r="P4215" s="12"/>
      <c r="Q4215" s="12"/>
      <c r="R4215" s="12"/>
      <c r="S4215" s="12"/>
      <c r="T4215" s="12"/>
      <c r="U4215" s="12"/>
      <c r="V4215" s="12"/>
      <c r="W4215" s="12"/>
      <c r="X4215" s="12"/>
      <c r="Y4215" s="12"/>
      <c r="Z4215" s="12"/>
      <c r="AA4215" s="12"/>
    </row>
    <row r="4216" ht="26.25" customHeight="1">
      <c r="A4216" s="40"/>
      <c r="B4216" s="41"/>
      <c r="C4216" s="36"/>
      <c r="D4216" s="37"/>
      <c r="E4216" s="37"/>
      <c r="F4216" s="24" t="str">
        <f t="array" ref="F4216">"https://www.google.com/maps/search/?api=1&amp;query=" &amp; A4216 &amp; "," &amp; B4216</f>
        <v>https://www.google.com/maps/search/?api=1&amp;query=,</v>
      </c>
      <c r="G4216" s="25" t="str">
        <f t="array" ref="G4216">"https://earth.google.com/web/search/" &amp; A4216 &amp; "," &amp; B4216</f>
        <v>https://earth.google.com/web/search/,</v>
      </c>
      <c r="H4216" s="12"/>
      <c r="I4216" s="12"/>
      <c r="J4216" s="12"/>
      <c r="K4216" s="12"/>
      <c r="L4216" s="12"/>
      <c r="M4216" s="12"/>
      <c r="N4216" s="12"/>
      <c r="O4216" s="12"/>
      <c r="P4216" s="12"/>
      <c r="Q4216" s="12"/>
      <c r="R4216" s="12"/>
      <c r="S4216" s="12"/>
      <c r="T4216" s="12"/>
      <c r="U4216" s="12"/>
      <c r="V4216" s="12"/>
      <c r="W4216" s="12"/>
      <c r="X4216" s="12"/>
      <c r="Y4216" s="12"/>
      <c r="Z4216" s="12"/>
      <c r="AA4216" s="12"/>
    </row>
    <row r="4217" ht="26.25" customHeight="1">
      <c r="A4217" s="38"/>
      <c r="B4217" s="39"/>
      <c r="C4217" s="30"/>
      <c r="D4217" s="31"/>
      <c r="E4217" s="31"/>
      <c r="F4217" s="32" t="str">
        <f t="array" ref="F4217">"https://www.google.com/maps/search/?api=1&amp;query=" &amp; A4217 &amp; "," &amp; B4217</f>
        <v>https://www.google.com/maps/search/?api=1&amp;query=,</v>
      </c>
      <c r="G4217" s="33" t="str">
        <f t="array" ref="G4217">"https://earth.google.com/web/search/" &amp; A4217 &amp; "," &amp; B4217</f>
        <v>https://earth.google.com/web/search/,</v>
      </c>
      <c r="H4217" s="12"/>
      <c r="I4217" s="12"/>
      <c r="J4217" s="12"/>
      <c r="K4217" s="12"/>
      <c r="L4217" s="12"/>
      <c r="M4217" s="12"/>
      <c r="N4217" s="12"/>
      <c r="O4217" s="12"/>
      <c r="P4217" s="12"/>
      <c r="Q4217" s="12"/>
      <c r="R4217" s="12"/>
      <c r="S4217" s="12"/>
      <c r="T4217" s="12"/>
      <c r="U4217" s="12"/>
      <c r="V4217" s="12"/>
      <c r="W4217" s="12"/>
      <c r="X4217" s="12"/>
      <c r="Y4217" s="12"/>
      <c r="Z4217" s="12"/>
      <c r="AA4217" s="12"/>
    </row>
    <row r="4218" ht="26.25" customHeight="1">
      <c r="A4218" s="40"/>
      <c r="B4218" s="41"/>
      <c r="C4218" s="36"/>
      <c r="D4218" s="37"/>
      <c r="E4218" s="37"/>
      <c r="F4218" s="24" t="str">
        <f t="array" ref="F4218">"https://www.google.com/maps/search/?api=1&amp;query=" &amp; A4218 &amp; "," &amp; B4218</f>
        <v>https://www.google.com/maps/search/?api=1&amp;query=,</v>
      </c>
      <c r="G4218" s="25" t="str">
        <f t="array" ref="G4218">"https://earth.google.com/web/search/" &amp; A4218 &amp; "," &amp; B4218</f>
        <v>https://earth.google.com/web/search/,</v>
      </c>
      <c r="H4218" s="12"/>
      <c r="I4218" s="12"/>
      <c r="J4218" s="12"/>
      <c r="K4218" s="12"/>
      <c r="L4218" s="12"/>
      <c r="M4218" s="12"/>
      <c r="N4218" s="12"/>
      <c r="O4218" s="12"/>
      <c r="P4218" s="12"/>
      <c r="Q4218" s="12"/>
      <c r="R4218" s="12"/>
      <c r="S4218" s="12"/>
      <c r="T4218" s="12"/>
      <c r="U4218" s="12"/>
      <c r="V4218" s="12"/>
      <c r="W4218" s="12"/>
      <c r="X4218" s="12"/>
      <c r="Y4218" s="12"/>
      <c r="Z4218" s="12"/>
      <c r="AA4218" s="12"/>
    </row>
    <row r="4219" ht="26.25" customHeight="1">
      <c r="A4219" s="38"/>
      <c r="B4219" s="39"/>
      <c r="C4219" s="30"/>
      <c r="D4219" s="31"/>
      <c r="E4219" s="31"/>
      <c r="F4219" s="32" t="str">
        <f t="array" ref="F4219">"https://www.google.com/maps/search/?api=1&amp;query=" &amp; A4219 &amp; "," &amp; B4219</f>
        <v>https://www.google.com/maps/search/?api=1&amp;query=,</v>
      </c>
      <c r="G4219" s="33" t="str">
        <f t="array" ref="G4219">"https://earth.google.com/web/search/" &amp; A4219 &amp; "," &amp; B4219</f>
        <v>https://earth.google.com/web/search/,</v>
      </c>
      <c r="H4219" s="12"/>
      <c r="I4219" s="12"/>
      <c r="J4219" s="12"/>
      <c r="K4219" s="12"/>
      <c r="L4219" s="12"/>
      <c r="M4219" s="12"/>
      <c r="N4219" s="12"/>
      <c r="O4219" s="12"/>
      <c r="P4219" s="12"/>
      <c r="Q4219" s="12"/>
      <c r="R4219" s="12"/>
      <c r="S4219" s="12"/>
      <c r="T4219" s="12"/>
      <c r="U4219" s="12"/>
      <c r="V4219" s="12"/>
      <c r="W4219" s="12"/>
      <c r="X4219" s="12"/>
      <c r="Y4219" s="12"/>
      <c r="Z4219" s="12"/>
      <c r="AA4219" s="12"/>
    </row>
    <row r="4220" ht="26.25" customHeight="1">
      <c r="A4220" s="40"/>
      <c r="B4220" s="41"/>
      <c r="C4220" s="36"/>
      <c r="D4220" s="37"/>
      <c r="E4220" s="37"/>
      <c r="F4220" s="24" t="str">
        <f t="array" ref="F4220">"https://www.google.com/maps/search/?api=1&amp;query=" &amp; A4220 &amp; "," &amp; B4220</f>
        <v>https://www.google.com/maps/search/?api=1&amp;query=,</v>
      </c>
      <c r="G4220" s="25" t="str">
        <f t="array" ref="G4220">"https://earth.google.com/web/search/" &amp; A4220 &amp; "," &amp; B4220</f>
        <v>https://earth.google.com/web/search/,</v>
      </c>
      <c r="H4220" s="12"/>
      <c r="I4220" s="12"/>
      <c r="J4220" s="12"/>
      <c r="K4220" s="12"/>
      <c r="L4220" s="12"/>
      <c r="M4220" s="12"/>
      <c r="N4220" s="12"/>
      <c r="O4220" s="12"/>
      <c r="P4220" s="12"/>
      <c r="Q4220" s="12"/>
      <c r="R4220" s="12"/>
      <c r="S4220" s="12"/>
      <c r="T4220" s="12"/>
      <c r="U4220" s="12"/>
      <c r="V4220" s="12"/>
      <c r="W4220" s="12"/>
      <c r="X4220" s="12"/>
      <c r="Y4220" s="12"/>
      <c r="Z4220" s="12"/>
      <c r="AA4220" s="12"/>
    </row>
    <row r="4221" ht="26.25" customHeight="1">
      <c r="A4221" s="38"/>
      <c r="B4221" s="39"/>
      <c r="C4221" s="30"/>
      <c r="D4221" s="31"/>
      <c r="E4221" s="31"/>
      <c r="F4221" s="32" t="str">
        <f t="array" ref="F4221">"https://www.google.com/maps/search/?api=1&amp;query=" &amp; A4221 &amp; "," &amp; B4221</f>
        <v>https://www.google.com/maps/search/?api=1&amp;query=,</v>
      </c>
      <c r="G4221" s="33" t="str">
        <f t="array" ref="G4221">"https://earth.google.com/web/search/" &amp; A4221 &amp; "," &amp; B4221</f>
        <v>https://earth.google.com/web/search/,</v>
      </c>
      <c r="H4221" s="12"/>
      <c r="I4221" s="12"/>
      <c r="J4221" s="12"/>
      <c r="K4221" s="12"/>
      <c r="L4221" s="12"/>
      <c r="M4221" s="12"/>
      <c r="N4221" s="12"/>
      <c r="O4221" s="12"/>
      <c r="P4221" s="12"/>
      <c r="Q4221" s="12"/>
      <c r="R4221" s="12"/>
      <c r="S4221" s="12"/>
      <c r="T4221" s="12"/>
      <c r="U4221" s="12"/>
      <c r="V4221" s="12"/>
      <c r="W4221" s="12"/>
      <c r="X4221" s="12"/>
      <c r="Y4221" s="12"/>
      <c r="Z4221" s="12"/>
      <c r="AA4221" s="12"/>
    </row>
    <row r="4222" ht="26.25" customHeight="1">
      <c r="A4222" s="40"/>
      <c r="B4222" s="41"/>
      <c r="C4222" s="36"/>
      <c r="D4222" s="37"/>
      <c r="E4222" s="37"/>
      <c r="F4222" s="24" t="str">
        <f t="array" ref="F4222">"https://www.google.com/maps/search/?api=1&amp;query=" &amp; A4222 &amp; "," &amp; B4222</f>
        <v>https://www.google.com/maps/search/?api=1&amp;query=,</v>
      </c>
      <c r="G4222" s="25" t="str">
        <f t="array" ref="G4222">"https://earth.google.com/web/search/" &amp; A4222 &amp; "," &amp; B4222</f>
        <v>https://earth.google.com/web/search/,</v>
      </c>
      <c r="H4222" s="12"/>
      <c r="I4222" s="12"/>
      <c r="J4222" s="12"/>
      <c r="K4222" s="12"/>
      <c r="L4222" s="12"/>
      <c r="M4222" s="12"/>
      <c r="N4222" s="12"/>
      <c r="O4222" s="12"/>
      <c r="P4222" s="12"/>
      <c r="Q4222" s="12"/>
      <c r="R4222" s="12"/>
      <c r="S4222" s="12"/>
      <c r="T4222" s="12"/>
      <c r="U4222" s="12"/>
      <c r="V4222" s="12"/>
      <c r="W4222" s="12"/>
      <c r="X4222" s="12"/>
      <c r="Y4222" s="12"/>
      <c r="Z4222" s="12"/>
      <c r="AA4222" s="12"/>
    </row>
    <row r="4223" ht="26.25" customHeight="1">
      <c r="A4223" s="38"/>
      <c r="B4223" s="39"/>
      <c r="C4223" s="30"/>
      <c r="D4223" s="31"/>
      <c r="E4223" s="31"/>
      <c r="F4223" s="32" t="str">
        <f t="array" ref="F4223">"https://www.google.com/maps/search/?api=1&amp;query=" &amp; A4223 &amp; "," &amp; B4223</f>
        <v>https://www.google.com/maps/search/?api=1&amp;query=,</v>
      </c>
      <c r="G4223" s="33" t="str">
        <f t="array" ref="G4223">"https://earth.google.com/web/search/" &amp; A4223 &amp; "," &amp; B4223</f>
        <v>https://earth.google.com/web/search/,</v>
      </c>
      <c r="H4223" s="12"/>
      <c r="I4223" s="12"/>
      <c r="J4223" s="12"/>
      <c r="K4223" s="12"/>
      <c r="L4223" s="12"/>
      <c r="M4223" s="12"/>
      <c r="N4223" s="12"/>
      <c r="O4223" s="12"/>
      <c r="P4223" s="12"/>
      <c r="Q4223" s="12"/>
      <c r="R4223" s="12"/>
      <c r="S4223" s="12"/>
      <c r="T4223" s="12"/>
      <c r="U4223" s="12"/>
      <c r="V4223" s="12"/>
      <c r="W4223" s="12"/>
      <c r="X4223" s="12"/>
      <c r="Y4223" s="12"/>
      <c r="Z4223" s="12"/>
      <c r="AA4223" s="12"/>
    </row>
    <row r="4224" ht="26.25" customHeight="1">
      <c r="A4224" s="40"/>
      <c r="B4224" s="41"/>
      <c r="C4224" s="36"/>
      <c r="D4224" s="37"/>
      <c r="E4224" s="37"/>
      <c r="F4224" s="24" t="str">
        <f t="array" ref="F4224">"https://www.google.com/maps/search/?api=1&amp;query=" &amp; A4224 &amp; "," &amp; B4224</f>
        <v>https://www.google.com/maps/search/?api=1&amp;query=,</v>
      </c>
      <c r="G4224" s="25" t="str">
        <f t="array" ref="G4224">"https://earth.google.com/web/search/" &amp; A4224 &amp; "," &amp; B4224</f>
        <v>https://earth.google.com/web/search/,</v>
      </c>
      <c r="H4224" s="12"/>
      <c r="I4224" s="12"/>
      <c r="J4224" s="12"/>
      <c r="K4224" s="12"/>
      <c r="L4224" s="12"/>
      <c r="M4224" s="12"/>
      <c r="N4224" s="12"/>
      <c r="O4224" s="12"/>
      <c r="P4224" s="12"/>
      <c r="Q4224" s="12"/>
      <c r="R4224" s="12"/>
      <c r="S4224" s="12"/>
      <c r="T4224" s="12"/>
      <c r="U4224" s="12"/>
      <c r="V4224" s="12"/>
      <c r="W4224" s="12"/>
      <c r="X4224" s="12"/>
      <c r="Y4224" s="12"/>
      <c r="Z4224" s="12"/>
      <c r="AA4224" s="12"/>
    </row>
    <row r="4225" ht="26.25" customHeight="1">
      <c r="A4225" s="38"/>
      <c r="B4225" s="39"/>
      <c r="C4225" s="30"/>
      <c r="D4225" s="31"/>
      <c r="E4225" s="31"/>
      <c r="F4225" s="32" t="str">
        <f t="array" ref="F4225">"https://www.google.com/maps/search/?api=1&amp;query=" &amp; A4225 &amp; "," &amp; B4225</f>
        <v>https://www.google.com/maps/search/?api=1&amp;query=,</v>
      </c>
      <c r="G4225" s="33" t="str">
        <f t="array" ref="G4225">"https://earth.google.com/web/search/" &amp; A4225 &amp; "," &amp; B4225</f>
        <v>https://earth.google.com/web/search/,</v>
      </c>
      <c r="H4225" s="12"/>
      <c r="I4225" s="12"/>
      <c r="J4225" s="12"/>
      <c r="K4225" s="12"/>
      <c r="L4225" s="12"/>
      <c r="M4225" s="12"/>
      <c r="N4225" s="12"/>
      <c r="O4225" s="12"/>
      <c r="P4225" s="12"/>
      <c r="Q4225" s="12"/>
      <c r="R4225" s="12"/>
      <c r="S4225" s="12"/>
      <c r="T4225" s="12"/>
      <c r="U4225" s="12"/>
      <c r="V4225" s="12"/>
      <c r="W4225" s="12"/>
      <c r="X4225" s="12"/>
      <c r="Y4225" s="12"/>
      <c r="Z4225" s="12"/>
      <c r="AA4225" s="12"/>
    </row>
    <row r="4226" ht="26.25" customHeight="1">
      <c r="A4226" s="40"/>
      <c r="B4226" s="41"/>
      <c r="C4226" s="36"/>
      <c r="D4226" s="37"/>
      <c r="E4226" s="37"/>
      <c r="F4226" s="24" t="str">
        <f t="array" ref="F4226">"https://www.google.com/maps/search/?api=1&amp;query=" &amp; A4226 &amp; "," &amp; B4226</f>
        <v>https://www.google.com/maps/search/?api=1&amp;query=,</v>
      </c>
      <c r="G4226" s="25" t="str">
        <f t="array" ref="G4226">"https://earth.google.com/web/search/" &amp; A4226 &amp; "," &amp; B4226</f>
        <v>https://earth.google.com/web/search/,</v>
      </c>
      <c r="H4226" s="12"/>
      <c r="I4226" s="12"/>
      <c r="J4226" s="12"/>
      <c r="K4226" s="12"/>
      <c r="L4226" s="12"/>
      <c r="M4226" s="12"/>
      <c r="N4226" s="12"/>
      <c r="O4226" s="12"/>
      <c r="P4226" s="12"/>
      <c r="Q4226" s="12"/>
      <c r="R4226" s="12"/>
      <c r="S4226" s="12"/>
      <c r="T4226" s="12"/>
      <c r="U4226" s="12"/>
      <c r="V4226" s="12"/>
      <c r="W4226" s="12"/>
      <c r="X4226" s="12"/>
      <c r="Y4226" s="12"/>
      <c r="Z4226" s="12"/>
      <c r="AA4226" s="12"/>
    </row>
    <row r="4227" ht="26.25" customHeight="1">
      <c r="A4227" s="38"/>
      <c r="B4227" s="39"/>
      <c r="C4227" s="30"/>
      <c r="D4227" s="31"/>
      <c r="E4227" s="31"/>
      <c r="F4227" s="32" t="str">
        <f t="array" ref="F4227">"https://www.google.com/maps/search/?api=1&amp;query=" &amp; A4227 &amp; "," &amp; B4227</f>
        <v>https://www.google.com/maps/search/?api=1&amp;query=,</v>
      </c>
      <c r="G4227" s="33" t="str">
        <f t="array" ref="G4227">"https://earth.google.com/web/search/" &amp; A4227 &amp; "," &amp; B4227</f>
        <v>https://earth.google.com/web/search/,</v>
      </c>
      <c r="H4227" s="12"/>
      <c r="I4227" s="12"/>
      <c r="J4227" s="12"/>
      <c r="K4227" s="12"/>
      <c r="L4227" s="12"/>
      <c r="M4227" s="12"/>
      <c r="N4227" s="12"/>
      <c r="O4227" s="12"/>
      <c r="P4227" s="12"/>
      <c r="Q4227" s="12"/>
      <c r="R4227" s="12"/>
      <c r="S4227" s="12"/>
      <c r="T4227" s="12"/>
      <c r="U4227" s="12"/>
      <c r="V4227" s="12"/>
      <c r="W4227" s="12"/>
      <c r="X4227" s="12"/>
      <c r="Y4227" s="12"/>
      <c r="Z4227" s="12"/>
      <c r="AA4227" s="12"/>
    </row>
    <row r="4228" ht="26.25" customHeight="1">
      <c r="A4228" s="40"/>
      <c r="B4228" s="41"/>
      <c r="C4228" s="36"/>
      <c r="D4228" s="37"/>
      <c r="E4228" s="37"/>
      <c r="F4228" s="24" t="str">
        <f t="array" ref="F4228">"https://www.google.com/maps/search/?api=1&amp;query=" &amp; A4228 &amp; "," &amp; B4228</f>
        <v>https://www.google.com/maps/search/?api=1&amp;query=,</v>
      </c>
      <c r="G4228" s="25" t="str">
        <f t="array" ref="G4228">"https://earth.google.com/web/search/" &amp; A4228 &amp; "," &amp; B4228</f>
        <v>https://earth.google.com/web/search/,</v>
      </c>
      <c r="H4228" s="12"/>
      <c r="I4228" s="12"/>
      <c r="J4228" s="12"/>
      <c r="K4228" s="12"/>
      <c r="L4228" s="12"/>
      <c r="M4228" s="12"/>
      <c r="N4228" s="12"/>
      <c r="O4228" s="12"/>
      <c r="P4228" s="12"/>
      <c r="Q4228" s="12"/>
      <c r="R4228" s="12"/>
      <c r="S4228" s="12"/>
      <c r="T4228" s="12"/>
      <c r="U4228" s="12"/>
      <c r="V4228" s="12"/>
      <c r="W4228" s="12"/>
      <c r="X4228" s="12"/>
      <c r="Y4228" s="12"/>
      <c r="Z4228" s="12"/>
      <c r="AA4228" s="12"/>
    </row>
    <row r="4229" ht="26.25" customHeight="1">
      <c r="A4229" s="38"/>
      <c r="B4229" s="39"/>
      <c r="C4229" s="30"/>
      <c r="D4229" s="31"/>
      <c r="E4229" s="31"/>
      <c r="F4229" s="32" t="str">
        <f t="array" ref="F4229">"https://www.google.com/maps/search/?api=1&amp;query=" &amp; A4229 &amp; "," &amp; B4229</f>
        <v>https://www.google.com/maps/search/?api=1&amp;query=,</v>
      </c>
      <c r="G4229" s="33" t="str">
        <f t="array" ref="G4229">"https://earth.google.com/web/search/" &amp; A4229 &amp; "," &amp; B4229</f>
        <v>https://earth.google.com/web/search/,</v>
      </c>
      <c r="H4229" s="12"/>
      <c r="I4229" s="12"/>
      <c r="J4229" s="12"/>
      <c r="K4229" s="12"/>
      <c r="L4229" s="12"/>
      <c r="M4229" s="12"/>
      <c r="N4229" s="12"/>
      <c r="O4229" s="12"/>
      <c r="P4229" s="12"/>
      <c r="Q4229" s="12"/>
      <c r="R4229" s="12"/>
      <c r="S4229" s="12"/>
      <c r="T4229" s="12"/>
      <c r="U4229" s="12"/>
      <c r="V4229" s="12"/>
      <c r="W4229" s="12"/>
      <c r="X4229" s="12"/>
      <c r="Y4229" s="12"/>
      <c r="Z4229" s="12"/>
      <c r="AA4229" s="12"/>
    </row>
    <row r="4230" ht="26.25" customHeight="1">
      <c r="A4230" s="40"/>
      <c r="B4230" s="41"/>
      <c r="C4230" s="36"/>
      <c r="D4230" s="37"/>
      <c r="E4230" s="37"/>
      <c r="F4230" s="24" t="str">
        <f t="array" ref="F4230">"https://www.google.com/maps/search/?api=1&amp;query=" &amp; A4230 &amp; "," &amp; B4230</f>
        <v>https://www.google.com/maps/search/?api=1&amp;query=,</v>
      </c>
      <c r="G4230" s="25" t="str">
        <f t="array" ref="G4230">"https://earth.google.com/web/search/" &amp; A4230 &amp; "," &amp; B4230</f>
        <v>https://earth.google.com/web/search/,</v>
      </c>
      <c r="H4230" s="12"/>
      <c r="I4230" s="12"/>
      <c r="J4230" s="12"/>
      <c r="K4230" s="12"/>
      <c r="L4230" s="12"/>
      <c r="M4230" s="12"/>
      <c r="N4230" s="12"/>
      <c r="O4230" s="12"/>
      <c r="P4230" s="12"/>
      <c r="Q4230" s="12"/>
      <c r="R4230" s="12"/>
      <c r="S4230" s="12"/>
      <c r="T4230" s="12"/>
      <c r="U4230" s="12"/>
      <c r="V4230" s="12"/>
      <c r="W4230" s="12"/>
      <c r="X4230" s="12"/>
      <c r="Y4230" s="12"/>
      <c r="Z4230" s="12"/>
      <c r="AA4230" s="12"/>
    </row>
    <row r="4231" ht="26.25" customHeight="1">
      <c r="A4231" s="38"/>
      <c r="B4231" s="39"/>
      <c r="C4231" s="30"/>
      <c r="D4231" s="31"/>
      <c r="E4231" s="31"/>
      <c r="F4231" s="32" t="str">
        <f t="array" ref="F4231">"https://www.google.com/maps/search/?api=1&amp;query=" &amp; A4231 &amp; "," &amp; B4231</f>
        <v>https://www.google.com/maps/search/?api=1&amp;query=,</v>
      </c>
      <c r="G4231" s="33" t="str">
        <f t="array" ref="G4231">"https://earth.google.com/web/search/" &amp; A4231 &amp; "," &amp; B4231</f>
        <v>https://earth.google.com/web/search/,</v>
      </c>
      <c r="H4231" s="12"/>
      <c r="I4231" s="12"/>
      <c r="J4231" s="12"/>
      <c r="K4231" s="12"/>
      <c r="L4231" s="12"/>
      <c r="M4231" s="12"/>
      <c r="N4231" s="12"/>
      <c r="O4231" s="12"/>
      <c r="P4231" s="12"/>
      <c r="Q4231" s="12"/>
      <c r="R4231" s="12"/>
      <c r="S4231" s="12"/>
      <c r="T4231" s="12"/>
      <c r="U4231" s="12"/>
      <c r="V4231" s="12"/>
      <c r="W4231" s="12"/>
      <c r="X4231" s="12"/>
      <c r="Y4231" s="12"/>
      <c r="Z4231" s="12"/>
      <c r="AA4231" s="12"/>
    </row>
    <row r="4232" ht="26.25" customHeight="1">
      <c r="A4232" s="40"/>
      <c r="B4232" s="41"/>
      <c r="C4232" s="36"/>
      <c r="D4232" s="37"/>
      <c r="E4232" s="37"/>
      <c r="F4232" s="24" t="str">
        <f t="array" ref="F4232">"https://www.google.com/maps/search/?api=1&amp;query=" &amp; A4232 &amp; "," &amp; B4232</f>
        <v>https://www.google.com/maps/search/?api=1&amp;query=,</v>
      </c>
      <c r="G4232" s="25" t="str">
        <f t="array" ref="G4232">"https://earth.google.com/web/search/" &amp; A4232 &amp; "," &amp; B4232</f>
        <v>https://earth.google.com/web/search/,</v>
      </c>
      <c r="H4232" s="12"/>
      <c r="I4232" s="12"/>
      <c r="J4232" s="12"/>
      <c r="K4232" s="12"/>
      <c r="L4232" s="12"/>
      <c r="M4232" s="12"/>
      <c r="N4232" s="12"/>
      <c r="O4232" s="12"/>
      <c r="P4232" s="12"/>
      <c r="Q4232" s="12"/>
      <c r="R4232" s="12"/>
      <c r="S4232" s="12"/>
      <c r="T4232" s="12"/>
      <c r="U4232" s="12"/>
      <c r="V4232" s="12"/>
      <c r="W4232" s="12"/>
      <c r="X4232" s="12"/>
      <c r="Y4232" s="12"/>
      <c r="Z4232" s="12"/>
      <c r="AA4232" s="12"/>
    </row>
    <row r="4233" ht="26.25" customHeight="1">
      <c r="A4233" s="38"/>
      <c r="B4233" s="39"/>
      <c r="C4233" s="30"/>
      <c r="D4233" s="31"/>
      <c r="E4233" s="31"/>
      <c r="F4233" s="32" t="str">
        <f t="array" ref="F4233">"https://www.google.com/maps/search/?api=1&amp;query=" &amp; A4233 &amp; "," &amp; B4233</f>
        <v>https://www.google.com/maps/search/?api=1&amp;query=,</v>
      </c>
      <c r="G4233" s="33" t="str">
        <f t="array" ref="G4233">"https://earth.google.com/web/search/" &amp; A4233 &amp; "," &amp; B4233</f>
        <v>https://earth.google.com/web/search/,</v>
      </c>
      <c r="H4233" s="12"/>
      <c r="I4233" s="12"/>
      <c r="J4233" s="12"/>
      <c r="K4233" s="12"/>
      <c r="L4233" s="12"/>
      <c r="M4233" s="12"/>
      <c r="N4233" s="12"/>
      <c r="O4233" s="12"/>
      <c r="P4233" s="12"/>
      <c r="Q4233" s="12"/>
      <c r="R4233" s="12"/>
      <c r="S4233" s="12"/>
      <c r="T4233" s="12"/>
      <c r="U4233" s="12"/>
      <c r="V4233" s="12"/>
      <c r="W4233" s="12"/>
      <c r="X4233" s="12"/>
      <c r="Y4233" s="12"/>
      <c r="Z4233" s="12"/>
      <c r="AA4233" s="12"/>
    </row>
    <row r="4234" ht="26.25" customHeight="1">
      <c r="A4234" s="40"/>
      <c r="B4234" s="41"/>
      <c r="C4234" s="36"/>
      <c r="D4234" s="37"/>
      <c r="E4234" s="37"/>
      <c r="F4234" s="24" t="str">
        <f t="array" ref="F4234">"https://www.google.com/maps/search/?api=1&amp;query=" &amp; A4234 &amp; "," &amp; B4234</f>
        <v>https://www.google.com/maps/search/?api=1&amp;query=,</v>
      </c>
      <c r="G4234" s="25" t="str">
        <f t="array" ref="G4234">"https://earth.google.com/web/search/" &amp; A4234 &amp; "," &amp; B4234</f>
        <v>https://earth.google.com/web/search/,</v>
      </c>
      <c r="H4234" s="12"/>
      <c r="I4234" s="12"/>
      <c r="J4234" s="12"/>
      <c r="K4234" s="12"/>
      <c r="L4234" s="12"/>
      <c r="M4234" s="12"/>
      <c r="N4234" s="12"/>
      <c r="O4234" s="12"/>
      <c r="P4234" s="12"/>
      <c r="Q4234" s="12"/>
      <c r="R4234" s="12"/>
      <c r="S4234" s="12"/>
      <c r="T4234" s="12"/>
      <c r="U4234" s="12"/>
      <c r="V4234" s="12"/>
      <c r="W4234" s="12"/>
      <c r="X4234" s="12"/>
      <c r="Y4234" s="12"/>
      <c r="Z4234" s="12"/>
      <c r="AA4234" s="12"/>
    </row>
    <row r="4235" ht="26.25" customHeight="1">
      <c r="A4235" s="38"/>
      <c r="B4235" s="39"/>
      <c r="C4235" s="30"/>
      <c r="D4235" s="31"/>
      <c r="E4235" s="31"/>
      <c r="F4235" s="32" t="str">
        <f t="array" ref="F4235">"https://www.google.com/maps/search/?api=1&amp;query=" &amp; A4235 &amp; "," &amp; B4235</f>
        <v>https://www.google.com/maps/search/?api=1&amp;query=,</v>
      </c>
      <c r="G4235" s="33" t="str">
        <f t="array" ref="G4235">"https://earth.google.com/web/search/" &amp; A4235 &amp; "," &amp; B4235</f>
        <v>https://earth.google.com/web/search/,</v>
      </c>
      <c r="H4235" s="12"/>
      <c r="I4235" s="12"/>
      <c r="J4235" s="12"/>
      <c r="K4235" s="12"/>
      <c r="L4235" s="12"/>
      <c r="M4235" s="12"/>
      <c r="N4235" s="12"/>
      <c r="O4235" s="12"/>
      <c r="P4235" s="12"/>
      <c r="Q4235" s="12"/>
      <c r="R4235" s="12"/>
      <c r="S4235" s="12"/>
      <c r="T4235" s="12"/>
      <c r="U4235" s="12"/>
      <c r="V4235" s="12"/>
      <c r="W4235" s="12"/>
      <c r="X4235" s="12"/>
      <c r="Y4235" s="12"/>
      <c r="Z4235" s="12"/>
      <c r="AA4235" s="12"/>
    </row>
    <row r="4236" ht="26.25" customHeight="1">
      <c r="A4236" s="40"/>
      <c r="B4236" s="41"/>
      <c r="C4236" s="36"/>
      <c r="D4236" s="37"/>
      <c r="E4236" s="37"/>
      <c r="F4236" s="24" t="str">
        <f t="array" ref="F4236">"https://www.google.com/maps/search/?api=1&amp;query=" &amp; A4236 &amp; "," &amp; B4236</f>
        <v>https://www.google.com/maps/search/?api=1&amp;query=,</v>
      </c>
      <c r="G4236" s="25" t="str">
        <f t="array" ref="G4236">"https://earth.google.com/web/search/" &amp; A4236 &amp; "," &amp; B4236</f>
        <v>https://earth.google.com/web/search/,</v>
      </c>
      <c r="H4236" s="12"/>
      <c r="I4236" s="12"/>
      <c r="J4236" s="12"/>
      <c r="K4236" s="12"/>
      <c r="L4236" s="12"/>
      <c r="M4236" s="12"/>
      <c r="N4236" s="12"/>
      <c r="O4236" s="12"/>
      <c r="P4236" s="12"/>
      <c r="Q4236" s="12"/>
      <c r="R4236" s="12"/>
      <c r="S4236" s="12"/>
      <c r="T4236" s="12"/>
      <c r="U4236" s="12"/>
      <c r="V4236" s="12"/>
      <c r="W4236" s="12"/>
      <c r="X4236" s="12"/>
      <c r="Y4236" s="12"/>
      <c r="Z4236" s="12"/>
      <c r="AA4236" s="12"/>
    </row>
    <row r="4237" ht="26.25" customHeight="1">
      <c r="A4237" s="38"/>
      <c r="B4237" s="39"/>
      <c r="C4237" s="30"/>
      <c r="D4237" s="31"/>
      <c r="E4237" s="31"/>
      <c r="F4237" s="32" t="str">
        <f t="array" ref="F4237">"https://www.google.com/maps/search/?api=1&amp;query=" &amp; A4237 &amp; "," &amp; B4237</f>
        <v>https://www.google.com/maps/search/?api=1&amp;query=,</v>
      </c>
      <c r="G4237" s="33" t="str">
        <f t="array" ref="G4237">"https://earth.google.com/web/search/" &amp; A4237 &amp; "," &amp; B4237</f>
        <v>https://earth.google.com/web/search/,</v>
      </c>
      <c r="H4237" s="12"/>
      <c r="I4237" s="12"/>
      <c r="J4237" s="12"/>
      <c r="K4237" s="12"/>
      <c r="L4237" s="12"/>
      <c r="M4237" s="12"/>
      <c r="N4237" s="12"/>
      <c r="O4237" s="12"/>
      <c r="P4237" s="12"/>
      <c r="Q4237" s="12"/>
      <c r="R4237" s="12"/>
      <c r="S4237" s="12"/>
      <c r="T4237" s="12"/>
      <c r="U4237" s="12"/>
      <c r="V4237" s="12"/>
      <c r="W4237" s="12"/>
      <c r="X4237" s="12"/>
      <c r="Y4237" s="12"/>
      <c r="Z4237" s="12"/>
      <c r="AA4237" s="12"/>
    </row>
    <row r="4238" ht="26.25" customHeight="1">
      <c r="A4238" s="40"/>
      <c r="B4238" s="41"/>
      <c r="C4238" s="36"/>
      <c r="D4238" s="37"/>
      <c r="E4238" s="37"/>
      <c r="F4238" s="24" t="str">
        <f t="array" ref="F4238">"https://www.google.com/maps/search/?api=1&amp;query=" &amp; A4238 &amp; "," &amp; B4238</f>
        <v>https://www.google.com/maps/search/?api=1&amp;query=,</v>
      </c>
      <c r="G4238" s="25" t="str">
        <f t="array" ref="G4238">"https://earth.google.com/web/search/" &amp; A4238 &amp; "," &amp; B4238</f>
        <v>https://earth.google.com/web/search/,</v>
      </c>
      <c r="H4238" s="12"/>
      <c r="I4238" s="12"/>
      <c r="J4238" s="12"/>
      <c r="K4238" s="12"/>
      <c r="L4238" s="12"/>
      <c r="M4238" s="12"/>
      <c r="N4238" s="12"/>
      <c r="O4238" s="12"/>
      <c r="P4238" s="12"/>
      <c r="Q4238" s="12"/>
      <c r="R4238" s="12"/>
      <c r="S4238" s="12"/>
      <c r="T4238" s="12"/>
      <c r="U4238" s="12"/>
      <c r="V4238" s="12"/>
      <c r="W4238" s="12"/>
      <c r="X4238" s="12"/>
      <c r="Y4238" s="12"/>
      <c r="Z4238" s="12"/>
      <c r="AA4238" s="12"/>
    </row>
    <row r="4239" ht="26.25" customHeight="1">
      <c r="A4239" s="38"/>
      <c r="B4239" s="39"/>
      <c r="C4239" s="30"/>
      <c r="D4239" s="31"/>
      <c r="E4239" s="31"/>
      <c r="F4239" s="32" t="str">
        <f t="array" ref="F4239">"https://www.google.com/maps/search/?api=1&amp;query=" &amp; A4239 &amp; "," &amp; B4239</f>
        <v>https://www.google.com/maps/search/?api=1&amp;query=,</v>
      </c>
      <c r="G4239" s="33" t="str">
        <f t="array" ref="G4239">"https://earth.google.com/web/search/" &amp; A4239 &amp; "," &amp; B4239</f>
        <v>https://earth.google.com/web/search/,</v>
      </c>
      <c r="H4239" s="12"/>
      <c r="I4239" s="12"/>
      <c r="J4239" s="12"/>
      <c r="K4239" s="12"/>
      <c r="L4239" s="12"/>
      <c r="M4239" s="12"/>
      <c r="N4239" s="12"/>
      <c r="O4239" s="12"/>
      <c r="P4239" s="12"/>
      <c r="Q4239" s="12"/>
      <c r="R4239" s="12"/>
      <c r="S4239" s="12"/>
      <c r="T4239" s="12"/>
      <c r="U4239" s="12"/>
      <c r="V4239" s="12"/>
      <c r="W4239" s="12"/>
      <c r="X4239" s="12"/>
      <c r="Y4239" s="12"/>
      <c r="Z4239" s="12"/>
      <c r="AA4239" s="12"/>
    </row>
    <row r="4240" ht="26.25" customHeight="1">
      <c r="A4240" s="40"/>
      <c r="B4240" s="41"/>
      <c r="C4240" s="36"/>
      <c r="D4240" s="37"/>
      <c r="E4240" s="37"/>
      <c r="F4240" s="24" t="str">
        <f t="array" ref="F4240">"https://www.google.com/maps/search/?api=1&amp;query=" &amp; A4240 &amp; "," &amp; B4240</f>
        <v>https://www.google.com/maps/search/?api=1&amp;query=,</v>
      </c>
      <c r="G4240" s="25" t="str">
        <f t="array" ref="G4240">"https://earth.google.com/web/search/" &amp; A4240 &amp; "," &amp; B4240</f>
        <v>https://earth.google.com/web/search/,</v>
      </c>
      <c r="H4240" s="12"/>
      <c r="I4240" s="12"/>
      <c r="J4240" s="12"/>
      <c r="K4240" s="12"/>
      <c r="L4240" s="12"/>
      <c r="M4240" s="12"/>
      <c r="N4240" s="12"/>
      <c r="O4240" s="12"/>
      <c r="P4240" s="12"/>
      <c r="Q4240" s="12"/>
      <c r="R4240" s="12"/>
      <c r="S4240" s="12"/>
      <c r="T4240" s="12"/>
      <c r="U4240" s="12"/>
      <c r="V4240" s="12"/>
      <c r="W4240" s="12"/>
      <c r="X4240" s="12"/>
      <c r="Y4240" s="12"/>
      <c r="Z4240" s="12"/>
      <c r="AA4240" s="12"/>
    </row>
    <row r="4241" ht="26.25" customHeight="1">
      <c r="A4241" s="38"/>
      <c r="B4241" s="39"/>
      <c r="C4241" s="30"/>
      <c r="D4241" s="31"/>
      <c r="E4241" s="31"/>
      <c r="F4241" s="32" t="str">
        <f t="array" ref="F4241">"https://www.google.com/maps/search/?api=1&amp;query=" &amp; A4241 &amp; "," &amp; B4241</f>
        <v>https://www.google.com/maps/search/?api=1&amp;query=,</v>
      </c>
      <c r="G4241" s="33" t="str">
        <f t="array" ref="G4241">"https://earth.google.com/web/search/" &amp; A4241 &amp; "," &amp; B4241</f>
        <v>https://earth.google.com/web/search/,</v>
      </c>
      <c r="H4241" s="12"/>
      <c r="I4241" s="12"/>
      <c r="J4241" s="12"/>
      <c r="K4241" s="12"/>
      <c r="L4241" s="12"/>
      <c r="M4241" s="12"/>
      <c r="N4241" s="12"/>
      <c r="O4241" s="12"/>
      <c r="P4241" s="12"/>
      <c r="Q4241" s="12"/>
      <c r="R4241" s="12"/>
      <c r="S4241" s="12"/>
      <c r="T4241" s="12"/>
      <c r="U4241" s="12"/>
      <c r="V4241" s="12"/>
      <c r="W4241" s="12"/>
      <c r="X4241" s="12"/>
      <c r="Y4241" s="12"/>
      <c r="Z4241" s="12"/>
      <c r="AA4241" s="12"/>
    </row>
    <row r="4242" ht="26.25" customHeight="1">
      <c r="A4242" s="40"/>
      <c r="B4242" s="41"/>
      <c r="C4242" s="36"/>
      <c r="D4242" s="37"/>
      <c r="E4242" s="37"/>
      <c r="F4242" s="24" t="str">
        <f t="array" ref="F4242">"https://www.google.com/maps/search/?api=1&amp;query=" &amp; A4242 &amp; "," &amp; B4242</f>
        <v>https://www.google.com/maps/search/?api=1&amp;query=,</v>
      </c>
      <c r="G4242" s="25" t="str">
        <f t="array" ref="G4242">"https://earth.google.com/web/search/" &amp; A4242 &amp; "," &amp; B4242</f>
        <v>https://earth.google.com/web/search/,</v>
      </c>
      <c r="H4242" s="12"/>
      <c r="I4242" s="12"/>
      <c r="J4242" s="12"/>
      <c r="K4242" s="12"/>
      <c r="L4242" s="12"/>
      <c r="M4242" s="12"/>
      <c r="N4242" s="12"/>
      <c r="O4242" s="12"/>
      <c r="P4242" s="12"/>
      <c r="Q4242" s="12"/>
      <c r="R4242" s="12"/>
      <c r="S4242" s="12"/>
      <c r="T4242" s="12"/>
      <c r="U4242" s="12"/>
      <c r="V4242" s="12"/>
      <c r="W4242" s="12"/>
      <c r="X4242" s="12"/>
      <c r="Y4242" s="12"/>
      <c r="Z4242" s="12"/>
      <c r="AA4242" s="12"/>
    </row>
    <row r="4243" ht="26.25" customHeight="1">
      <c r="A4243" s="38"/>
      <c r="B4243" s="39"/>
      <c r="C4243" s="30"/>
      <c r="D4243" s="31"/>
      <c r="E4243" s="31"/>
      <c r="F4243" s="32" t="str">
        <f t="array" ref="F4243">"https://www.google.com/maps/search/?api=1&amp;query=" &amp; A4243 &amp; "," &amp; B4243</f>
        <v>https://www.google.com/maps/search/?api=1&amp;query=,</v>
      </c>
      <c r="G4243" s="33" t="str">
        <f t="array" ref="G4243">"https://earth.google.com/web/search/" &amp; A4243 &amp; "," &amp; B4243</f>
        <v>https://earth.google.com/web/search/,</v>
      </c>
      <c r="H4243" s="12"/>
      <c r="I4243" s="12"/>
      <c r="J4243" s="12"/>
      <c r="K4243" s="12"/>
      <c r="L4243" s="12"/>
      <c r="M4243" s="12"/>
      <c r="N4243" s="12"/>
      <c r="O4243" s="12"/>
      <c r="P4243" s="12"/>
      <c r="Q4243" s="12"/>
      <c r="R4243" s="12"/>
      <c r="S4243" s="12"/>
      <c r="T4243" s="12"/>
      <c r="U4243" s="12"/>
      <c r="V4243" s="12"/>
      <c r="W4243" s="12"/>
      <c r="X4243" s="12"/>
      <c r="Y4243" s="12"/>
      <c r="Z4243" s="12"/>
      <c r="AA4243" s="12"/>
    </row>
    <row r="4244" ht="26.25" customHeight="1">
      <c r="A4244" s="40"/>
      <c r="B4244" s="41"/>
      <c r="C4244" s="36"/>
      <c r="D4244" s="37"/>
      <c r="E4244" s="37"/>
      <c r="F4244" s="24" t="str">
        <f t="array" ref="F4244">"https://www.google.com/maps/search/?api=1&amp;query=" &amp; A4244 &amp; "," &amp; B4244</f>
        <v>https://www.google.com/maps/search/?api=1&amp;query=,</v>
      </c>
      <c r="G4244" s="25" t="str">
        <f t="array" ref="G4244">"https://earth.google.com/web/search/" &amp; A4244 &amp; "," &amp; B4244</f>
        <v>https://earth.google.com/web/search/,</v>
      </c>
      <c r="H4244" s="12"/>
      <c r="I4244" s="12"/>
      <c r="J4244" s="12"/>
      <c r="K4244" s="12"/>
      <c r="L4244" s="12"/>
      <c r="M4244" s="12"/>
      <c r="N4244" s="12"/>
      <c r="O4244" s="12"/>
      <c r="P4244" s="12"/>
      <c r="Q4244" s="12"/>
      <c r="R4244" s="12"/>
      <c r="S4244" s="12"/>
      <c r="T4244" s="12"/>
      <c r="U4244" s="12"/>
      <c r="V4244" s="12"/>
      <c r="W4244" s="12"/>
      <c r="X4244" s="12"/>
      <c r="Y4244" s="12"/>
      <c r="Z4244" s="12"/>
      <c r="AA4244" s="12"/>
    </row>
    <row r="4245" ht="26.25" customHeight="1">
      <c r="A4245" s="38"/>
      <c r="B4245" s="39"/>
      <c r="C4245" s="30"/>
      <c r="D4245" s="31"/>
      <c r="E4245" s="31"/>
      <c r="F4245" s="32" t="str">
        <f t="array" ref="F4245">"https://www.google.com/maps/search/?api=1&amp;query=" &amp; A4245 &amp; "," &amp; B4245</f>
        <v>https://www.google.com/maps/search/?api=1&amp;query=,</v>
      </c>
      <c r="G4245" s="33" t="str">
        <f t="array" ref="G4245">"https://earth.google.com/web/search/" &amp; A4245 &amp; "," &amp; B4245</f>
        <v>https://earth.google.com/web/search/,</v>
      </c>
      <c r="H4245" s="12"/>
      <c r="I4245" s="12"/>
      <c r="J4245" s="12"/>
      <c r="K4245" s="12"/>
      <c r="L4245" s="12"/>
      <c r="M4245" s="12"/>
      <c r="N4245" s="12"/>
      <c r="O4245" s="12"/>
      <c r="P4245" s="12"/>
      <c r="Q4245" s="12"/>
      <c r="R4245" s="12"/>
      <c r="S4245" s="12"/>
      <c r="T4245" s="12"/>
      <c r="U4245" s="12"/>
      <c r="V4245" s="12"/>
      <c r="W4245" s="12"/>
      <c r="X4245" s="12"/>
      <c r="Y4245" s="12"/>
      <c r="Z4245" s="12"/>
      <c r="AA4245" s="12"/>
    </row>
    <row r="4246" ht="26.25" customHeight="1">
      <c r="A4246" s="40"/>
      <c r="B4246" s="41"/>
      <c r="C4246" s="36"/>
      <c r="D4246" s="37"/>
      <c r="E4246" s="37"/>
      <c r="F4246" s="24" t="str">
        <f t="array" ref="F4246">"https://www.google.com/maps/search/?api=1&amp;query=" &amp; A4246 &amp; "," &amp; B4246</f>
        <v>https://www.google.com/maps/search/?api=1&amp;query=,</v>
      </c>
      <c r="G4246" s="25" t="str">
        <f t="array" ref="G4246">"https://earth.google.com/web/search/" &amp; A4246 &amp; "," &amp; B4246</f>
        <v>https://earth.google.com/web/search/,</v>
      </c>
      <c r="H4246" s="12"/>
      <c r="I4246" s="12"/>
      <c r="J4246" s="12"/>
      <c r="K4246" s="12"/>
      <c r="L4246" s="12"/>
      <c r="M4246" s="12"/>
      <c r="N4246" s="12"/>
      <c r="O4246" s="12"/>
      <c r="P4246" s="12"/>
      <c r="Q4246" s="12"/>
      <c r="R4246" s="12"/>
      <c r="S4246" s="12"/>
      <c r="T4246" s="12"/>
      <c r="U4246" s="12"/>
      <c r="V4246" s="12"/>
      <c r="W4246" s="12"/>
      <c r="X4246" s="12"/>
      <c r="Y4246" s="12"/>
      <c r="Z4246" s="12"/>
      <c r="AA4246" s="12"/>
    </row>
    <row r="4247" ht="26.25" customHeight="1">
      <c r="A4247" s="38"/>
      <c r="B4247" s="39"/>
      <c r="C4247" s="30"/>
      <c r="D4247" s="31"/>
      <c r="E4247" s="31"/>
      <c r="F4247" s="32" t="str">
        <f t="array" ref="F4247">"https://www.google.com/maps/search/?api=1&amp;query=" &amp; A4247 &amp; "," &amp; B4247</f>
        <v>https://www.google.com/maps/search/?api=1&amp;query=,</v>
      </c>
      <c r="G4247" s="33" t="str">
        <f t="array" ref="G4247">"https://earth.google.com/web/search/" &amp; A4247 &amp; "," &amp; B4247</f>
        <v>https://earth.google.com/web/search/,</v>
      </c>
      <c r="H4247" s="12"/>
      <c r="I4247" s="12"/>
      <c r="J4247" s="12"/>
      <c r="K4247" s="12"/>
      <c r="L4247" s="12"/>
      <c r="M4247" s="12"/>
      <c r="N4247" s="12"/>
      <c r="O4247" s="12"/>
      <c r="P4247" s="12"/>
      <c r="Q4247" s="12"/>
      <c r="R4247" s="12"/>
      <c r="S4247" s="12"/>
      <c r="T4247" s="12"/>
      <c r="U4247" s="12"/>
      <c r="V4247" s="12"/>
      <c r="W4247" s="12"/>
      <c r="X4247" s="12"/>
      <c r="Y4247" s="12"/>
      <c r="Z4247" s="12"/>
      <c r="AA4247" s="12"/>
    </row>
    <row r="4248" ht="26.25" customHeight="1">
      <c r="A4248" s="40"/>
      <c r="B4248" s="41"/>
      <c r="C4248" s="36"/>
      <c r="D4248" s="37"/>
      <c r="E4248" s="37"/>
      <c r="F4248" s="24" t="str">
        <f t="array" ref="F4248">"https://www.google.com/maps/search/?api=1&amp;query=" &amp; A4248 &amp; "," &amp; B4248</f>
        <v>https://www.google.com/maps/search/?api=1&amp;query=,</v>
      </c>
      <c r="G4248" s="25" t="str">
        <f t="array" ref="G4248">"https://earth.google.com/web/search/" &amp; A4248 &amp; "," &amp; B4248</f>
        <v>https://earth.google.com/web/search/,</v>
      </c>
      <c r="H4248" s="12"/>
      <c r="I4248" s="12"/>
      <c r="J4248" s="12"/>
      <c r="K4248" s="12"/>
      <c r="L4248" s="12"/>
      <c r="M4248" s="12"/>
      <c r="N4248" s="12"/>
      <c r="O4248" s="12"/>
      <c r="P4248" s="12"/>
      <c r="Q4248" s="12"/>
      <c r="R4248" s="12"/>
      <c r="S4248" s="12"/>
      <c r="T4248" s="12"/>
      <c r="U4248" s="12"/>
      <c r="V4248" s="12"/>
      <c r="W4248" s="12"/>
      <c r="X4248" s="12"/>
      <c r="Y4248" s="12"/>
      <c r="Z4248" s="12"/>
      <c r="AA4248" s="12"/>
    </row>
    <row r="4249" ht="26.25" customHeight="1">
      <c r="A4249" s="38"/>
      <c r="B4249" s="39"/>
      <c r="C4249" s="30"/>
      <c r="D4249" s="31"/>
      <c r="E4249" s="31"/>
      <c r="F4249" s="32" t="str">
        <f t="array" ref="F4249">"https://www.google.com/maps/search/?api=1&amp;query=" &amp; A4249 &amp; "," &amp; B4249</f>
        <v>https://www.google.com/maps/search/?api=1&amp;query=,</v>
      </c>
      <c r="G4249" s="33" t="str">
        <f t="array" ref="G4249">"https://earth.google.com/web/search/" &amp; A4249 &amp; "," &amp; B4249</f>
        <v>https://earth.google.com/web/search/,</v>
      </c>
      <c r="H4249" s="12"/>
      <c r="I4249" s="12"/>
      <c r="J4249" s="12"/>
      <c r="K4249" s="12"/>
      <c r="L4249" s="12"/>
      <c r="M4249" s="12"/>
      <c r="N4249" s="12"/>
      <c r="O4249" s="12"/>
      <c r="P4249" s="12"/>
      <c r="Q4249" s="12"/>
      <c r="R4249" s="12"/>
      <c r="S4249" s="12"/>
      <c r="T4249" s="12"/>
      <c r="U4249" s="12"/>
      <c r="V4249" s="12"/>
      <c r="W4249" s="12"/>
      <c r="X4249" s="12"/>
      <c r="Y4249" s="12"/>
      <c r="Z4249" s="12"/>
      <c r="AA4249" s="12"/>
    </row>
    <row r="4250" ht="26.25" customHeight="1">
      <c r="A4250" s="40"/>
      <c r="B4250" s="41"/>
      <c r="C4250" s="36"/>
      <c r="D4250" s="37"/>
      <c r="E4250" s="37"/>
      <c r="F4250" s="24" t="str">
        <f t="array" ref="F4250">"https://www.google.com/maps/search/?api=1&amp;query=" &amp; A4250 &amp; "," &amp; B4250</f>
        <v>https://www.google.com/maps/search/?api=1&amp;query=,</v>
      </c>
      <c r="G4250" s="25" t="str">
        <f t="array" ref="G4250">"https://earth.google.com/web/search/" &amp; A4250 &amp; "," &amp; B4250</f>
        <v>https://earth.google.com/web/search/,</v>
      </c>
      <c r="H4250" s="12"/>
      <c r="I4250" s="12"/>
      <c r="J4250" s="12"/>
      <c r="K4250" s="12"/>
      <c r="L4250" s="12"/>
      <c r="M4250" s="12"/>
      <c r="N4250" s="12"/>
      <c r="O4250" s="12"/>
      <c r="P4250" s="12"/>
      <c r="Q4250" s="12"/>
      <c r="R4250" s="12"/>
      <c r="S4250" s="12"/>
      <c r="T4250" s="12"/>
      <c r="U4250" s="12"/>
      <c r="V4250" s="12"/>
      <c r="W4250" s="12"/>
      <c r="X4250" s="12"/>
      <c r="Y4250" s="12"/>
      <c r="Z4250" s="12"/>
      <c r="AA4250" s="12"/>
    </row>
    <row r="4251" ht="26.25" customHeight="1">
      <c r="A4251" s="38"/>
      <c r="B4251" s="39"/>
      <c r="C4251" s="30"/>
      <c r="D4251" s="31"/>
      <c r="E4251" s="31"/>
      <c r="F4251" s="32" t="str">
        <f t="array" ref="F4251">"https://www.google.com/maps/search/?api=1&amp;query=" &amp; A4251 &amp; "," &amp; B4251</f>
        <v>https://www.google.com/maps/search/?api=1&amp;query=,</v>
      </c>
      <c r="G4251" s="33" t="str">
        <f t="array" ref="G4251">"https://earth.google.com/web/search/" &amp; A4251 &amp; "," &amp; B4251</f>
        <v>https://earth.google.com/web/search/,</v>
      </c>
      <c r="H4251" s="12"/>
      <c r="I4251" s="12"/>
      <c r="J4251" s="12"/>
      <c r="K4251" s="12"/>
      <c r="L4251" s="12"/>
      <c r="M4251" s="12"/>
      <c r="N4251" s="12"/>
      <c r="O4251" s="12"/>
      <c r="P4251" s="12"/>
      <c r="Q4251" s="12"/>
      <c r="R4251" s="12"/>
      <c r="S4251" s="12"/>
      <c r="T4251" s="12"/>
      <c r="U4251" s="12"/>
      <c r="V4251" s="12"/>
      <c r="W4251" s="12"/>
      <c r="X4251" s="12"/>
      <c r="Y4251" s="12"/>
      <c r="Z4251" s="12"/>
      <c r="AA4251" s="12"/>
    </row>
    <row r="4252" ht="26.25" customHeight="1">
      <c r="A4252" s="40"/>
      <c r="B4252" s="41"/>
      <c r="C4252" s="36"/>
      <c r="D4252" s="37"/>
      <c r="E4252" s="37"/>
      <c r="F4252" s="24" t="str">
        <f t="array" ref="F4252">"https://www.google.com/maps/search/?api=1&amp;query=" &amp; A4252 &amp; "," &amp; B4252</f>
        <v>https://www.google.com/maps/search/?api=1&amp;query=,</v>
      </c>
      <c r="G4252" s="25" t="str">
        <f t="array" ref="G4252">"https://earth.google.com/web/search/" &amp; A4252 &amp; "," &amp; B4252</f>
        <v>https://earth.google.com/web/search/,</v>
      </c>
      <c r="H4252" s="12"/>
      <c r="I4252" s="12"/>
      <c r="J4252" s="12"/>
      <c r="K4252" s="12"/>
      <c r="L4252" s="12"/>
      <c r="M4252" s="12"/>
      <c r="N4252" s="12"/>
      <c r="O4252" s="12"/>
      <c r="P4252" s="12"/>
      <c r="Q4252" s="12"/>
      <c r="R4252" s="12"/>
      <c r="S4252" s="12"/>
      <c r="T4252" s="12"/>
      <c r="U4252" s="12"/>
      <c r="V4252" s="12"/>
      <c r="W4252" s="12"/>
      <c r="X4252" s="12"/>
      <c r="Y4252" s="12"/>
      <c r="Z4252" s="12"/>
      <c r="AA4252" s="12"/>
    </row>
    <row r="4253" ht="26.25" customHeight="1">
      <c r="A4253" s="38"/>
      <c r="B4253" s="39"/>
      <c r="C4253" s="30"/>
      <c r="D4253" s="31"/>
      <c r="E4253" s="31"/>
      <c r="F4253" s="32" t="str">
        <f t="array" ref="F4253">"https://www.google.com/maps/search/?api=1&amp;query=" &amp; A4253 &amp; "," &amp; B4253</f>
        <v>https://www.google.com/maps/search/?api=1&amp;query=,</v>
      </c>
      <c r="G4253" s="33" t="str">
        <f t="array" ref="G4253">"https://earth.google.com/web/search/" &amp; A4253 &amp; "," &amp; B4253</f>
        <v>https://earth.google.com/web/search/,</v>
      </c>
      <c r="H4253" s="12"/>
      <c r="I4253" s="12"/>
      <c r="J4253" s="12"/>
      <c r="K4253" s="12"/>
      <c r="L4253" s="12"/>
      <c r="M4253" s="12"/>
      <c r="N4253" s="12"/>
      <c r="O4253" s="12"/>
      <c r="P4253" s="12"/>
      <c r="Q4253" s="12"/>
      <c r="R4253" s="12"/>
      <c r="S4253" s="12"/>
      <c r="T4253" s="12"/>
      <c r="U4253" s="12"/>
      <c r="V4253" s="12"/>
      <c r="W4253" s="12"/>
      <c r="X4253" s="12"/>
      <c r="Y4253" s="12"/>
      <c r="Z4253" s="12"/>
      <c r="AA4253" s="12"/>
    </row>
    <row r="4254" ht="26.25" customHeight="1">
      <c r="A4254" s="40"/>
      <c r="B4254" s="41"/>
      <c r="C4254" s="36"/>
      <c r="D4254" s="37"/>
      <c r="E4254" s="37"/>
      <c r="F4254" s="24" t="str">
        <f t="array" ref="F4254">"https://www.google.com/maps/search/?api=1&amp;query=" &amp; A4254 &amp; "," &amp; B4254</f>
        <v>https://www.google.com/maps/search/?api=1&amp;query=,</v>
      </c>
      <c r="G4254" s="25" t="str">
        <f t="array" ref="G4254">"https://earth.google.com/web/search/" &amp; A4254 &amp; "," &amp; B4254</f>
        <v>https://earth.google.com/web/search/,</v>
      </c>
      <c r="H4254" s="12"/>
      <c r="I4254" s="12"/>
      <c r="J4254" s="12"/>
      <c r="K4254" s="12"/>
      <c r="L4254" s="12"/>
      <c r="M4254" s="12"/>
      <c r="N4254" s="12"/>
      <c r="O4254" s="12"/>
      <c r="P4254" s="12"/>
      <c r="Q4254" s="12"/>
      <c r="R4254" s="12"/>
      <c r="S4254" s="12"/>
      <c r="T4254" s="12"/>
      <c r="U4254" s="12"/>
      <c r="V4254" s="12"/>
      <c r="W4254" s="12"/>
      <c r="X4254" s="12"/>
      <c r="Y4254" s="12"/>
      <c r="Z4254" s="12"/>
      <c r="AA4254" s="12"/>
    </row>
    <row r="4255" ht="26.25" customHeight="1">
      <c r="A4255" s="38"/>
      <c r="B4255" s="39"/>
      <c r="C4255" s="30"/>
      <c r="D4255" s="31"/>
      <c r="E4255" s="31"/>
      <c r="F4255" s="32" t="str">
        <f t="array" ref="F4255">"https://www.google.com/maps/search/?api=1&amp;query=" &amp; A4255 &amp; "," &amp; B4255</f>
        <v>https://www.google.com/maps/search/?api=1&amp;query=,</v>
      </c>
      <c r="G4255" s="33" t="str">
        <f t="array" ref="G4255">"https://earth.google.com/web/search/" &amp; A4255 &amp; "," &amp; B4255</f>
        <v>https://earth.google.com/web/search/,</v>
      </c>
      <c r="H4255" s="12"/>
      <c r="I4255" s="12"/>
      <c r="J4255" s="12"/>
      <c r="K4255" s="12"/>
      <c r="L4255" s="12"/>
      <c r="M4255" s="12"/>
      <c r="N4255" s="12"/>
      <c r="O4255" s="12"/>
      <c r="P4255" s="12"/>
      <c r="Q4255" s="12"/>
      <c r="R4255" s="12"/>
      <c r="S4255" s="12"/>
      <c r="T4255" s="12"/>
      <c r="U4255" s="12"/>
      <c r="V4255" s="12"/>
      <c r="W4255" s="12"/>
      <c r="X4255" s="12"/>
      <c r="Y4255" s="12"/>
      <c r="Z4255" s="12"/>
      <c r="AA4255" s="12"/>
    </row>
    <row r="4256" ht="26.25" customHeight="1">
      <c r="A4256" s="40"/>
      <c r="B4256" s="41"/>
      <c r="C4256" s="36"/>
      <c r="D4256" s="37"/>
      <c r="E4256" s="37"/>
      <c r="F4256" s="24" t="str">
        <f t="array" ref="F4256">"https://www.google.com/maps/search/?api=1&amp;query=" &amp; A4256 &amp; "," &amp; B4256</f>
        <v>https://www.google.com/maps/search/?api=1&amp;query=,</v>
      </c>
      <c r="G4256" s="25" t="str">
        <f t="array" ref="G4256">"https://earth.google.com/web/search/" &amp; A4256 &amp; "," &amp; B4256</f>
        <v>https://earth.google.com/web/search/,</v>
      </c>
      <c r="H4256" s="12"/>
      <c r="I4256" s="12"/>
      <c r="J4256" s="12"/>
      <c r="K4256" s="12"/>
      <c r="L4256" s="12"/>
      <c r="M4256" s="12"/>
      <c r="N4256" s="12"/>
      <c r="O4256" s="12"/>
      <c r="P4256" s="12"/>
      <c r="Q4256" s="12"/>
      <c r="R4256" s="12"/>
      <c r="S4256" s="12"/>
      <c r="T4256" s="12"/>
      <c r="U4256" s="12"/>
      <c r="V4256" s="12"/>
      <c r="W4256" s="12"/>
      <c r="X4256" s="12"/>
      <c r="Y4256" s="12"/>
      <c r="Z4256" s="12"/>
      <c r="AA4256" s="12"/>
    </row>
    <row r="4257" ht="26.25" customHeight="1">
      <c r="A4257" s="42"/>
      <c r="B4257" s="43"/>
      <c r="C4257" s="44"/>
      <c r="D4257" s="45"/>
      <c r="E4257" s="45"/>
      <c r="F4257" s="46" t="str">
        <f t="array" ref="F4257">"https://www.google.com/maps/search/?api=1&amp;query=" &amp; A4257 &amp; "," &amp; B4257</f>
        <v>https://www.google.com/maps/search/?api=1&amp;query=,</v>
      </c>
      <c r="G4257" s="47" t="str">
        <f t="array" ref="G4257">"https://earth.google.com/web/search/" &amp; A4257 &amp; "," &amp; B4257</f>
        <v>https://earth.google.com/web/search/,</v>
      </c>
      <c r="H4257" s="12"/>
      <c r="I4257" s="12"/>
      <c r="J4257" s="12"/>
      <c r="K4257" s="12"/>
      <c r="L4257" s="12"/>
      <c r="M4257" s="12"/>
      <c r="N4257" s="12"/>
      <c r="O4257" s="12"/>
      <c r="P4257" s="12"/>
      <c r="Q4257" s="12"/>
      <c r="R4257" s="12"/>
      <c r="S4257" s="12"/>
      <c r="T4257" s="12"/>
      <c r="U4257" s="12"/>
      <c r="V4257" s="12"/>
      <c r="W4257" s="12"/>
      <c r="X4257" s="12"/>
      <c r="Y4257" s="12"/>
      <c r="Z4257" s="12"/>
      <c r="AA4257" s="12"/>
    </row>
  </sheetData>
  <customSheetViews>
    <customSheetView guid="{FF86F6B2-1634-4D32-977D-8950FC3EF899}" filter="1" showAutoFilter="1">
      <autoFilter ref="$A$3:$G$4257">
        <filterColumn colId="2">
          <filters>
            <filter val="1"/>
          </filters>
        </filterColumn>
      </autoFilter>
    </customSheetView>
  </customSheetViews>
  <mergeCells count="2">
    <mergeCell ref="A1:C1"/>
    <mergeCell ref="A2:C2"/>
  </mergeCells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18.13"/>
    <col customWidth="1" min="3" max="3" width="11.5"/>
    <col customWidth="1" min="4" max="4" width="12.38"/>
    <col customWidth="1" min="5" max="5" width="14.75"/>
    <col customWidth="1" min="6" max="7" width="36.25"/>
  </cols>
  <sheetData>
    <row r="1" ht="67.5" customHeight="1">
      <c r="A1" s="48" t="s">
        <v>8388</v>
      </c>
      <c r="B1" s="49">
        <f>SUBTOTAL(103, C4:C1853)</f>
        <v>1350</v>
      </c>
      <c r="E1" s="50"/>
      <c r="F1" s="51" t="s">
        <v>8389</v>
      </c>
      <c r="G1" s="52">
        <v>1.0</v>
      </c>
    </row>
    <row r="2">
      <c r="A2" s="53"/>
      <c r="B2" s="54"/>
      <c r="C2" s="53"/>
      <c r="D2" s="53"/>
      <c r="E2" s="54"/>
      <c r="F2" s="54"/>
      <c r="G2" s="53"/>
    </row>
    <row r="3">
      <c r="A3" s="55" t="s">
        <v>5</v>
      </c>
      <c r="B3" s="56" t="s">
        <v>6</v>
      </c>
      <c r="C3" s="57" t="s">
        <v>7</v>
      </c>
      <c r="D3" s="57" t="s">
        <v>8</v>
      </c>
      <c r="E3" s="56" t="s">
        <v>9</v>
      </c>
      <c r="F3" s="56" t="s">
        <v>10</v>
      </c>
      <c r="G3" s="58" t="s">
        <v>11</v>
      </c>
    </row>
    <row r="4">
      <c r="A4" s="59" t="str">
        <f>IFERROR(__xludf.DUMMYFUNCTION("FILTER('Arbolado en Rivera'!A4:Z1853, 'Arbolado en Rivera'!C4:C1853 = $G$1)"),"-30.9085623369631")</f>
        <v>-30.9085623369631</v>
      </c>
      <c r="B4" s="60" t="str">
        <f>IFERROR(__xludf.DUMMYFUNCTION("""COMPUTED_VALUE"""),"-55.5418202149917")</f>
        <v>-55.5418202149917</v>
      </c>
      <c r="C4" s="61">
        <f>IFERROR(__xludf.DUMMYFUNCTION("""COMPUTED_VALUE"""),1.0)</f>
        <v>1</v>
      </c>
      <c r="D4" s="61">
        <f>IFERROR(__xludf.DUMMYFUNCTION("""COMPUTED_VALUE"""),380.0)</f>
        <v>380</v>
      </c>
      <c r="E4" s="61">
        <f>IFERROR(__xludf.DUMMYFUNCTION("""COMPUTED_VALUE"""),1.0)</f>
        <v>1</v>
      </c>
      <c r="F4" s="62" t="str">
        <f>IFERROR(__xludf.DUMMYFUNCTION("""COMPUTED_VALUE"""),"https://www.google.com/maps/search/?api=1&amp;query=-30.9085623369631,-55.5418202149917")</f>
        <v>https://www.google.com/maps/search/?api=1&amp;query=-30.9085623369631,-55.5418202149917</v>
      </c>
      <c r="G4" s="63" t="str">
        <f>IFERROR(__xludf.DUMMYFUNCTION("""COMPUTED_VALUE"""),"https://earth.google.com/web/search/-30.9085623369631,-55.5418202149917")</f>
        <v>https://earth.google.com/web/search/-30.9085623369631,-55.5418202149917</v>
      </c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</row>
    <row r="5">
      <c r="A5" s="65" t="str">
        <f>IFERROR(__xludf.DUMMYFUNCTION("""COMPUTED_VALUE"""),"-30.9086786225937")</f>
        <v>-30.9086786225937</v>
      </c>
      <c r="B5" s="66" t="str">
        <f>IFERROR(__xludf.DUMMYFUNCTION("""COMPUTED_VALUE"""),"-55.5415908393606")</f>
        <v>-55.5415908393606</v>
      </c>
      <c r="C5" s="66">
        <f>IFERROR(__xludf.DUMMYFUNCTION("""COMPUTED_VALUE"""),1.0)</f>
        <v>1</v>
      </c>
      <c r="D5" s="66">
        <f>IFERROR(__xludf.DUMMYFUNCTION("""COMPUTED_VALUE"""),380.0)</f>
        <v>380</v>
      </c>
      <c r="E5" s="66">
        <f>IFERROR(__xludf.DUMMYFUNCTION("""COMPUTED_VALUE"""),2.0)</f>
        <v>2</v>
      </c>
      <c r="F5" s="67" t="str">
        <f>IFERROR(__xludf.DUMMYFUNCTION("""COMPUTED_VALUE"""),"https://www.google.com/maps/search/?api=1&amp;query=-30.9086786225937,-55.5415908393606")</f>
        <v>https://www.google.com/maps/search/?api=1&amp;query=-30.9086786225937,-55.5415908393606</v>
      </c>
      <c r="G5" s="68" t="str">
        <f>IFERROR(__xludf.DUMMYFUNCTION("""COMPUTED_VALUE"""),"https://earth.google.com/web/search/-30.9086786225937,-55.5415908393606")</f>
        <v>https://earth.google.com/web/search/-30.9086786225937,-55.5415908393606</v>
      </c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</row>
    <row r="6">
      <c r="A6" s="69" t="str">
        <f>IFERROR(__xludf.DUMMYFUNCTION("""COMPUTED_VALUE"""),"-30.9087625761143")</f>
        <v>-30.9087625761143</v>
      </c>
      <c r="B6" s="61" t="str">
        <f>IFERROR(__xludf.DUMMYFUNCTION("""COMPUTED_VALUE"""),"-55.5414192426538")</f>
        <v>-55.5414192426538</v>
      </c>
      <c r="C6" s="61">
        <f>IFERROR(__xludf.DUMMYFUNCTION("""COMPUTED_VALUE"""),1.0)</f>
        <v>1</v>
      </c>
      <c r="D6" s="61">
        <f>IFERROR(__xludf.DUMMYFUNCTION("""COMPUTED_VALUE"""),380.0)</f>
        <v>380</v>
      </c>
      <c r="E6" s="61">
        <f>IFERROR(__xludf.DUMMYFUNCTION("""COMPUTED_VALUE"""),3.0)</f>
        <v>3</v>
      </c>
      <c r="F6" s="62" t="str">
        <f>IFERROR(__xludf.DUMMYFUNCTION("""COMPUTED_VALUE"""),"https://www.google.com/maps/search/?api=1&amp;query=-30.9087625761143,-55.5414192426538")</f>
        <v>https://www.google.com/maps/search/?api=1&amp;query=-30.9087625761143,-55.5414192426538</v>
      </c>
      <c r="G6" s="63" t="str">
        <f>IFERROR(__xludf.DUMMYFUNCTION("""COMPUTED_VALUE"""),"https://earth.google.com/web/search/-30.9087625761143,-55.5414192426538")</f>
        <v>https://earth.google.com/web/search/-30.9087625761143,-55.5414192426538</v>
      </c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</row>
    <row r="7">
      <c r="A7" s="65" t="str">
        <f>IFERROR(__xludf.DUMMYFUNCTION("""COMPUTED_VALUE"""),"-3.0908807464794")</f>
        <v>-3.0908807464794</v>
      </c>
      <c r="B7" s="66" t="str">
        <f>IFERROR(__xludf.DUMMYFUNCTION("""COMPUTED_VALUE"""),"-55.5413455882343")</f>
        <v>-55.5413455882343</v>
      </c>
      <c r="C7" s="66">
        <f>IFERROR(__xludf.DUMMYFUNCTION("""COMPUTED_VALUE"""),1.0)</f>
        <v>1</v>
      </c>
      <c r="D7" s="66">
        <f>IFERROR(__xludf.DUMMYFUNCTION("""COMPUTED_VALUE"""),380.0)</f>
        <v>380</v>
      </c>
      <c r="E7" s="66">
        <f>IFERROR(__xludf.DUMMYFUNCTION("""COMPUTED_VALUE"""),4.0)</f>
        <v>4</v>
      </c>
      <c r="F7" s="67" t="str">
        <f>IFERROR(__xludf.DUMMYFUNCTION("""COMPUTED_VALUE"""),"https://www.google.com/maps/search/?api=1&amp;query=-3.0908807464794,-55.5413455882343")</f>
        <v>https://www.google.com/maps/search/?api=1&amp;query=-3.0908807464794,-55.5413455882343</v>
      </c>
      <c r="G7" s="68" t="str">
        <f>IFERROR(__xludf.DUMMYFUNCTION("""COMPUTED_VALUE"""),"https://earth.google.com/web/search/-3.0908807464794,-55.5413455882343")</f>
        <v>https://earth.google.com/web/search/-3.0908807464794,-55.5413455882343</v>
      </c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</row>
    <row r="8">
      <c r="A8" s="69" t="str">
        <f>IFERROR(__xludf.DUMMYFUNCTION("""COMPUTED_VALUE"""),"-30.9084599238673")</f>
        <v>-30.9084599238673</v>
      </c>
      <c r="B8" s="61" t="str">
        <f>IFERROR(__xludf.DUMMYFUNCTION("""COMPUTED_VALUE"""),"-55.5410184784325")</f>
        <v>-55.5410184784325</v>
      </c>
      <c r="C8" s="61">
        <f>IFERROR(__xludf.DUMMYFUNCTION("""COMPUTED_VALUE"""),1.0)</f>
        <v>1</v>
      </c>
      <c r="D8" s="61">
        <f>IFERROR(__xludf.DUMMYFUNCTION("""COMPUTED_VALUE"""),380.0)</f>
        <v>380</v>
      </c>
      <c r="E8" s="61">
        <f>IFERROR(__xludf.DUMMYFUNCTION("""COMPUTED_VALUE"""),5.0)</f>
        <v>5</v>
      </c>
      <c r="F8" s="62" t="str">
        <f>IFERROR(__xludf.DUMMYFUNCTION("""COMPUTED_VALUE"""),"https://www.google.com/maps/search/?api=1&amp;query=-30.9084599238673,-55.5410184784325")</f>
        <v>https://www.google.com/maps/search/?api=1&amp;query=-30.9084599238673,-55.5410184784325</v>
      </c>
      <c r="G8" s="63" t="str">
        <f>IFERROR(__xludf.DUMMYFUNCTION("""COMPUTED_VALUE"""),"https://earth.google.com/web/search/-30.9084599238673,-55.5410184784325")</f>
        <v>https://earth.google.com/web/search/-30.9084599238673,-55.5410184784325</v>
      </c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</row>
    <row r="9">
      <c r="A9" s="65" t="str">
        <f>IFERROR(__xludf.DUMMYFUNCTION("""COMPUTED_VALUE"""),"-30.9079826306537")</f>
        <v>-30.9079826306537</v>
      </c>
      <c r="B9" s="66" t="str">
        <f>IFERROR(__xludf.DUMMYFUNCTION("""COMPUTED_VALUE"""),"-55.5410682577867")</f>
        <v>-55.5410682577867</v>
      </c>
      <c r="C9" s="66">
        <f>IFERROR(__xludf.DUMMYFUNCTION("""COMPUTED_VALUE"""),1.0)</f>
        <v>1</v>
      </c>
      <c r="D9" s="66">
        <f>IFERROR(__xludf.DUMMYFUNCTION("""COMPUTED_VALUE"""),380.0)</f>
        <v>380</v>
      </c>
      <c r="E9" s="66">
        <f>IFERROR(__xludf.DUMMYFUNCTION("""COMPUTED_VALUE"""),6.0)</f>
        <v>6</v>
      </c>
      <c r="F9" s="67" t="str">
        <f>IFERROR(__xludf.DUMMYFUNCTION("""COMPUTED_VALUE"""),"https://www.google.com/maps/search/?api=1&amp;query=-30.9079826306537,-55.5410682577867")</f>
        <v>https://www.google.com/maps/search/?api=1&amp;query=-30.9079826306537,-55.5410682577867</v>
      </c>
      <c r="G9" s="68" t="str">
        <f>IFERROR(__xludf.DUMMYFUNCTION("""COMPUTED_VALUE"""),"https://earth.google.com/web/search/-30.9079826306537,-55.5410682577867")</f>
        <v>https://earth.google.com/web/search/-30.9079826306537,-55.5410682577867</v>
      </c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</row>
    <row r="10">
      <c r="A10" s="69" t="str">
        <f>IFERROR(__xludf.DUMMYFUNCTION("""COMPUTED_VALUE"""),"-30.9078322812076")</f>
        <v>-30.9078322812076</v>
      </c>
      <c r="B10" s="61" t="str">
        <f>IFERROR(__xludf.DUMMYFUNCTION("""COMPUTED_VALUE"""),"-55.5416879006129")</f>
        <v>-55.5416879006129</v>
      </c>
      <c r="C10" s="61">
        <f>IFERROR(__xludf.DUMMYFUNCTION("""COMPUTED_VALUE"""),1.0)</f>
        <v>1</v>
      </c>
      <c r="D10" s="61">
        <f>IFERROR(__xludf.DUMMYFUNCTION("""COMPUTED_VALUE"""),380.0)</f>
        <v>380</v>
      </c>
      <c r="E10" s="61">
        <f>IFERROR(__xludf.DUMMYFUNCTION("""COMPUTED_VALUE"""),7.0)</f>
        <v>7</v>
      </c>
      <c r="F10" s="62" t="str">
        <f>IFERROR(__xludf.DUMMYFUNCTION("""COMPUTED_VALUE"""),"https://www.google.com/maps/search/?api=1&amp;query=-30.9078322812076,-55.5416879006129")</f>
        <v>https://www.google.com/maps/search/?api=1&amp;query=-30.9078322812076,-55.5416879006129</v>
      </c>
      <c r="G10" s="63" t="str">
        <f>IFERROR(__xludf.DUMMYFUNCTION("""COMPUTED_VALUE"""),"https://earth.google.com/web/search/-30.9078322812076,-55.5416879006129")</f>
        <v>https://earth.google.com/web/search/-30.9078322812076,-55.5416879006129</v>
      </c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</row>
    <row r="11">
      <c r="A11" s="65" t="str">
        <f>IFERROR(__xludf.DUMMYFUNCTION("""COMPUTED_VALUE"""),"-3.0907949434123")</f>
        <v>-3.0907949434123</v>
      </c>
      <c r="B11" s="66" t="str">
        <f>IFERROR(__xludf.DUMMYFUNCTION("""COMPUTED_VALUE"""),"-55.5417827169845")</f>
        <v>-55.5417827169845</v>
      </c>
      <c r="C11" s="66">
        <f>IFERROR(__xludf.DUMMYFUNCTION("""COMPUTED_VALUE"""),1.0)</f>
        <v>1</v>
      </c>
      <c r="D11" s="66">
        <f>IFERROR(__xludf.DUMMYFUNCTION("""COMPUTED_VALUE"""),380.0)</f>
        <v>380</v>
      </c>
      <c r="E11" s="66">
        <f>IFERROR(__xludf.DUMMYFUNCTION("""COMPUTED_VALUE"""),8.0)</f>
        <v>8</v>
      </c>
      <c r="F11" s="67" t="str">
        <f>IFERROR(__xludf.DUMMYFUNCTION("""COMPUTED_VALUE"""),"https://www.google.com/maps/search/?api=1&amp;query=-3.0907949434123,-55.5417827169845")</f>
        <v>https://www.google.com/maps/search/?api=1&amp;query=-3.0907949434123,-55.5417827169845</v>
      </c>
      <c r="G11" s="68" t="str">
        <f>IFERROR(__xludf.DUMMYFUNCTION("""COMPUTED_VALUE"""),"https://earth.google.com/web/search/-3.0907949434123,-55.5417827169845")</f>
        <v>https://earth.google.com/web/search/-3.0907949434123,-55.5417827169845</v>
      </c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</row>
    <row r="12">
      <c r="A12" s="69" t="str">
        <f>IFERROR(__xludf.DUMMYFUNCTION("""COMPUTED_VALUE"""),"-30.9080100681708")</f>
        <v>-30.9080100681708</v>
      </c>
      <c r="B12" s="61" t="str">
        <f>IFERROR(__xludf.DUMMYFUNCTION("""COMPUTED_VALUE"""),"-55.5418156220984")</f>
        <v>-55.5418156220984</v>
      </c>
      <c r="C12" s="61">
        <f>IFERROR(__xludf.DUMMYFUNCTION("""COMPUTED_VALUE"""),1.0)</f>
        <v>1</v>
      </c>
      <c r="D12" s="61">
        <f>IFERROR(__xludf.DUMMYFUNCTION("""COMPUTED_VALUE"""),380.0)</f>
        <v>380</v>
      </c>
      <c r="E12" s="61">
        <f>IFERROR(__xludf.DUMMYFUNCTION("""COMPUTED_VALUE"""),9.0)</f>
        <v>9</v>
      </c>
      <c r="F12" s="62" t="str">
        <f>IFERROR(__xludf.DUMMYFUNCTION("""COMPUTED_VALUE"""),"https://www.google.com/maps/search/?api=1&amp;query=-30.9080100681708,-55.5418156220984")</f>
        <v>https://www.google.com/maps/search/?api=1&amp;query=-30.9080100681708,-55.5418156220984</v>
      </c>
      <c r="G12" s="63" t="str">
        <f>IFERROR(__xludf.DUMMYFUNCTION("""COMPUTED_VALUE"""),"https://earth.google.com/web/search/-30.9080100681708,-55.5418156220984")</f>
        <v>https://earth.google.com/web/search/-30.9080100681708,-55.5418156220984</v>
      </c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</row>
    <row r="13">
      <c r="A13" s="65" t="str">
        <f>IFERROR(__xludf.DUMMYFUNCTION("""COMPUTED_VALUE"""),"-30.9081135870265")</f>
        <v>-30.9081135870265</v>
      </c>
      <c r="B13" s="66" t="str">
        <f>IFERROR(__xludf.DUMMYFUNCTION("""COMPUTED_VALUE"""),"-55.5419103805931")</f>
        <v>-55.5419103805931</v>
      </c>
      <c r="C13" s="66">
        <f>IFERROR(__xludf.DUMMYFUNCTION("""COMPUTED_VALUE"""),1.0)</f>
        <v>1</v>
      </c>
      <c r="D13" s="66">
        <f>IFERROR(__xludf.DUMMYFUNCTION("""COMPUTED_VALUE"""),380.0)</f>
        <v>380</v>
      </c>
      <c r="E13" s="66">
        <f>IFERROR(__xludf.DUMMYFUNCTION("""COMPUTED_VALUE"""),10.0)</f>
        <v>10</v>
      </c>
      <c r="F13" s="67" t="str">
        <f>IFERROR(__xludf.DUMMYFUNCTION("""COMPUTED_VALUE"""),"https://www.google.com/maps/search/?api=1&amp;query=-30.9081135870265,-55.5419103805931")</f>
        <v>https://www.google.com/maps/search/?api=1&amp;query=-30.9081135870265,-55.5419103805931</v>
      </c>
      <c r="G13" s="68" t="str">
        <f>IFERROR(__xludf.DUMMYFUNCTION("""COMPUTED_VALUE"""),"https://earth.google.com/web/search/-30.9081135870265,-55.5419103805931")</f>
        <v>https://earth.google.com/web/search/-30.9081135870265,-55.5419103805931</v>
      </c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</row>
    <row r="14">
      <c r="A14" s="69" t="str">
        <f>IFERROR(__xludf.DUMMYFUNCTION("""COMPUTED_VALUE"""),"-30.9082121113853")</f>
        <v>-30.9082121113853</v>
      </c>
      <c r="B14" s="61" t="str">
        <f>IFERROR(__xludf.DUMMYFUNCTION("""COMPUTED_VALUE"""),"-55.5424420073895")</f>
        <v>-55.5424420073895</v>
      </c>
      <c r="C14" s="61">
        <f>IFERROR(__xludf.DUMMYFUNCTION("""COMPUTED_VALUE"""),1.0)</f>
        <v>1</v>
      </c>
      <c r="D14" s="61">
        <f>IFERROR(__xludf.DUMMYFUNCTION("""COMPUTED_VALUE"""),381.0)</f>
        <v>381</v>
      </c>
      <c r="E14" s="61">
        <f>IFERROR(__xludf.DUMMYFUNCTION("""COMPUTED_VALUE"""),1.0)</f>
        <v>1</v>
      </c>
      <c r="F14" s="62" t="str">
        <f>IFERROR(__xludf.DUMMYFUNCTION("""COMPUTED_VALUE"""),"https://www.google.com/maps/search/?api=1&amp;query=-30.9082121113853,-55.5424420073895")</f>
        <v>https://www.google.com/maps/search/?api=1&amp;query=-30.9082121113853,-55.5424420073895</v>
      </c>
      <c r="G14" s="63" t="str">
        <f>IFERROR(__xludf.DUMMYFUNCTION("""COMPUTED_VALUE"""),"https://earth.google.com/web/search/-30.9082121113853,-55.5424420073895")</f>
        <v>https://earth.google.com/web/search/-30.9082121113853,-55.5424420073895</v>
      </c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</row>
    <row r="15">
      <c r="A15" s="65" t="str">
        <f>IFERROR(__xludf.DUMMYFUNCTION("""COMPUTED_VALUE"""),"-30.9083080232214")</f>
        <v>-30.9083080232214</v>
      </c>
      <c r="B15" s="66" t="str">
        <f>IFERROR(__xludf.DUMMYFUNCTION("""COMPUTED_VALUE"""),"-55.5422930184486")</f>
        <v>-55.5422930184486</v>
      </c>
      <c r="C15" s="66">
        <f>IFERROR(__xludf.DUMMYFUNCTION("""COMPUTED_VALUE"""),1.0)</f>
        <v>1</v>
      </c>
      <c r="D15" s="66">
        <f>IFERROR(__xludf.DUMMYFUNCTION("""COMPUTED_VALUE"""),381.0)</f>
        <v>381</v>
      </c>
      <c r="E15" s="66">
        <f>IFERROR(__xludf.DUMMYFUNCTION("""COMPUTED_VALUE"""),2.0)</f>
        <v>2</v>
      </c>
      <c r="F15" s="67" t="str">
        <f>IFERROR(__xludf.DUMMYFUNCTION("""COMPUTED_VALUE"""),"https://www.google.com/maps/search/?api=1&amp;query=-30.9083080232214,-55.5422930184486")</f>
        <v>https://www.google.com/maps/search/?api=1&amp;query=-30.9083080232214,-55.5422930184486</v>
      </c>
      <c r="G15" s="68" t="str">
        <f>IFERROR(__xludf.DUMMYFUNCTION("""COMPUTED_VALUE"""),"https://earth.google.com/web/search/-30.9083080232214,-55.5422930184486")</f>
        <v>https://earth.google.com/web/search/-30.9083080232214,-55.5422930184486</v>
      </c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</row>
    <row r="16">
      <c r="A16" s="69" t="str">
        <f>IFERROR(__xludf.DUMMYFUNCTION("""COMPUTED_VALUE"""),"-30.9081344080317")</f>
        <v>-30.9081344080317</v>
      </c>
      <c r="B16" s="61" t="str">
        <f>IFERROR(__xludf.DUMMYFUNCTION("""COMPUTED_VALUE"""),"-55.5420404251968")</f>
        <v>-55.5420404251968</v>
      </c>
      <c r="C16" s="61">
        <f>IFERROR(__xludf.DUMMYFUNCTION("""COMPUTED_VALUE"""),1.0)</f>
        <v>1</v>
      </c>
      <c r="D16" s="61">
        <f>IFERROR(__xludf.DUMMYFUNCTION("""COMPUTED_VALUE"""),381.0)</f>
        <v>381</v>
      </c>
      <c r="E16" s="61">
        <f>IFERROR(__xludf.DUMMYFUNCTION("""COMPUTED_VALUE"""),3.0)</f>
        <v>3</v>
      </c>
      <c r="F16" s="62" t="str">
        <f>IFERROR(__xludf.DUMMYFUNCTION("""COMPUTED_VALUE"""),"https://www.google.com/maps/search/?api=1&amp;query=-30.9081344080317,-55.5420404251968")</f>
        <v>https://www.google.com/maps/search/?api=1&amp;query=-30.9081344080317,-55.5420404251968</v>
      </c>
      <c r="G16" s="63" t="str">
        <f>IFERROR(__xludf.DUMMYFUNCTION("""COMPUTED_VALUE"""),"https://earth.google.com/web/search/-30.9081344080317,-55.5420404251968")</f>
        <v>https://earth.google.com/web/search/-30.9081344080317,-55.5420404251968</v>
      </c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</row>
    <row r="17">
      <c r="A17" s="65" t="str">
        <f>IFERROR(__xludf.DUMMYFUNCTION("""COMPUTED_VALUE"""),"-3.0907749592464")</f>
        <v>-3.0907749592464</v>
      </c>
      <c r="B17" s="66" t="str">
        <f>IFERROR(__xludf.DUMMYFUNCTION("""COMPUTED_VALUE"""),"-55.5417715928406")</f>
        <v>-55.5417715928406</v>
      </c>
      <c r="C17" s="66">
        <f>IFERROR(__xludf.DUMMYFUNCTION("""COMPUTED_VALUE"""),1.0)</f>
        <v>1</v>
      </c>
      <c r="D17" s="66">
        <f>IFERROR(__xludf.DUMMYFUNCTION("""COMPUTED_VALUE"""),381.0)</f>
        <v>381</v>
      </c>
      <c r="E17" s="66">
        <f>IFERROR(__xludf.DUMMYFUNCTION("""COMPUTED_VALUE"""),4.0)</f>
        <v>4</v>
      </c>
      <c r="F17" s="67" t="str">
        <f>IFERROR(__xludf.DUMMYFUNCTION("""COMPUTED_VALUE"""),"https://www.google.com/maps/search/?api=1&amp;query=-3.0907749592464,-55.5417715928406")</f>
        <v>https://www.google.com/maps/search/?api=1&amp;query=-3.0907749592464,-55.5417715928406</v>
      </c>
      <c r="G17" s="68" t="str">
        <f>IFERROR(__xludf.DUMMYFUNCTION("""COMPUTED_VALUE"""),"https://earth.google.com/web/search/-3.0907749592464,-55.5417715928406")</f>
        <v>https://earth.google.com/web/search/-3.0907749592464,-55.5417715928406</v>
      </c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</row>
    <row r="18">
      <c r="A18" s="69" t="str">
        <f>IFERROR(__xludf.DUMMYFUNCTION("""COMPUTED_VALUE"""),"-3.0907480214178")</f>
        <v>-3.0907480214178</v>
      </c>
      <c r="B18" s="61" t="str">
        <f>IFERROR(__xludf.DUMMYFUNCTION("""COMPUTED_VALUE"""),"-55.5420297790972")</f>
        <v>-55.5420297790972</v>
      </c>
      <c r="C18" s="61">
        <f>IFERROR(__xludf.DUMMYFUNCTION("""COMPUTED_VALUE"""),1.0)</f>
        <v>1</v>
      </c>
      <c r="D18" s="61">
        <f>IFERROR(__xludf.DUMMYFUNCTION("""COMPUTED_VALUE"""),381.0)</f>
        <v>381</v>
      </c>
      <c r="E18" s="61">
        <f>IFERROR(__xludf.DUMMYFUNCTION("""COMPUTED_VALUE"""),5.0)</f>
        <v>5</v>
      </c>
      <c r="F18" s="62" t="str">
        <f>IFERROR(__xludf.DUMMYFUNCTION("""COMPUTED_VALUE"""),"https://www.google.com/maps/search/?api=1&amp;query=-3.0907480214178,-55.5420297790972")</f>
        <v>https://www.google.com/maps/search/?api=1&amp;query=-3.0907480214178,-55.5420297790972</v>
      </c>
      <c r="G18" s="63" t="str">
        <f>IFERROR(__xludf.DUMMYFUNCTION("""COMPUTED_VALUE"""),"https://earth.google.com/web/search/-3.0907480214178,-55.5420297790972")</f>
        <v>https://earth.google.com/web/search/-3.0907480214178,-55.5420297790972</v>
      </c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</row>
    <row r="19">
      <c r="A19" s="65" t="str">
        <f>IFERROR(__xludf.DUMMYFUNCTION("""COMPUTED_VALUE"""),"-30.9074482802175")</f>
        <v>-30.9074482802175</v>
      </c>
      <c r="B19" s="66" t="str">
        <f>IFERROR(__xludf.DUMMYFUNCTION("""COMPUTED_VALUE"""),"-55.5420887869302")</f>
        <v>-55.5420887869302</v>
      </c>
      <c r="C19" s="66">
        <f>IFERROR(__xludf.DUMMYFUNCTION("""COMPUTED_VALUE"""),1.0)</f>
        <v>1</v>
      </c>
      <c r="D19" s="66">
        <f>IFERROR(__xludf.DUMMYFUNCTION("""COMPUTED_VALUE"""),381.0)</f>
        <v>381</v>
      </c>
      <c r="E19" s="66">
        <f>IFERROR(__xludf.DUMMYFUNCTION("""COMPUTED_VALUE"""),6.0)</f>
        <v>6</v>
      </c>
      <c r="F19" s="67" t="str">
        <f>IFERROR(__xludf.DUMMYFUNCTION("""COMPUTED_VALUE"""),"https://www.google.com/maps/search/?api=1&amp;query=-30.9074482802175,-55.5420887869302")</f>
        <v>https://www.google.com/maps/search/?api=1&amp;query=-30.9074482802175,-55.5420887869302</v>
      </c>
      <c r="G19" s="68" t="str">
        <f>IFERROR(__xludf.DUMMYFUNCTION("""COMPUTED_VALUE"""),"https://earth.google.com/web/search/-30.9074482802175,-55.5420887869302")</f>
        <v>https://earth.google.com/web/search/-30.9074482802175,-55.5420887869302</v>
      </c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</row>
    <row r="20">
      <c r="A20" s="69" t="str">
        <f>IFERROR(__xludf.DUMMYFUNCTION("""COMPUTED_VALUE"""),"-30.9073537140691")</f>
        <v>-30.9073537140691</v>
      </c>
      <c r="B20" s="61" t="str">
        <f>IFERROR(__xludf.DUMMYFUNCTION("""COMPUTED_VALUE"""),"-55.5422311231855")</f>
        <v>-55.5422311231855</v>
      </c>
      <c r="C20" s="61">
        <f>IFERROR(__xludf.DUMMYFUNCTION("""COMPUTED_VALUE"""),1.0)</f>
        <v>1</v>
      </c>
      <c r="D20" s="61">
        <f>IFERROR(__xludf.DUMMYFUNCTION("""COMPUTED_VALUE"""),381.0)</f>
        <v>381</v>
      </c>
      <c r="E20" s="61">
        <f>IFERROR(__xludf.DUMMYFUNCTION("""COMPUTED_VALUE"""),7.0)</f>
        <v>7</v>
      </c>
      <c r="F20" s="62" t="str">
        <f>IFERROR(__xludf.DUMMYFUNCTION("""COMPUTED_VALUE"""),"https://www.google.com/maps/search/?api=1&amp;query=-30.9073537140691,-55.5422311231855")</f>
        <v>https://www.google.com/maps/search/?api=1&amp;query=-30.9073537140691,-55.5422311231855</v>
      </c>
      <c r="G20" s="63" t="str">
        <f>IFERROR(__xludf.DUMMYFUNCTION("""COMPUTED_VALUE"""),"https://earth.google.com/web/search/-30.9073537140691,-55.5422311231855")</f>
        <v>https://earth.google.com/web/search/-30.9073537140691,-55.5422311231855</v>
      </c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</row>
    <row r="21">
      <c r="A21" s="65" t="str">
        <f>IFERROR(__xludf.DUMMYFUNCTION("""COMPUTED_VALUE"""),"-30.9073077100211")</f>
        <v>-30.9073077100211</v>
      </c>
      <c r="B21" s="66" t="str">
        <f>IFERROR(__xludf.DUMMYFUNCTION("""COMPUTED_VALUE"""),"-55.5423590117613")</f>
        <v>-55.5423590117613</v>
      </c>
      <c r="C21" s="66">
        <f>IFERROR(__xludf.DUMMYFUNCTION("""COMPUTED_VALUE"""),1.0)</f>
        <v>1</v>
      </c>
      <c r="D21" s="66">
        <f>IFERROR(__xludf.DUMMYFUNCTION("""COMPUTED_VALUE"""),381.0)</f>
        <v>381</v>
      </c>
      <c r="E21" s="66">
        <f>IFERROR(__xludf.DUMMYFUNCTION("""COMPUTED_VALUE"""),8.0)</f>
        <v>8</v>
      </c>
      <c r="F21" s="67" t="str">
        <f>IFERROR(__xludf.DUMMYFUNCTION("""COMPUTED_VALUE"""),"https://www.google.com/maps/search/?api=1&amp;query=-30.9073077100211,-55.5423590117613")</f>
        <v>https://www.google.com/maps/search/?api=1&amp;query=-30.9073077100211,-55.5423590117613</v>
      </c>
      <c r="G21" s="68" t="str">
        <f>IFERROR(__xludf.DUMMYFUNCTION("""COMPUTED_VALUE"""),"https://earth.google.com/web/search/-30.9073077100211,-55.5423590117613")</f>
        <v>https://earth.google.com/web/search/-30.9073077100211,-55.5423590117613</v>
      </c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</row>
    <row r="22">
      <c r="A22" s="69" t="str">
        <f>IFERROR(__xludf.DUMMYFUNCTION("""COMPUTED_VALUE"""),"-30.9072961761128")</f>
        <v>-30.9072961761128</v>
      </c>
      <c r="B22" s="61" t="str">
        <f>IFERROR(__xludf.DUMMYFUNCTION("""COMPUTED_VALUE"""),"-55.5425670856449")</f>
        <v>-55.5425670856449</v>
      </c>
      <c r="C22" s="61">
        <f>IFERROR(__xludf.DUMMYFUNCTION("""COMPUTED_VALUE"""),1.0)</f>
        <v>1</v>
      </c>
      <c r="D22" s="61">
        <f>IFERROR(__xludf.DUMMYFUNCTION("""COMPUTED_VALUE"""),381.0)</f>
        <v>381</v>
      </c>
      <c r="E22" s="61">
        <f>IFERROR(__xludf.DUMMYFUNCTION("""COMPUTED_VALUE"""),9.0)</f>
        <v>9</v>
      </c>
      <c r="F22" s="62" t="str">
        <f>IFERROR(__xludf.DUMMYFUNCTION("""COMPUTED_VALUE"""),"https://www.google.com/maps/search/?api=1&amp;query=-30.9072961761128,-55.5425670856449")</f>
        <v>https://www.google.com/maps/search/?api=1&amp;query=-30.9072961761128,-55.5425670856449</v>
      </c>
      <c r="G22" s="63" t="str">
        <f>IFERROR(__xludf.DUMMYFUNCTION("""COMPUTED_VALUE"""),"https://earth.google.com/web/search/-30.9072961761128,-55.5425670856449")</f>
        <v>https://earth.google.com/web/search/-30.9072961761128,-55.5425670856449</v>
      </c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</row>
    <row r="23">
      <c r="A23" s="65" t="str">
        <f>IFERROR(__xludf.DUMMYFUNCTION("""COMPUTED_VALUE"""),"-30.9074627076052")</f>
        <v>-30.9074627076052</v>
      </c>
      <c r="B23" s="66" t="str">
        <f>IFERROR(__xludf.DUMMYFUNCTION("""COMPUTED_VALUE"""),"-55.5426823250918")</f>
        <v>-55.5426823250918</v>
      </c>
      <c r="C23" s="66">
        <f>IFERROR(__xludf.DUMMYFUNCTION("""COMPUTED_VALUE"""),1.0)</f>
        <v>1</v>
      </c>
      <c r="D23" s="66">
        <f>IFERROR(__xludf.DUMMYFUNCTION("""COMPUTED_VALUE"""),381.0)</f>
        <v>381</v>
      </c>
      <c r="E23" s="66">
        <f>IFERROR(__xludf.DUMMYFUNCTION("""COMPUTED_VALUE"""),10.0)</f>
        <v>10</v>
      </c>
      <c r="F23" s="67" t="str">
        <f>IFERROR(__xludf.DUMMYFUNCTION("""COMPUTED_VALUE"""),"https://www.google.com/maps/search/?api=1&amp;query=-30.9074627076052,-55.5426823250918")</f>
        <v>https://www.google.com/maps/search/?api=1&amp;query=-30.9074627076052,-55.5426823250918</v>
      </c>
      <c r="G23" s="68" t="str">
        <f>IFERROR(__xludf.DUMMYFUNCTION("""COMPUTED_VALUE"""),"https://earth.google.com/web/search/-30.9074627076052,-55.5426823250918")</f>
        <v>https://earth.google.com/web/search/-30.9074627076052,-55.5426823250918</v>
      </c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</row>
    <row r="24">
      <c r="A24" s="69" t="str">
        <f>IFERROR(__xludf.DUMMYFUNCTION("""COMPUTED_VALUE"""),"-30.9075273857691")</f>
        <v>-30.9075273857691</v>
      </c>
      <c r="B24" s="61" t="str">
        <f>IFERROR(__xludf.DUMMYFUNCTION("""COMPUTED_VALUE"""),"-55.5427303207558")</f>
        <v>-55.5427303207558</v>
      </c>
      <c r="C24" s="61">
        <f>IFERROR(__xludf.DUMMYFUNCTION("""COMPUTED_VALUE"""),1.0)</f>
        <v>1</v>
      </c>
      <c r="D24" s="61">
        <f>IFERROR(__xludf.DUMMYFUNCTION("""COMPUTED_VALUE"""),381.0)</f>
        <v>381</v>
      </c>
      <c r="E24" s="61">
        <f>IFERROR(__xludf.DUMMYFUNCTION("""COMPUTED_VALUE"""),11.0)</f>
        <v>11</v>
      </c>
      <c r="F24" s="62" t="str">
        <f>IFERROR(__xludf.DUMMYFUNCTION("""COMPUTED_VALUE"""),"https://www.google.com/maps/search/?api=1&amp;query=-30.9075273857691,-55.5427303207558")</f>
        <v>https://www.google.com/maps/search/?api=1&amp;query=-30.9075273857691,-55.5427303207558</v>
      </c>
      <c r="G24" s="63" t="str">
        <f>IFERROR(__xludf.DUMMYFUNCTION("""COMPUTED_VALUE"""),"https://earth.google.com/web/search/-30.9075273857691,-55.5427303207558")</f>
        <v>https://earth.google.com/web/search/-30.9075273857691,-55.5427303207558</v>
      </c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</row>
    <row r="25">
      <c r="A25" s="65" t="str">
        <f>IFERROR(__xludf.DUMMYFUNCTION("""COMPUTED_VALUE"""),"-30.9075822782725")</f>
        <v>-30.9075822782725</v>
      </c>
      <c r="B25" s="66" t="str">
        <f>IFERROR(__xludf.DUMMYFUNCTION("""COMPUTED_VALUE"""),"-55.5427740294405")</f>
        <v>-55.5427740294405</v>
      </c>
      <c r="C25" s="66">
        <f>IFERROR(__xludf.DUMMYFUNCTION("""COMPUTED_VALUE"""),1.0)</f>
        <v>1</v>
      </c>
      <c r="D25" s="66">
        <f>IFERROR(__xludf.DUMMYFUNCTION("""COMPUTED_VALUE"""),381.0)</f>
        <v>381</v>
      </c>
      <c r="E25" s="66">
        <f>IFERROR(__xludf.DUMMYFUNCTION("""COMPUTED_VALUE"""),12.0)</f>
        <v>12</v>
      </c>
      <c r="F25" s="67" t="str">
        <f>IFERROR(__xludf.DUMMYFUNCTION("""COMPUTED_VALUE"""),"https://www.google.com/maps/search/?api=1&amp;query=-30.9075822782725,-55.5427740294405")</f>
        <v>https://www.google.com/maps/search/?api=1&amp;query=-30.9075822782725,-55.5427740294405</v>
      </c>
      <c r="G25" s="68" t="str">
        <f>IFERROR(__xludf.DUMMYFUNCTION("""COMPUTED_VALUE"""),"https://earth.google.com/web/search/-30.9075822782725,-55.5427740294405")</f>
        <v>https://earth.google.com/web/search/-30.9075822782725,-55.5427740294405</v>
      </c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</row>
    <row r="26">
      <c r="A26" s="69" t="str">
        <f>IFERROR(__xludf.DUMMYFUNCTION("""COMPUTED_VALUE"""),"-30.9075354914976")</f>
        <v>-30.9075354914976</v>
      </c>
      <c r="B26" s="61" t="str">
        <f>IFERROR(__xludf.DUMMYFUNCTION("""COMPUTED_VALUE"""),"-55.5437551141324")</f>
        <v>-55.5437551141324</v>
      </c>
      <c r="C26" s="61">
        <f>IFERROR(__xludf.DUMMYFUNCTION("""COMPUTED_VALUE"""),1.0)</f>
        <v>1</v>
      </c>
      <c r="D26" s="61">
        <f>IFERROR(__xludf.DUMMYFUNCTION("""COMPUTED_VALUE"""),382.0)</f>
        <v>382</v>
      </c>
      <c r="E26" s="61">
        <f>IFERROR(__xludf.DUMMYFUNCTION("""COMPUTED_VALUE"""),1.0)</f>
        <v>1</v>
      </c>
      <c r="F26" s="62" t="str">
        <f>IFERROR(__xludf.DUMMYFUNCTION("""COMPUTED_VALUE"""),"https://www.google.com/maps/search/?api=1&amp;query=-30.9075354914976,-55.5437551141324")</f>
        <v>https://www.google.com/maps/search/?api=1&amp;query=-30.9075354914976,-55.5437551141324</v>
      </c>
      <c r="G26" s="63" t="str">
        <f>IFERROR(__xludf.DUMMYFUNCTION("""COMPUTED_VALUE"""),"https://earth.google.com/web/search/-30.9075354914976,-55.5437551141324")</f>
        <v>https://earth.google.com/web/search/-30.9075354914976,-55.5437551141324</v>
      </c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</row>
    <row r="27">
      <c r="A27" s="65" t="str">
        <f>IFERROR(__xludf.DUMMYFUNCTION("""COMPUTED_VALUE"""),"-30.9076562242556")</f>
        <v>-30.9076562242556</v>
      </c>
      <c r="B27" s="66" t="str">
        <f>IFERROR(__xludf.DUMMYFUNCTION("""COMPUTED_VALUE"""),"-55.5435237631524")</f>
        <v>-55.5435237631524</v>
      </c>
      <c r="C27" s="66">
        <f>IFERROR(__xludf.DUMMYFUNCTION("""COMPUTED_VALUE"""),1.0)</f>
        <v>1</v>
      </c>
      <c r="D27" s="66">
        <f>IFERROR(__xludf.DUMMYFUNCTION("""COMPUTED_VALUE"""),382.0)</f>
        <v>382</v>
      </c>
      <c r="E27" s="66">
        <f>IFERROR(__xludf.DUMMYFUNCTION("""COMPUTED_VALUE"""),2.0)</f>
        <v>2</v>
      </c>
      <c r="F27" s="67" t="str">
        <f>IFERROR(__xludf.DUMMYFUNCTION("""COMPUTED_VALUE"""),"https://www.google.com/maps/search/?api=1&amp;query=-30.9076562242556,-55.5435237631524")</f>
        <v>https://www.google.com/maps/search/?api=1&amp;query=-30.9076562242556,-55.5435237631524</v>
      </c>
      <c r="G27" s="68" t="str">
        <f>IFERROR(__xludf.DUMMYFUNCTION("""COMPUTED_VALUE"""),"https://earth.google.com/web/search/-30.9076562242556,-55.5435237631524")</f>
        <v>https://earth.google.com/web/search/-30.9076562242556,-55.5435237631524</v>
      </c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</row>
    <row r="28">
      <c r="A28" s="69" t="str">
        <f>IFERROR(__xludf.DUMMYFUNCTION("""COMPUTED_VALUE"""),"-30.9078120862629")</f>
        <v>-30.9078120862629</v>
      </c>
      <c r="B28" s="61" t="str">
        <f>IFERROR(__xludf.DUMMYFUNCTION("""COMPUTED_VALUE"""),"-55.5432170505174")</f>
        <v>-55.5432170505174</v>
      </c>
      <c r="C28" s="61">
        <f>IFERROR(__xludf.DUMMYFUNCTION("""COMPUTED_VALUE"""),1.0)</f>
        <v>1</v>
      </c>
      <c r="D28" s="61">
        <f>IFERROR(__xludf.DUMMYFUNCTION("""COMPUTED_VALUE"""),382.0)</f>
        <v>382</v>
      </c>
      <c r="E28" s="61">
        <f>IFERROR(__xludf.DUMMYFUNCTION("""COMPUTED_VALUE"""),3.0)</f>
        <v>3</v>
      </c>
      <c r="F28" s="62" t="str">
        <f>IFERROR(__xludf.DUMMYFUNCTION("""COMPUTED_VALUE"""),"https://www.google.com/maps/search/?api=1&amp;query=-30.9078120862629,-55.5432170505174")</f>
        <v>https://www.google.com/maps/search/?api=1&amp;query=-30.9078120862629,-55.5432170505174</v>
      </c>
      <c r="G28" s="63" t="str">
        <f>IFERROR(__xludf.DUMMYFUNCTION("""COMPUTED_VALUE"""),"https://earth.google.com/web/search/-30.9078120862629,-55.5432170505174")</f>
        <v>https://earth.google.com/web/search/-30.9078120862629,-55.5432170505174</v>
      </c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</row>
    <row r="29">
      <c r="A29" s="65" t="str">
        <f>IFERROR(__xludf.DUMMYFUNCTION("""COMPUTED_VALUE"""),"-30.9077172691285")</f>
        <v>-30.9077172691285</v>
      </c>
      <c r="B29" s="66" t="str">
        <f>IFERROR(__xludf.DUMMYFUNCTION("""COMPUTED_VALUE"""),"-5.5543002679369")</f>
        <v>-5.5543002679369</v>
      </c>
      <c r="C29" s="66">
        <f>IFERROR(__xludf.DUMMYFUNCTION("""COMPUTED_VALUE"""),1.0)</f>
        <v>1</v>
      </c>
      <c r="D29" s="66">
        <f>IFERROR(__xludf.DUMMYFUNCTION("""COMPUTED_VALUE"""),382.0)</f>
        <v>382</v>
      </c>
      <c r="E29" s="66">
        <f>IFERROR(__xludf.DUMMYFUNCTION("""COMPUTED_VALUE"""),4.0)</f>
        <v>4</v>
      </c>
      <c r="F29" s="67" t="str">
        <f>IFERROR(__xludf.DUMMYFUNCTION("""COMPUTED_VALUE"""),"https://www.google.com/maps/search/?api=1&amp;query=-30.9077172691285,-5.5543002679369")</f>
        <v>https://www.google.com/maps/search/?api=1&amp;query=-30.9077172691285,-5.5543002679369</v>
      </c>
      <c r="G29" s="68" t="str">
        <f>IFERROR(__xludf.DUMMYFUNCTION("""COMPUTED_VALUE"""),"https://earth.google.com/web/search/-30.9077172691285,-5.5543002679369")</f>
        <v>https://earth.google.com/web/search/-30.9077172691285,-5.5543002679369</v>
      </c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</row>
    <row r="30">
      <c r="A30" s="69" t="str">
        <f>IFERROR(__xludf.DUMMYFUNCTION("""COMPUTED_VALUE"""),"-30.9076517954781")</f>
        <v>-30.9076517954781</v>
      </c>
      <c r="B30" s="61" t="str">
        <f>IFERROR(__xludf.DUMMYFUNCTION("""COMPUTED_VALUE"""),"-55.5429494585556")</f>
        <v>-55.5429494585556</v>
      </c>
      <c r="C30" s="61">
        <f>IFERROR(__xludf.DUMMYFUNCTION("""COMPUTED_VALUE"""),1.0)</f>
        <v>1</v>
      </c>
      <c r="D30" s="61">
        <f>IFERROR(__xludf.DUMMYFUNCTION("""COMPUTED_VALUE"""),382.0)</f>
        <v>382</v>
      </c>
      <c r="E30" s="61">
        <f>IFERROR(__xludf.DUMMYFUNCTION("""COMPUTED_VALUE"""),5.0)</f>
        <v>5</v>
      </c>
      <c r="F30" s="62" t="str">
        <f>IFERROR(__xludf.DUMMYFUNCTION("""COMPUTED_VALUE"""),"https://www.google.com/maps/search/?api=1&amp;query=-30.9076517954781,-55.5429494585556")</f>
        <v>https://www.google.com/maps/search/?api=1&amp;query=-30.9076517954781,-55.5429494585556</v>
      </c>
      <c r="G30" s="63" t="str">
        <f>IFERROR(__xludf.DUMMYFUNCTION("""COMPUTED_VALUE"""),"https://earth.google.com/web/search/-30.9076517954781,-55.5429494585556")</f>
        <v>https://earth.google.com/web/search/-30.9076517954781,-55.5429494585556</v>
      </c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</row>
    <row r="31">
      <c r="A31" s="65" t="str">
        <f>IFERROR(__xludf.DUMMYFUNCTION("""COMPUTED_VALUE"""),"-3.0907544758822")</f>
        <v>-3.0907544758822</v>
      </c>
      <c r="B31" s="66" t="str">
        <f>IFERROR(__xludf.DUMMYFUNCTION("""COMPUTED_VALUE"""),"-55.5428859069824")</f>
        <v>-55.5428859069824</v>
      </c>
      <c r="C31" s="66">
        <f>IFERROR(__xludf.DUMMYFUNCTION("""COMPUTED_VALUE"""),1.0)</f>
        <v>1</v>
      </c>
      <c r="D31" s="66">
        <f>IFERROR(__xludf.DUMMYFUNCTION("""COMPUTED_VALUE"""),382.0)</f>
        <v>382</v>
      </c>
      <c r="E31" s="66">
        <f>IFERROR(__xludf.DUMMYFUNCTION("""COMPUTED_VALUE"""),6.0)</f>
        <v>6</v>
      </c>
      <c r="F31" s="67" t="str">
        <f>IFERROR(__xludf.DUMMYFUNCTION("""COMPUTED_VALUE"""),"https://www.google.com/maps/search/?api=1&amp;query=-3.0907544758822,-55.5428859069824")</f>
        <v>https://www.google.com/maps/search/?api=1&amp;query=-3.0907544758822,-55.5428859069824</v>
      </c>
      <c r="G31" s="68" t="str">
        <f>IFERROR(__xludf.DUMMYFUNCTION("""COMPUTED_VALUE"""),"https://earth.google.com/web/search/-3.0907544758822,-55.5428859069824")</f>
        <v>https://earth.google.com/web/search/-3.0907544758822,-55.5428859069824</v>
      </c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</row>
    <row r="32">
      <c r="A32" s="69" t="str">
        <f>IFERROR(__xludf.DUMMYFUNCTION("""COMPUTED_VALUE"""),"-30.9073148888486")</f>
        <v>-30.9073148888486</v>
      </c>
      <c r="B32" s="61" t="str">
        <f>IFERROR(__xludf.DUMMYFUNCTION("""COMPUTED_VALUE"""),"-55.5427119831792")</f>
        <v>-55.5427119831792</v>
      </c>
      <c r="C32" s="61">
        <f>IFERROR(__xludf.DUMMYFUNCTION("""COMPUTED_VALUE"""),1.0)</f>
        <v>1</v>
      </c>
      <c r="D32" s="61">
        <f>IFERROR(__xludf.DUMMYFUNCTION("""COMPUTED_VALUE"""),382.0)</f>
        <v>382</v>
      </c>
      <c r="E32" s="61">
        <f>IFERROR(__xludf.DUMMYFUNCTION("""COMPUTED_VALUE"""),7.0)</f>
        <v>7</v>
      </c>
      <c r="F32" s="62" t="str">
        <f>IFERROR(__xludf.DUMMYFUNCTION("""COMPUTED_VALUE"""),"https://www.google.com/maps/search/?api=1&amp;query=-30.9073148888486,-55.5427119831792")</f>
        <v>https://www.google.com/maps/search/?api=1&amp;query=-30.9073148888486,-55.5427119831792</v>
      </c>
      <c r="G32" s="63" t="str">
        <f>IFERROR(__xludf.DUMMYFUNCTION("""COMPUTED_VALUE"""),"https://earth.google.com/web/search/-30.9073148888486,-55.5427119831792")</f>
        <v>https://earth.google.com/web/search/-30.9073148888486,-55.5427119831792</v>
      </c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</row>
    <row r="33">
      <c r="A33" s="65" t="str">
        <f>IFERROR(__xludf.DUMMYFUNCTION("""COMPUTED_VALUE"""),"-30.9071059743995")</f>
        <v>-30.9071059743995</v>
      </c>
      <c r="B33" s="66" t="str">
        <f>IFERROR(__xludf.DUMMYFUNCTION("""COMPUTED_VALUE"""),"-55.5427194527044")</f>
        <v>-55.5427194527044</v>
      </c>
      <c r="C33" s="66">
        <f>IFERROR(__xludf.DUMMYFUNCTION("""COMPUTED_VALUE"""),1.0)</f>
        <v>1</v>
      </c>
      <c r="D33" s="66">
        <f>IFERROR(__xludf.DUMMYFUNCTION("""COMPUTED_VALUE"""),382.0)</f>
        <v>382</v>
      </c>
      <c r="E33" s="66">
        <f>IFERROR(__xludf.DUMMYFUNCTION("""COMPUTED_VALUE"""),8.0)</f>
        <v>8</v>
      </c>
      <c r="F33" s="67" t="str">
        <f>IFERROR(__xludf.DUMMYFUNCTION("""COMPUTED_VALUE"""),"https://www.google.com/maps/search/?api=1&amp;query=-30.9071059743995,-55.5427194527044")</f>
        <v>https://www.google.com/maps/search/?api=1&amp;query=-30.9071059743995,-55.5427194527044</v>
      </c>
      <c r="G33" s="68" t="str">
        <f>IFERROR(__xludf.DUMMYFUNCTION("""COMPUTED_VALUE"""),"https://earth.google.com/web/search/-30.9071059743995,-55.5427194527044")</f>
        <v>https://earth.google.com/web/search/-30.9071059743995,-55.5427194527044</v>
      </c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</row>
    <row r="34">
      <c r="A34" s="69" t="str">
        <f>IFERROR(__xludf.DUMMYFUNCTION("""COMPUTED_VALUE"""),"-30.9068740946408")</f>
        <v>-30.9068740946408</v>
      </c>
      <c r="B34" s="61" t="str">
        <f>IFERROR(__xludf.DUMMYFUNCTION("""COMPUTED_VALUE"""),"-55.5431574555906")</f>
        <v>-55.5431574555906</v>
      </c>
      <c r="C34" s="61">
        <f>IFERROR(__xludf.DUMMYFUNCTION("""COMPUTED_VALUE"""),1.0)</f>
        <v>1</v>
      </c>
      <c r="D34" s="61">
        <f>IFERROR(__xludf.DUMMYFUNCTION("""COMPUTED_VALUE"""),382.0)</f>
        <v>382</v>
      </c>
      <c r="E34" s="61">
        <f>IFERROR(__xludf.DUMMYFUNCTION("""COMPUTED_VALUE"""),9.0)</f>
        <v>9</v>
      </c>
      <c r="F34" s="62" t="str">
        <f>IFERROR(__xludf.DUMMYFUNCTION("""COMPUTED_VALUE"""),"https://www.google.com/maps/search/?api=1&amp;query=-30.9068740946408,-55.5431574555906")</f>
        <v>https://www.google.com/maps/search/?api=1&amp;query=-30.9068740946408,-55.5431574555906</v>
      </c>
      <c r="G34" s="63" t="str">
        <f>IFERROR(__xludf.DUMMYFUNCTION("""COMPUTED_VALUE"""),"https://earth.google.com/web/search/-30.9068740946408,-55.5431574555906")</f>
        <v>https://earth.google.com/web/search/-30.9068740946408,-55.5431574555906</v>
      </c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</row>
    <row r="35">
      <c r="A35" s="65" t="str">
        <f>IFERROR(__xludf.DUMMYFUNCTION("""COMPUTED_VALUE"""),"-30.9068413277749")</f>
        <v>-30.9068413277749</v>
      </c>
      <c r="B35" s="66" t="str">
        <f>IFERROR(__xludf.DUMMYFUNCTION("""COMPUTED_VALUE"""),"-55.5432232033536")</f>
        <v>-55.5432232033536</v>
      </c>
      <c r="C35" s="66">
        <f>IFERROR(__xludf.DUMMYFUNCTION("""COMPUTED_VALUE"""),1.0)</f>
        <v>1</v>
      </c>
      <c r="D35" s="66">
        <f>IFERROR(__xludf.DUMMYFUNCTION("""COMPUTED_VALUE"""),382.0)</f>
        <v>382</v>
      </c>
      <c r="E35" s="66">
        <f>IFERROR(__xludf.DUMMYFUNCTION("""COMPUTED_VALUE"""),10.0)</f>
        <v>10</v>
      </c>
      <c r="F35" s="67" t="str">
        <f>IFERROR(__xludf.DUMMYFUNCTION("""COMPUTED_VALUE"""),"https://www.google.com/maps/search/?api=1&amp;query=-30.9068413277749,-55.5432232033536")</f>
        <v>https://www.google.com/maps/search/?api=1&amp;query=-30.9068413277749,-55.5432232033536</v>
      </c>
      <c r="G35" s="68" t="str">
        <f>IFERROR(__xludf.DUMMYFUNCTION("""COMPUTED_VALUE"""),"https://earth.google.com/web/search/-30.9068413277749,-55.5432232033536")</f>
        <v>https://earth.google.com/web/search/-30.9068413277749,-55.5432232033536</v>
      </c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</row>
    <row r="36">
      <c r="A36" s="69" t="str">
        <f>IFERROR(__xludf.DUMMYFUNCTION("""COMPUTED_VALUE"""),"-30.9067932269615")</f>
        <v>-30.9067932269615</v>
      </c>
      <c r="B36" s="61" t="str">
        <f>IFERROR(__xludf.DUMMYFUNCTION("""COMPUTED_VALUE"""),"-55.5433067577572")</f>
        <v>-55.5433067577572</v>
      </c>
      <c r="C36" s="61">
        <f>IFERROR(__xludf.DUMMYFUNCTION("""COMPUTED_VALUE"""),1.0)</f>
        <v>1</v>
      </c>
      <c r="D36" s="61">
        <f>IFERROR(__xludf.DUMMYFUNCTION("""COMPUTED_VALUE"""),382.0)</f>
        <v>382</v>
      </c>
      <c r="E36" s="61">
        <f>IFERROR(__xludf.DUMMYFUNCTION("""COMPUTED_VALUE"""),11.0)</f>
        <v>11</v>
      </c>
      <c r="F36" s="62" t="str">
        <f>IFERROR(__xludf.DUMMYFUNCTION("""COMPUTED_VALUE"""),"https://www.google.com/maps/search/?api=1&amp;query=-30.9067932269615,-55.5433067577572")</f>
        <v>https://www.google.com/maps/search/?api=1&amp;query=-30.9067932269615,-55.5433067577572</v>
      </c>
      <c r="G36" s="63" t="str">
        <f>IFERROR(__xludf.DUMMYFUNCTION("""COMPUTED_VALUE"""),"https://earth.google.com/web/search/-30.9067932269615,-55.5433067577572")</f>
        <v>https://earth.google.com/web/search/-30.9067932269615,-55.5433067577572</v>
      </c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</row>
    <row r="37">
      <c r="A37" s="65" t="str">
        <f>IFERROR(__xludf.DUMMYFUNCTION("""COMPUTED_VALUE"""),"-30.9067659259172")</f>
        <v>-30.9067659259172</v>
      </c>
      <c r="B37" s="66" t="str">
        <f>IFERROR(__xludf.DUMMYFUNCTION("""COMPUTED_VALUE"""),"-55.5434602654541")</f>
        <v>-55.5434602654541</v>
      </c>
      <c r="C37" s="66">
        <f>IFERROR(__xludf.DUMMYFUNCTION("""COMPUTED_VALUE"""),1.0)</f>
        <v>1</v>
      </c>
      <c r="D37" s="66">
        <f>IFERROR(__xludf.DUMMYFUNCTION("""COMPUTED_VALUE"""),382.0)</f>
        <v>382</v>
      </c>
      <c r="E37" s="66">
        <f>IFERROR(__xludf.DUMMYFUNCTION("""COMPUTED_VALUE"""),12.0)</f>
        <v>12</v>
      </c>
      <c r="F37" s="67" t="str">
        <f>IFERROR(__xludf.DUMMYFUNCTION("""COMPUTED_VALUE"""),"https://www.google.com/maps/search/?api=1&amp;query=-30.9067659259172,-55.5434602654541")</f>
        <v>https://www.google.com/maps/search/?api=1&amp;query=-30.9067659259172,-55.5434602654541</v>
      </c>
      <c r="G37" s="68" t="str">
        <f>IFERROR(__xludf.DUMMYFUNCTION("""COMPUTED_VALUE"""),"https://earth.google.com/web/search/-30.9067659259172,-55.5434602654541")</f>
        <v>https://earth.google.com/web/search/-30.9067659259172,-55.5434602654541</v>
      </c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</row>
    <row r="38">
      <c r="A38" s="69" t="str">
        <f>IFERROR(__xludf.DUMMYFUNCTION("""COMPUTED_VALUE"""),"-30.9068299118868")</f>
        <v>-30.9068299118868</v>
      </c>
      <c r="B38" s="61" t="str">
        <f>IFERROR(__xludf.DUMMYFUNCTION("""COMPUTED_VALUE"""),"-55.5434995658306")</f>
        <v>-55.5434995658306</v>
      </c>
      <c r="C38" s="61">
        <f>IFERROR(__xludf.DUMMYFUNCTION("""COMPUTED_VALUE"""),1.0)</f>
        <v>1</v>
      </c>
      <c r="D38" s="61">
        <f>IFERROR(__xludf.DUMMYFUNCTION("""COMPUTED_VALUE"""),382.0)</f>
        <v>382</v>
      </c>
      <c r="E38" s="61">
        <f>IFERROR(__xludf.DUMMYFUNCTION("""COMPUTED_VALUE"""),13.0)</f>
        <v>13</v>
      </c>
      <c r="F38" s="62" t="str">
        <f>IFERROR(__xludf.DUMMYFUNCTION("""COMPUTED_VALUE"""),"https://www.google.com/maps/search/?api=1&amp;query=-30.9068299118868,-55.5434995658306")</f>
        <v>https://www.google.com/maps/search/?api=1&amp;query=-30.9068299118868,-55.5434995658306</v>
      </c>
      <c r="G38" s="63" t="str">
        <f>IFERROR(__xludf.DUMMYFUNCTION("""COMPUTED_VALUE"""),"https://earth.google.com/web/search/-30.9068299118868,-55.5434995658306")</f>
        <v>https://earth.google.com/web/search/-30.9068299118868,-55.5434995658306</v>
      </c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</row>
    <row r="39">
      <c r="A39" s="65" t="str">
        <f>IFERROR(__xludf.DUMMYFUNCTION("""COMPUTED_VALUE"""),"-30.9070328985863")</f>
        <v>-30.9070328985863</v>
      </c>
      <c r="B39" s="66" t="str">
        <f>IFERROR(__xludf.DUMMYFUNCTION("""COMPUTED_VALUE"""),"-55.5436463693993")</f>
        <v>-55.5436463693993</v>
      </c>
      <c r="C39" s="66">
        <f>IFERROR(__xludf.DUMMYFUNCTION("""COMPUTED_VALUE"""),1.0)</f>
        <v>1</v>
      </c>
      <c r="D39" s="66">
        <f>IFERROR(__xludf.DUMMYFUNCTION("""COMPUTED_VALUE"""),382.0)</f>
        <v>382</v>
      </c>
      <c r="E39" s="66">
        <f>IFERROR(__xludf.DUMMYFUNCTION("""COMPUTED_VALUE"""),14.0)</f>
        <v>14</v>
      </c>
      <c r="F39" s="67" t="str">
        <f>IFERROR(__xludf.DUMMYFUNCTION("""COMPUTED_VALUE"""),"https://www.google.com/maps/search/?api=1&amp;query=-30.9070328985863,-55.5436463693993")</f>
        <v>https://www.google.com/maps/search/?api=1&amp;query=-30.9070328985863,-55.5436463693993</v>
      </c>
      <c r="G39" s="68" t="str">
        <f>IFERROR(__xludf.DUMMYFUNCTION("""COMPUTED_VALUE"""),"https://earth.google.com/web/search/-30.9070328985863,-55.5436463693993")</f>
        <v>https://earth.google.com/web/search/-30.9070328985863,-55.5436463693993</v>
      </c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</row>
    <row r="40">
      <c r="A40" s="69" t="str">
        <f>IFERROR(__xludf.DUMMYFUNCTION("""COMPUTED_VALUE"""),"-30.9071088354935")</f>
        <v>-30.9071088354935</v>
      </c>
      <c r="B40" s="61" t="str">
        <f>IFERROR(__xludf.DUMMYFUNCTION("""COMPUTED_VALUE"""),"-55.5436987262569")</f>
        <v>-55.5436987262569</v>
      </c>
      <c r="C40" s="61">
        <f>IFERROR(__xludf.DUMMYFUNCTION("""COMPUTED_VALUE"""),1.0)</f>
        <v>1</v>
      </c>
      <c r="D40" s="61">
        <f>IFERROR(__xludf.DUMMYFUNCTION("""COMPUTED_VALUE"""),382.0)</f>
        <v>382</v>
      </c>
      <c r="E40" s="61">
        <f>IFERROR(__xludf.DUMMYFUNCTION("""COMPUTED_VALUE"""),15.0)</f>
        <v>15</v>
      </c>
      <c r="F40" s="62" t="str">
        <f>IFERROR(__xludf.DUMMYFUNCTION("""COMPUTED_VALUE"""),"https://www.google.com/maps/search/?api=1&amp;query=-30.9071088354935,-55.5436987262569")</f>
        <v>https://www.google.com/maps/search/?api=1&amp;query=-30.9071088354935,-55.5436987262569</v>
      </c>
      <c r="G40" s="63" t="str">
        <f>IFERROR(__xludf.DUMMYFUNCTION("""COMPUTED_VALUE"""),"https://earth.google.com/web/search/-30.9071088354935,-55.5436987262569")</f>
        <v>https://earth.google.com/web/search/-30.9071088354935,-55.5436987262569</v>
      </c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</row>
    <row r="41">
      <c r="A41" s="65" t="str">
        <f>IFERROR(__xludf.DUMMYFUNCTION("""COMPUTED_VALUE"""),"-30.9071502584214")</f>
        <v>-30.9071502584214</v>
      </c>
      <c r="B41" s="66" t="str">
        <f>IFERROR(__xludf.DUMMYFUNCTION("""COMPUTED_VALUE"""),"-55.5437317207205")</f>
        <v>-55.5437317207205</v>
      </c>
      <c r="C41" s="66">
        <f>IFERROR(__xludf.DUMMYFUNCTION("""COMPUTED_VALUE"""),1.0)</f>
        <v>1</v>
      </c>
      <c r="D41" s="66">
        <f>IFERROR(__xludf.DUMMYFUNCTION("""COMPUTED_VALUE"""),382.0)</f>
        <v>382</v>
      </c>
      <c r="E41" s="66">
        <f>IFERROR(__xludf.DUMMYFUNCTION("""COMPUTED_VALUE"""),16.0)</f>
        <v>16</v>
      </c>
      <c r="F41" s="67" t="str">
        <f>IFERROR(__xludf.DUMMYFUNCTION("""COMPUTED_VALUE"""),"https://www.google.com/maps/search/?api=1&amp;query=-30.9071502584214,-55.5437317207205")</f>
        <v>https://www.google.com/maps/search/?api=1&amp;query=-30.9071502584214,-55.5437317207205</v>
      </c>
      <c r="G41" s="68" t="str">
        <f>IFERROR(__xludf.DUMMYFUNCTION("""COMPUTED_VALUE"""),"https://earth.google.com/web/search/-30.9071502584214,-55.5437317207205")</f>
        <v>https://earth.google.com/web/search/-30.9071502584214,-55.5437317207205</v>
      </c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</row>
    <row r="42">
      <c r="A42" s="69" t="str">
        <f>IFERROR(__xludf.DUMMYFUNCTION("""COMPUTED_VALUE"""),"-30.9072288023408")</f>
        <v>-30.9072288023408</v>
      </c>
      <c r="B42" s="61" t="str">
        <f>IFERROR(__xludf.DUMMYFUNCTION("""COMPUTED_VALUE"""),"-55.5437843609142")</f>
        <v>-55.5437843609142</v>
      </c>
      <c r="C42" s="61">
        <f>IFERROR(__xludf.DUMMYFUNCTION("""COMPUTED_VALUE"""),1.0)</f>
        <v>1</v>
      </c>
      <c r="D42" s="61">
        <f>IFERROR(__xludf.DUMMYFUNCTION("""COMPUTED_VALUE"""),382.0)</f>
        <v>382</v>
      </c>
      <c r="E42" s="61">
        <f>IFERROR(__xludf.DUMMYFUNCTION("""COMPUTED_VALUE"""),17.0)</f>
        <v>17</v>
      </c>
      <c r="F42" s="62" t="str">
        <f>IFERROR(__xludf.DUMMYFUNCTION("""COMPUTED_VALUE"""),"https://www.google.com/maps/search/?api=1&amp;query=-30.9072288023408,-55.5437843609142")</f>
        <v>https://www.google.com/maps/search/?api=1&amp;query=-30.9072288023408,-55.5437843609142</v>
      </c>
      <c r="G42" s="63" t="str">
        <f>IFERROR(__xludf.DUMMYFUNCTION("""COMPUTED_VALUE"""),"https://earth.google.com/web/search/-30.9072288023408,-55.5437843609142")</f>
        <v>https://earth.google.com/web/search/-30.9072288023408,-55.5437843609142</v>
      </c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</row>
    <row r="43">
      <c r="A43" s="65" t="str">
        <f>IFERROR(__xludf.DUMMYFUNCTION("""COMPUTED_VALUE"""),"-30.9073004928676")</f>
        <v>-30.9073004928676</v>
      </c>
      <c r="B43" s="66" t="str">
        <f>IFERROR(__xludf.DUMMYFUNCTION("""COMPUTED_VALUE"""),"-55.5438249711472")</f>
        <v>-55.5438249711472</v>
      </c>
      <c r="C43" s="66">
        <f>IFERROR(__xludf.DUMMYFUNCTION("""COMPUTED_VALUE"""),1.0)</f>
        <v>1</v>
      </c>
      <c r="D43" s="66">
        <f>IFERROR(__xludf.DUMMYFUNCTION("""COMPUTED_VALUE"""),382.0)</f>
        <v>382</v>
      </c>
      <c r="E43" s="66">
        <f>IFERROR(__xludf.DUMMYFUNCTION("""COMPUTED_VALUE"""),18.0)</f>
        <v>18</v>
      </c>
      <c r="F43" s="67" t="str">
        <f>IFERROR(__xludf.DUMMYFUNCTION("""COMPUTED_VALUE"""),"https://www.google.com/maps/search/?api=1&amp;query=-30.9073004928676,-55.5438249711472")</f>
        <v>https://www.google.com/maps/search/?api=1&amp;query=-30.9073004928676,-55.5438249711472</v>
      </c>
      <c r="G43" s="68" t="str">
        <f>IFERROR(__xludf.DUMMYFUNCTION("""COMPUTED_VALUE"""),"https://earth.google.com/web/search/-30.9073004928676,-55.5438249711472")</f>
        <v>https://earth.google.com/web/search/-30.9073004928676,-55.5438249711472</v>
      </c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</row>
    <row r="44">
      <c r="A44" s="69" t="str">
        <f>IFERROR(__xludf.DUMMYFUNCTION("""COMPUTED_VALUE"""),"-30.9071056056609")</f>
        <v>-30.9071056056609</v>
      </c>
      <c r="B44" s="61" t="str">
        <f>IFERROR(__xludf.DUMMYFUNCTION("""COMPUTED_VALUE"""),"-55.5445685897008")</f>
        <v>-55.5445685897008</v>
      </c>
      <c r="C44" s="61">
        <f>IFERROR(__xludf.DUMMYFUNCTION("""COMPUTED_VALUE"""),1.0)</f>
        <v>1</v>
      </c>
      <c r="D44" s="61">
        <f>IFERROR(__xludf.DUMMYFUNCTION("""COMPUTED_VALUE"""),383.0)</f>
        <v>383</v>
      </c>
      <c r="E44" s="61">
        <f>IFERROR(__xludf.DUMMYFUNCTION("""COMPUTED_VALUE"""),1.0)</f>
        <v>1</v>
      </c>
      <c r="F44" s="62" t="str">
        <f>IFERROR(__xludf.DUMMYFUNCTION("""COMPUTED_VALUE"""),"https://www.google.com/maps/search/?api=1&amp;query=-30.9071056056609,-55.5445685897008")</f>
        <v>https://www.google.com/maps/search/?api=1&amp;query=-30.9071056056609,-55.5445685897008</v>
      </c>
      <c r="G44" s="63" t="str">
        <f>IFERROR(__xludf.DUMMYFUNCTION("""COMPUTED_VALUE"""),"https://earth.google.com/web/search/-30.9071056056609,-55.5445685897008")</f>
        <v>https://earth.google.com/web/search/-30.9071056056609,-55.5445685897008</v>
      </c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</row>
    <row r="45">
      <c r="A45" s="65" t="str">
        <f>IFERROR(__xludf.DUMMYFUNCTION("""COMPUTED_VALUE"""),"-30.9071297727334")</f>
        <v>-30.9071297727334</v>
      </c>
      <c r="B45" s="66" t="str">
        <f>IFERROR(__xludf.DUMMYFUNCTION("""COMPUTED_VALUE"""),"-55.5445367111796")</f>
        <v>-55.5445367111796</v>
      </c>
      <c r="C45" s="66">
        <f>IFERROR(__xludf.DUMMYFUNCTION("""COMPUTED_VALUE"""),1.0)</f>
        <v>1</v>
      </c>
      <c r="D45" s="66">
        <f>IFERROR(__xludf.DUMMYFUNCTION("""COMPUTED_VALUE"""),383.0)</f>
        <v>383</v>
      </c>
      <c r="E45" s="66">
        <f>IFERROR(__xludf.DUMMYFUNCTION("""COMPUTED_VALUE"""),2.0)</f>
        <v>2</v>
      </c>
      <c r="F45" s="67" t="str">
        <f>IFERROR(__xludf.DUMMYFUNCTION("""COMPUTED_VALUE"""),"https://www.google.com/maps/search/?api=1&amp;query=-30.9071297727334,-55.5445367111796")</f>
        <v>https://www.google.com/maps/search/?api=1&amp;query=-30.9071297727334,-55.5445367111796</v>
      </c>
      <c r="G45" s="68" t="str">
        <f>IFERROR(__xludf.DUMMYFUNCTION("""COMPUTED_VALUE"""),"https://earth.google.com/web/search/-30.9071297727334,-55.5445367111796")</f>
        <v>https://earth.google.com/web/search/-30.9071297727334,-55.5445367111796</v>
      </c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</row>
    <row r="46">
      <c r="A46" s="69" t="str">
        <f>IFERROR(__xludf.DUMMYFUNCTION("""COMPUTED_VALUE"""),"-30.9071733943285")</f>
        <v>-30.9071733943285</v>
      </c>
      <c r="B46" s="61" t="str">
        <f>IFERROR(__xludf.DUMMYFUNCTION("""COMPUTED_VALUE"""),"-55.5444300996043")</f>
        <v>-55.5444300996043</v>
      </c>
      <c r="C46" s="61">
        <f>IFERROR(__xludf.DUMMYFUNCTION("""COMPUTED_VALUE"""),1.0)</f>
        <v>1</v>
      </c>
      <c r="D46" s="61">
        <f>IFERROR(__xludf.DUMMYFUNCTION("""COMPUTED_VALUE"""),383.0)</f>
        <v>383</v>
      </c>
      <c r="E46" s="61">
        <f>IFERROR(__xludf.DUMMYFUNCTION("""COMPUTED_VALUE"""),3.0)</f>
        <v>3</v>
      </c>
      <c r="F46" s="62" t="str">
        <f>IFERROR(__xludf.DUMMYFUNCTION("""COMPUTED_VALUE"""),"https://www.google.com/maps/search/?api=1&amp;query=-30.9071733943285,-55.5444300996043")</f>
        <v>https://www.google.com/maps/search/?api=1&amp;query=-30.9071733943285,-55.5444300996043</v>
      </c>
      <c r="G46" s="63" t="str">
        <f>IFERROR(__xludf.DUMMYFUNCTION("""COMPUTED_VALUE"""),"https://earth.google.com/web/search/-30.9071733943285,-55.5444300996043")</f>
        <v>https://earth.google.com/web/search/-30.9071733943285,-55.5444300996043</v>
      </c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</row>
    <row r="47">
      <c r="A47" s="65" t="str">
        <f>IFERROR(__xludf.DUMMYFUNCTION("""COMPUTED_VALUE"""),"-30.9072143978296")</f>
        <v>-30.9072143978296</v>
      </c>
      <c r="B47" s="66" t="str">
        <f>IFERROR(__xludf.DUMMYFUNCTION("""COMPUTED_VALUE"""),"-55.5443573171663")</f>
        <v>-55.5443573171663</v>
      </c>
      <c r="C47" s="66">
        <f>IFERROR(__xludf.DUMMYFUNCTION("""COMPUTED_VALUE"""),1.0)</f>
        <v>1</v>
      </c>
      <c r="D47" s="66">
        <f>IFERROR(__xludf.DUMMYFUNCTION("""COMPUTED_VALUE"""),383.0)</f>
        <v>383</v>
      </c>
      <c r="E47" s="66">
        <f>IFERROR(__xludf.DUMMYFUNCTION("""COMPUTED_VALUE"""),4.0)</f>
        <v>4</v>
      </c>
      <c r="F47" s="67" t="str">
        <f>IFERROR(__xludf.DUMMYFUNCTION("""COMPUTED_VALUE"""),"https://www.google.com/maps/search/?api=1&amp;query=-30.9072143978296,-55.5443573171663")</f>
        <v>https://www.google.com/maps/search/?api=1&amp;query=-30.9072143978296,-55.5443573171663</v>
      </c>
      <c r="G47" s="68" t="str">
        <f>IFERROR(__xludf.DUMMYFUNCTION("""COMPUTED_VALUE"""),"https://earth.google.com/web/search/-30.9072143978296,-55.5443573171663")</f>
        <v>https://earth.google.com/web/search/-30.9072143978296,-55.5443573171663</v>
      </c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</row>
    <row r="48">
      <c r="A48" s="69" t="str">
        <f>IFERROR(__xludf.DUMMYFUNCTION("""COMPUTED_VALUE"""),"-30.9070738360768")</f>
        <v>-30.9070738360768</v>
      </c>
      <c r="B48" s="61" t="str">
        <f>IFERROR(__xludf.DUMMYFUNCTION("""COMPUTED_VALUE"""),"-55.5437918760122")</f>
        <v>-55.5437918760122</v>
      </c>
      <c r="C48" s="61">
        <f>IFERROR(__xludf.DUMMYFUNCTION("""COMPUTED_VALUE"""),1.0)</f>
        <v>1</v>
      </c>
      <c r="D48" s="61">
        <f>IFERROR(__xludf.DUMMYFUNCTION("""COMPUTED_VALUE"""),383.0)</f>
        <v>383</v>
      </c>
      <c r="E48" s="61">
        <f>IFERROR(__xludf.DUMMYFUNCTION("""COMPUTED_VALUE"""),5.0)</f>
        <v>5</v>
      </c>
      <c r="F48" s="62" t="str">
        <f>IFERROR(__xludf.DUMMYFUNCTION("""COMPUTED_VALUE"""),"https://www.google.com/maps/search/?api=1&amp;query=-30.9070738360768,-55.5437918760122")</f>
        <v>https://www.google.com/maps/search/?api=1&amp;query=-30.9070738360768,-55.5437918760122</v>
      </c>
      <c r="G48" s="63" t="str">
        <f>IFERROR(__xludf.DUMMYFUNCTION("""COMPUTED_VALUE"""),"https://earth.google.com/web/search/-30.9070738360768,-55.5437918760122")</f>
        <v>https://earth.google.com/web/search/-30.9070738360768,-55.5437918760122</v>
      </c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</row>
    <row r="49">
      <c r="A49" s="65" t="str">
        <f>IFERROR(__xludf.DUMMYFUNCTION("""COMPUTED_VALUE"""),"-30.9070262533773")</f>
        <v>-30.9070262533773</v>
      </c>
      <c r="B49" s="66" t="str">
        <f>IFERROR(__xludf.DUMMYFUNCTION("""COMPUTED_VALUE"""),"-55.5437583170688")</f>
        <v>-55.5437583170688</v>
      </c>
      <c r="C49" s="66">
        <f>IFERROR(__xludf.DUMMYFUNCTION("""COMPUTED_VALUE"""),1.0)</f>
        <v>1</v>
      </c>
      <c r="D49" s="66">
        <f>IFERROR(__xludf.DUMMYFUNCTION("""COMPUTED_VALUE"""),383.0)</f>
        <v>383</v>
      </c>
      <c r="E49" s="66">
        <f>IFERROR(__xludf.DUMMYFUNCTION("""COMPUTED_VALUE"""),6.0)</f>
        <v>6</v>
      </c>
      <c r="F49" s="67" t="str">
        <f>IFERROR(__xludf.DUMMYFUNCTION("""COMPUTED_VALUE"""),"https://www.google.com/maps/search/?api=1&amp;query=-30.9070262533773,-55.5437583170688")</f>
        <v>https://www.google.com/maps/search/?api=1&amp;query=-30.9070262533773,-55.5437583170688</v>
      </c>
      <c r="G49" s="68" t="str">
        <f>IFERROR(__xludf.DUMMYFUNCTION("""COMPUTED_VALUE"""),"https://earth.google.com/web/search/-30.9070262533773,-55.5437583170688")</f>
        <v>https://earth.google.com/web/search/-30.9070262533773,-55.5437583170688</v>
      </c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</row>
    <row r="50">
      <c r="A50" s="69" t="str">
        <f>IFERROR(__xludf.DUMMYFUNCTION("""COMPUTED_VALUE"""),"-30.9069785384216")</f>
        <v>-30.9069785384216</v>
      </c>
      <c r="B50" s="61" t="str">
        <f>IFERROR(__xludf.DUMMYFUNCTION("""COMPUTED_VALUE"""),"-55.5437182302132")</f>
        <v>-55.5437182302132</v>
      </c>
      <c r="C50" s="61">
        <f>IFERROR(__xludf.DUMMYFUNCTION("""COMPUTED_VALUE"""),1.0)</f>
        <v>1</v>
      </c>
      <c r="D50" s="61">
        <f>IFERROR(__xludf.DUMMYFUNCTION("""COMPUTED_VALUE"""),383.0)</f>
        <v>383</v>
      </c>
      <c r="E50" s="61">
        <f>IFERROR(__xludf.DUMMYFUNCTION("""COMPUTED_VALUE"""),7.0)</f>
        <v>7</v>
      </c>
      <c r="F50" s="62" t="str">
        <f>IFERROR(__xludf.DUMMYFUNCTION("""COMPUTED_VALUE"""),"https://www.google.com/maps/search/?api=1&amp;query=-30.9069785384216,-55.5437182302132")</f>
        <v>https://www.google.com/maps/search/?api=1&amp;query=-30.9069785384216,-55.5437182302132</v>
      </c>
      <c r="G50" s="63" t="str">
        <f>IFERROR(__xludf.DUMMYFUNCTION("""COMPUTED_VALUE"""),"https://earth.google.com/web/search/-30.9069785384216,-55.5437182302132")</f>
        <v>https://earth.google.com/web/search/-30.9069785384216,-55.5437182302132</v>
      </c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</row>
    <row r="51">
      <c r="A51" s="65" t="str">
        <f>IFERROR(__xludf.DUMMYFUNCTION("""COMPUTED_VALUE"""),"-30.9068490182866")</f>
        <v>-30.9068490182866</v>
      </c>
      <c r="B51" s="66" t="str">
        <f>IFERROR(__xludf.DUMMYFUNCTION("""COMPUTED_VALUE"""),"-55.5436226264196")</f>
        <v>-55.5436226264196</v>
      </c>
      <c r="C51" s="66">
        <f>IFERROR(__xludf.DUMMYFUNCTION("""COMPUTED_VALUE"""),1.0)</f>
        <v>1</v>
      </c>
      <c r="D51" s="66">
        <f>IFERROR(__xludf.DUMMYFUNCTION("""COMPUTED_VALUE"""),383.0)</f>
        <v>383</v>
      </c>
      <c r="E51" s="66">
        <f>IFERROR(__xludf.DUMMYFUNCTION("""COMPUTED_VALUE"""),8.0)</f>
        <v>8</v>
      </c>
      <c r="F51" s="67" t="str">
        <f>IFERROR(__xludf.DUMMYFUNCTION("""COMPUTED_VALUE"""),"https://www.google.com/maps/search/?api=1&amp;query=-30.9068490182866,-55.5436226264196")</f>
        <v>https://www.google.com/maps/search/?api=1&amp;query=-30.9068490182866,-55.5436226264196</v>
      </c>
      <c r="G51" s="68" t="str">
        <f>IFERROR(__xludf.DUMMYFUNCTION("""COMPUTED_VALUE"""),"https://earth.google.com/web/search/-30.9068490182866,-55.5436226264196")</f>
        <v>https://earth.google.com/web/search/-30.9068490182866,-55.5436226264196</v>
      </c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</row>
    <row r="52">
      <c r="A52" s="69" t="str">
        <f>IFERROR(__xludf.DUMMYFUNCTION("""COMPUTED_VALUE"""),"-30.9067491384722")</f>
        <v>-30.9067491384722</v>
      </c>
      <c r="B52" s="61" t="str">
        <f>IFERROR(__xludf.DUMMYFUNCTION("""COMPUTED_VALUE"""),"-55.5435661765314")</f>
        <v>-55.5435661765314</v>
      </c>
      <c r="C52" s="61">
        <f>IFERROR(__xludf.DUMMYFUNCTION("""COMPUTED_VALUE"""),1.0)</f>
        <v>1</v>
      </c>
      <c r="D52" s="61">
        <f>IFERROR(__xludf.DUMMYFUNCTION("""COMPUTED_VALUE"""),383.0)</f>
        <v>383</v>
      </c>
      <c r="E52" s="61">
        <f>IFERROR(__xludf.DUMMYFUNCTION("""COMPUTED_VALUE"""),9.0)</f>
        <v>9</v>
      </c>
      <c r="F52" s="62" t="str">
        <f>IFERROR(__xludf.DUMMYFUNCTION("""COMPUTED_VALUE"""),"https://www.google.com/maps/search/?api=1&amp;query=-30.9067491384722,-55.5435661765314")</f>
        <v>https://www.google.com/maps/search/?api=1&amp;query=-30.9067491384722,-55.5435661765314</v>
      </c>
      <c r="G52" s="63" t="str">
        <f>IFERROR(__xludf.DUMMYFUNCTION("""COMPUTED_VALUE"""),"https://earth.google.com/web/search/-30.9067491384722,-55.5435661765314")</f>
        <v>https://earth.google.com/web/search/-30.9067491384722,-55.5435661765314</v>
      </c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</row>
    <row r="53">
      <c r="A53" s="65" t="str">
        <f>IFERROR(__xludf.DUMMYFUNCTION("""COMPUTED_VALUE"""),"-30.9065389182527")</f>
        <v>-30.9065389182527</v>
      </c>
      <c r="B53" s="66" t="str">
        <f>IFERROR(__xludf.DUMMYFUNCTION("""COMPUTED_VALUE"""),"-5.5543764634981")</f>
        <v>-5.5543764634981</v>
      </c>
      <c r="C53" s="66">
        <f>IFERROR(__xludf.DUMMYFUNCTION("""COMPUTED_VALUE"""),1.0)</f>
        <v>1</v>
      </c>
      <c r="D53" s="66">
        <f>IFERROR(__xludf.DUMMYFUNCTION("""COMPUTED_VALUE"""),383.0)</f>
        <v>383</v>
      </c>
      <c r="E53" s="66">
        <f>IFERROR(__xludf.DUMMYFUNCTION("""COMPUTED_VALUE"""),10.0)</f>
        <v>10</v>
      </c>
      <c r="F53" s="67" t="str">
        <f>IFERROR(__xludf.DUMMYFUNCTION("""COMPUTED_VALUE"""),"https://www.google.com/maps/search/?api=1&amp;query=-30.9065389182527,-5.5543764634981")</f>
        <v>https://www.google.com/maps/search/?api=1&amp;query=-30.9065389182527,-5.5543764634981</v>
      </c>
      <c r="G53" s="68" t="str">
        <f>IFERROR(__xludf.DUMMYFUNCTION("""COMPUTED_VALUE"""),"https://earth.google.com/web/search/-30.9065389182527,-5.5543764634981")</f>
        <v>https://earth.google.com/web/search/-30.9065389182527,-5.5543764634981</v>
      </c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</row>
    <row r="54">
      <c r="A54" s="69" t="str">
        <f>IFERROR(__xludf.DUMMYFUNCTION("""COMPUTED_VALUE"""),"-30.9064708260981")</f>
        <v>-30.9064708260981</v>
      </c>
      <c r="B54" s="61" t="str">
        <f>IFERROR(__xludf.DUMMYFUNCTION("""COMPUTED_VALUE"""),"-55.5439270306378")</f>
        <v>-55.5439270306378</v>
      </c>
      <c r="C54" s="61">
        <f>IFERROR(__xludf.DUMMYFUNCTION("""COMPUTED_VALUE"""),1.0)</f>
        <v>1</v>
      </c>
      <c r="D54" s="61">
        <f>IFERROR(__xludf.DUMMYFUNCTION("""COMPUTED_VALUE"""),383.0)</f>
        <v>383</v>
      </c>
      <c r="E54" s="61">
        <f>IFERROR(__xludf.DUMMYFUNCTION("""COMPUTED_VALUE"""),11.0)</f>
        <v>11</v>
      </c>
      <c r="F54" s="62" t="str">
        <f>IFERROR(__xludf.DUMMYFUNCTION("""COMPUTED_VALUE"""),"https://www.google.com/maps/search/?api=1&amp;query=-30.9064708260981,-55.5439270306378")</f>
        <v>https://www.google.com/maps/search/?api=1&amp;query=-30.9064708260981,-55.5439270306378</v>
      </c>
      <c r="G54" s="63" t="str">
        <f>IFERROR(__xludf.DUMMYFUNCTION("""COMPUTED_VALUE"""),"https://earth.google.com/web/search/-30.9064708260981,-55.5439270306378")</f>
        <v>https://earth.google.com/web/search/-30.9064708260981,-55.5439270306378</v>
      </c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</row>
    <row r="55">
      <c r="A55" s="65" t="str">
        <f>IFERROR(__xludf.DUMMYFUNCTION("""COMPUTED_VALUE"""),"-30.9063766871876")</f>
        <v>-30.9063766871876</v>
      </c>
      <c r="B55" s="66" t="str">
        <f>IFERROR(__xludf.DUMMYFUNCTION("""COMPUTED_VALUE"""),"-55.5440925567203")</f>
        <v>-55.5440925567203</v>
      </c>
      <c r="C55" s="66">
        <f>IFERROR(__xludf.DUMMYFUNCTION("""COMPUTED_VALUE"""),1.0)</f>
        <v>1</v>
      </c>
      <c r="D55" s="66">
        <f>IFERROR(__xludf.DUMMYFUNCTION("""COMPUTED_VALUE"""),383.0)</f>
        <v>383</v>
      </c>
      <c r="E55" s="66">
        <f>IFERROR(__xludf.DUMMYFUNCTION("""COMPUTED_VALUE"""),12.0)</f>
        <v>12</v>
      </c>
      <c r="F55" s="67" t="str">
        <f>IFERROR(__xludf.DUMMYFUNCTION("""COMPUTED_VALUE"""),"https://www.google.com/maps/search/?api=1&amp;query=-30.9063766871876,-55.5440925567203")</f>
        <v>https://www.google.com/maps/search/?api=1&amp;query=-30.9063766871876,-55.5440925567203</v>
      </c>
      <c r="G55" s="68" t="str">
        <f>IFERROR(__xludf.DUMMYFUNCTION("""COMPUTED_VALUE"""),"https://earth.google.com/web/search/-30.9063766871876,-55.5440925567203")</f>
        <v>https://earth.google.com/web/search/-30.9063766871876,-55.5440925567203</v>
      </c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</row>
    <row r="56">
      <c r="A56" s="69" t="str">
        <f>IFERROR(__xludf.DUMMYFUNCTION("""COMPUTED_VALUE"""),"-30.9063286471819")</f>
        <v>-30.9063286471819</v>
      </c>
      <c r="B56" s="61" t="str">
        <f>IFERROR(__xludf.DUMMYFUNCTION("""COMPUTED_VALUE"""),"-55.5441819980959")</f>
        <v>-55.5441819980959</v>
      </c>
      <c r="C56" s="61">
        <f>IFERROR(__xludf.DUMMYFUNCTION("""COMPUTED_VALUE"""),1.0)</f>
        <v>1</v>
      </c>
      <c r="D56" s="61">
        <f>IFERROR(__xludf.DUMMYFUNCTION("""COMPUTED_VALUE"""),383.0)</f>
        <v>383</v>
      </c>
      <c r="E56" s="61">
        <f>IFERROR(__xludf.DUMMYFUNCTION("""COMPUTED_VALUE"""),13.0)</f>
        <v>13</v>
      </c>
      <c r="F56" s="62" t="str">
        <f>IFERROR(__xludf.DUMMYFUNCTION("""COMPUTED_VALUE"""),"https://www.google.com/maps/search/?api=1&amp;query=-30.9063286471819,-55.5441819980959")</f>
        <v>https://www.google.com/maps/search/?api=1&amp;query=-30.9063286471819,-55.5441819980959</v>
      </c>
      <c r="G56" s="63" t="str">
        <f>IFERROR(__xludf.DUMMYFUNCTION("""COMPUTED_VALUE"""),"https://earth.google.com/web/search/-30.9063286471819,-55.5441819980959")</f>
        <v>https://earth.google.com/web/search/-30.9063286471819,-55.5441819980959</v>
      </c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</row>
    <row r="57">
      <c r="A57" s="65" t="str">
        <f>IFERROR(__xludf.DUMMYFUNCTION("""COMPUTED_VALUE"""),"-3.0906305108685")</f>
        <v>-3.0906305108685</v>
      </c>
      <c r="B57" s="66" t="str">
        <f>IFERROR(__xludf.DUMMYFUNCTION("""COMPUTED_VALUE"""),"-55.5443622899591")</f>
        <v>-55.5443622899591</v>
      </c>
      <c r="C57" s="66">
        <f>IFERROR(__xludf.DUMMYFUNCTION("""COMPUTED_VALUE"""),1.0)</f>
        <v>1</v>
      </c>
      <c r="D57" s="66">
        <f>IFERROR(__xludf.DUMMYFUNCTION("""COMPUTED_VALUE"""),383.0)</f>
        <v>383</v>
      </c>
      <c r="E57" s="66">
        <f>IFERROR(__xludf.DUMMYFUNCTION("""COMPUTED_VALUE"""),14.0)</f>
        <v>14</v>
      </c>
      <c r="F57" s="67" t="str">
        <f>IFERROR(__xludf.DUMMYFUNCTION("""COMPUTED_VALUE"""),"https://www.google.com/maps/search/?api=1&amp;query=-3.0906305108685,-55.5443622899591")</f>
        <v>https://www.google.com/maps/search/?api=1&amp;query=-3.0906305108685,-55.5443622899591</v>
      </c>
      <c r="G57" s="68" t="str">
        <f>IFERROR(__xludf.DUMMYFUNCTION("""COMPUTED_VALUE"""),"https://earth.google.com/web/search/-3.0906305108685,-55.5443622899591")</f>
        <v>https://earth.google.com/web/search/-3.0906305108685,-55.5443622899591</v>
      </c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</row>
    <row r="58">
      <c r="A58" s="69" t="str">
        <f>IFERROR(__xludf.DUMMYFUNCTION("""COMPUTED_VALUE"""),"-30.9063607014925")</f>
        <v>-30.9063607014925</v>
      </c>
      <c r="B58" s="61" t="str">
        <f>IFERROR(__xludf.DUMMYFUNCTION("""COMPUTED_VALUE"""),"-55.5443985830834")</f>
        <v>-55.5443985830834</v>
      </c>
      <c r="C58" s="61">
        <f>IFERROR(__xludf.DUMMYFUNCTION("""COMPUTED_VALUE"""),1.0)</f>
        <v>1</v>
      </c>
      <c r="D58" s="61">
        <f>IFERROR(__xludf.DUMMYFUNCTION("""COMPUTED_VALUE"""),373.0)</f>
        <v>373</v>
      </c>
      <c r="E58" s="61">
        <f>IFERROR(__xludf.DUMMYFUNCTION("""COMPUTED_VALUE"""),15.0)</f>
        <v>15</v>
      </c>
      <c r="F58" s="62" t="str">
        <f>IFERROR(__xludf.DUMMYFUNCTION("""COMPUTED_VALUE"""),"https://www.google.com/maps/search/?api=1&amp;query=-30.9063607014925,-55.5443985830834")</f>
        <v>https://www.google.com/maps/search/?api=1&amp;query=-30.9063607014925,-55.5443985830834</v>
      </c>
      <c r="G58" s="63" t="str">
        <f>IFERROR(__xludf.DUMMYFUNCTION("""COMPUTED_VALUE"""),"https://earth.google.com/web/search/-30.9063607014925,-55.5443985830834")</f>
        <v>https://earth.google.com/web/search/-30.9063607014925,-55.5443985830834</v>
      </c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</row>
    <row r="59">
      <c r="A59" s="65" t="str">
        <f>IFERROR(__xludf.DUMMYFUNCTION("""COMPUTED_VALUE"""),"-30.9064684296088")</f>
        <v>-30.9064684296088</v>
      </c>
      <c r="B59" s="66" t="str">
        <f>IFERROR(__xludf.DUMMYFUNCTION("""COMPUTED_VALUE"""),"-55.5444848959363")</f>
        <v>-55.5444848959363</v>
      </c>
      <c r="C59" s="66">
        <f>IFERROR(__xludf.DUMMYFUNCTION("""COMPUTED_VALUE"""),1.0)</f>
        <v>1</v>
      </c>
      <c r="D59" s="66">
        <f>IFERROR(__xludf.DUMMYFUNCTION("""COMPUTED_VALUE"""),383.0)</f>
        <v>383</v>
      </c>
      <c r="E59" s="66">
        <f>IFERROR(__xludf.DUMMYFUNCTION("""COMPUTED_VALUE"""),16.0)</f>
        <v>16</v>
      </c>
      <c r="F59" s="67" t="str">
        <f>IFERROR(__xludf.DUMMYFUNCTION("""COMPUTED_VALUE"""),"https://www.google.com/maps/search/?api=1&amp;query=-30.9064684296088,-55.5444848959363")</f>
        <v>https://www.google.com/maps/search/?api=1&amp;query=-30.9064684296088,-55.5444848959363</v>
      </c>
      <c r="G59" s="68" t="str">
        <f>IFERROR(__xludf.DUMMYFUNCTION("""COMPUTED_VALUE"""),"https://earth.google.com/web/search/-30.9064684296088,-55.5444848959363")</f>
        <v>https://earth.google.com/web/search/-30.9064684296088,-55.5444848959363</v>
      </c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</row>
    <row r="60">
      <c r="A60" s="69" t="str">
        <f>IFERROR(__xludf.DUMMYFUNCTION("""COMPUTED_VALUE"""),"-3.0906548129111")</f>
        <v>-3.0906548129111</v>
      </c>
      <c r="B60" s="61" t="str">
        <f>IFERROR(__xludf.DUMMYFUNCTION("""COMPUTED_VALUE"""),"-5.5544538307502")</f>
        <v>-5.5544538307502</v>
      </c>
      <c r="C60" s="61">
        <f>IFERROR(__xludf.DUMMYFUNCTION("""COMPUTED_VALUE"""),1.0)</f>
        <v>1</v>
      </c>
      <c r="D60" s="61">
        <f>IFERROR(__xludf.DUMMYFUNCTION("""COMPUTED_VALUE"""),383.0)</f>
        <v>383</v>
      </c>
      <c r="E60" s="61">
        <f>IFERROR(__xludf.DUMMYFUNCTION("""COMPUTED_VALUE"""),17.0)</f>
        <v>17</v>
      </c>
      <c r="F60" s="62" t="str">
        <f>IFERROR(__xludf.DUMMYFUNCTION("""COMPUTED_VALUE"""),"https://www.google.com/maps/search/?api=1&amp;query=-3.0906548129111,-5.5544538307502")</f>
        <v>https://www.google.com/maps/search/?api=1&amp;query=-3.0906548129111,-5.5544538307502</v>
      </c>
      <c r="G60" s="63" t="str">
        <f>IFERROR(__xludf.DUMMYFUNCTION("""COMPUTED_VALUE"""),"https://earth.google.com/web/search/-3.0906548129111,-5.5544538307502")</f>
        <v>https://earth.google.com/web/search/-3.0906548129111,-5.5544538307502</v>
      </c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</row>
    <row r="61">
      <c r="A61" s="65" t="str">
        <f>IFERROR(__xludf.DUMMYFUNCTION("""COMPUTED_VALUE"""),"-30.9066962702298")</f>
        <v>-30.9066962702298</v>
      </c>
      <c r="B61" s="66" t="str">
        <f>IFERROR(__xludf.DUMMYFUNCTION("""COMPUTED_VALUE"""),"-5.5544640998411")</f>
        <v>-5.5544640998411</v>
      </c>
      <c r="C61" s="66">
        <f>IFERROR(__xludf.DUMMYFUNCTION("""COMPUTED_VALUE"""),1.0)</f>
        <v>1</v>
      </c>
      <c r="D61" s="66">
        <f>IFERROR(__xludf.DUMMYFUNCTION("""COMPUTED_VALUE"""),383.0)</f>
        <v>383</v>
      </c>
      <c r="E61" s="66">
        <f>IFERROR(__xludf.DUMMYFUNCTION("""COMPUTED_VALUE"""),18.0)</f>
        <v>18</v>
      </c>
      <c r="F61" s="67" t="str">
        <f>IFERROR(__xludf.DUMMYFUNCTION("""COMPUTED_VALUE"""),"https://www.google.com/maps/search/?api=1&amp;query=-30.9066962702298,-5.5544640998411")</f>
        <v>https://www.google.com/maps/search/?api=1&amp;query=-30.9066962702298,-5.5544640998411</v>
      </c>
      <c r="G61" s="68" t="str">
        <f>IFERROR(__xludf.DUMMYFUNCTION("""COMPUTED_VALUE"""),"https://earth.google.com/web/search/-30.9066962702298,-5.5544640998411")</f>
        <v>https://earth.google.com/web/search/-30.9066962702298,-5.5544640998411</v>
      </c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</row>
    <row r="62">
      <c r="A62" s="69" t="str">
        <f>IFERROR(__xludf.DUMMYFUNCTION("""COMPUTED_VALUE"""),"-30.9067750827534")</f>
        <v>-30.9067750827534</v>
      </c>
      <c r="B62" s="61" t="str">
        <f>IFERROR(__xludf.DUMMYFUNCTION("""COMPUTED_VALUE"""),"-55.5447095557594")</f>
        <v>-55.5447095557594</v>
      </c>
      <c r="C62" s="61">
        <f>IFERROR(__xludf.DUMMYFUNCTION("""COMPUTED_VALUE"""),1.0)</f>
        <v>1</v>
      </c>
      <c r="D62" s="61">
        <f>IFERROR(__xludf.DUMMYFUNCTION("""COMPUTED_VALUE"""),383.0)</f>
        <v>383</v>
      </c>
      <c r="E62" s="61">
        <f>IFERROR(__xludf.DUMMYFUNCTION("""COMPUTED_VALUE"""),19.0)</f>
        <v>19</v>
      </c>
      <c r="F62" s="62" t="str">
        <f>IFERROR(__xludf.DUMMYFUNCTION("""COMPUTED_VALUE"""),"https://www.google.com/maps/search/?api=1&amp;query=-30.9067750827534,-55.5447095557594")</f>
        <v>https://www.google.com/maps/search/?api=1&amp;query=-30.9067750827534,-55.5447095557594</v>
      </c>
      <c r="G62" s="63" t="str">
        <f>IFERROR(__xludf.DUMMYFUNCTION("""COMPUTED_VALUE"""),"https://earth.google.com/web/search/-30.9067750827534,-55.5447095557594")</f>
        <v>https://earth.google.com/web/search/-30.9067750827534,-55.5447095557594</v>
      </c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</row>
    <row r="63">
      <c r="A63" s="65" t="str">
        <f>IFERROR(__xludf.DUMMYFUNCTION("""COMPUTED_VALUE"""),"-30.9065143760065")</f>
        <v>-30.9065143760065</v>
      </c>
      <c r="B63" s="66" t="str">
        <f>IFERROR(__xludf.DUMMYFUNCTION("""COMPUTED_VALUE"""),"-55.5456879469385")</f>
        <v>-55.5456879469385</v>
      </c>
      <c r="C63" s="66">
        <f>IFERROR(__xludf.DUMMYFUNCTION("""COMPUTED_VALUE"""),1.0)</f>
        <v>1</v>
      </c>
      <c r="D63" s="66">
        <f>IFERROR(__xludf.DUMMYFUNCTION("""COMPUTED_VALUE"""),384.0)</f>
        <v>384</v>
      </c>
      <c r="E63" s="66">
        <f>IFERROR(__xludf.DUMMYFUNCTION("""COMPUTED_VALUE"""),1.0)</f>
        <v>1</v>
      </c>
      <c r="F63" s="67" t="str">
        <f>IFERROR(__xludf.DUMMYFUNCTION("""COMPUTED_VALUE"""),"https://www.google.com/maps/search/?api=1&amp;query=-30.9065143760065,-55.5456879469385")</f>
        <v>https://www.google.com/maps/search/?api=1&amp;query=-30.9065143760065,-55.5456879469385</v>
      </c>
      <c r="G63" s="68" t="str">
        <f>IFERROR(__xludf.DUMMYFUNCTION("""COMPUTED_VALUE"""),"https://earth.google.com/web/search/-30.9065143760065,-55.5456879469385")</f>
        <v>https://earth.google.com/web/search/-30.9065143760065,-55.5456879469385</v>
      </c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</row>
    <row r="64">
      <c r="A64" s="69" t="str">
        <f>IFERROR(__xludf.DUMMYFUNCTION("""COMPUTED_VALUE"""),"-30.9067071339585")</f>
        <v>-30.9067071339585</v>
      </c>
      <c r="B64" s="61" t="str">
        <f>IFERROR(__xludf.DUMMYFUNCTION("""COMPUTED_VALUE"""),"-55.5453101737368")</f>
        <v>-55.5453101737368</v>
      </c>
      <c r="C64" s="61">
        <f>IFERROR(__xludf.DUMMYFUNCTION("""COMPUTED_VALUE"""),1.0)</f>
        <v>1</v>
      </c>
      <c r="D64" s="61">
        <f>IFERROR(__xludf.DUMMYFUNCTION("""COMPUTED_VALUE"""),384.0)</f>
        <v>384</v>
      </c>
      <c r="E64" s="61">
        <f>IFERROR(__xludf.DUMMYFUNCTION("""COMPUTED_VALUE"""),2.0)</f>
        <v>2</v>
      </c>
      <c r="F64" s="62" t="str">
        <f>IFERROR(__xludf.DUMMYFUNCTION("""COMPUTED_VALUE"""),"https://www.google.com/maps/search/?api=1&amp;query=-30.9067071339585,-55.5453101737368")</f>
        <v>https://www.google.com/maps/search/?api=1&amp;query=-30.9067071339585,-55.5453101737368</v>
      </c>
      <c r="G64" s="63" t="str">
        <f>IFERROR(__xludf.DUMMYFUNCTION("""COMPUTED_VALUE"""),"https://earth.google.com/web/search/-30.9067071339585,-55.5453101737368")</f>
        <v>https://earth.google.com/web/search/-30.9067071339585,-55.5453101737368</v>
      </c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</row>
    <row r="65">
      <c r="A65" s="65" t="str">
        <f>IFERROR(__xludf.DUMMYFUNCTION("""COMPUTED_VALUE"""),"-30.9068304019994")</f>
        <v>-30.9068304019994</v>
      </c>
      <c r="B65" s="66" t="str">
        <f>IFERROR(__xludf.DUMMYFUNCTION("""COMPUTED_VALUE"""),"-55.5451009550144")</f>
        <v>-55.5451009550144</v>
      </c>
      <c r="C65" s="66">
        <f>IFERROR(__xludf.DUMMYFUNCTION("""COMPUTED_VALUE"""),1.0)</f>
        <v>1</v>
      </c>
      <c r="D65" s="66">
        <f>IFERROR(__xludf.DUMMYFUNCTION("""COMPUTED_VALUE"""),384.0)</f>
        <v>384</v>
      </c>
      <c r="E65" s="66">
        <f>IFERROR(__xludf.DUMMYFUNCTION("""COMPUTED_VALUE"""),3.0)</f>
        <v>3</v>
      </c>
      <c r="F65" s="67" t="str">
        <f>IFERROR(__xludf.DUMMYFUNCTION("""COMPUTED_VALUE"""),"https://www.google.com/maps/search/?api=1&amp;query=-30.9068304019994,-55.5451009550144")</f>
        <v>https://www.google.com/maps/search/?api=1&amp;query=-30.9068304019994,-55.5451009550144</v>
      </c>
      <c r="G65" s="68" t="str">
        <f>IFERROR(__xludf.DUMMYFUNCTION("""COMPUTED_VALUE"""),"https://earth.google.com/web/search/-30.9068304019994,-55.5451009550144")</f>
        <v>https://earth.google.com/web/search/-30.9068304019994,-55.5451009550144</v>
      </c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</row>
    <row r="66">
      <c r="A66" s="69" t="str">
        <f>IFERROR(__xludf.DUMMYFUNCTION("""COMPUTED_VALUE"""),"-30.9068652321899")</f>
        <v>-30.9068652321899</v>
      </c>
      <c r="B66" s="61" t="str">
        <f>IFERROR(__xludf.DUMMYFUNCTION("""COMPUTED_VALUE"""),"-5.5545043402873")</f>
        <v>-5.5545043402873</v>
      </c>
      <c r="C66" s="61">
        <f>IFERROR(__xludf.DUMMYFUNCTION("""COMPUTED_VALUE"""),1.0)</f>
        <v>1</v>
      </c>
      <c r="D66" s="61">
        <f>IFERROR(__xludf.DUMMYFUNCTION("""COMPUTED_VALUE"""),384.0)</f>
        <v>384</v>
      </c>
      <c r="E66" s="61">
        <f>IFERROR(__xludf.DUMMYFUNCTION("""COMPUTED_VALUE"""),4.0)</f>
        <v>4</v>
      </c>
      <c r="F66" s="62" t="str">
        <f>IFERROR(__xludf.DUMMYFUNCTION("""COMPUTED_VALUE"""),"https://www.google.com/maps/search/?api=1&amp;query=-30.9068652321899,-5.5545043402873")</f>
        <v>https://www.google.com/maps/search/?api=1&amp;query=-30.9068652321899,-5.5545043402873</v>
      </c>
      <c r="G66" s="63" t="str">
        <f>IFERROR(__xludf.DUMMYFUNCTION("""COMPUTED_VALUE"""),"https://earth.google.com/web/search/-30.9068652321899,-5.5545043402873")</f>
        <v>https://earth.google.com/web/search/-30.9068652321899,-5.5545043402873</v>
      </c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</row>
    <row r="67">
      <c r="A67" s="65" t="str">
        <f>IFERROR(__xludf.DUMMYFUNCTION("""COMPUTED_VALUE"""),"-30.9067899708162")</f>
        <v>-30.9067899708162</v>
      </c>
      <c r="B67" s="66" t="str">
        <f>IFERROR(__xludf.DUMMYFUNCTION("""COMPUTED_VALUE"""),"-55.5448793834167")</f>
        <v>-55.5448793834167</v>
      </c>
      <c r="C67" s="66">
        <f>IFERROR(__xludf.DUMMYFUNCTION("""COMPUTED_VALUE"""),1.0)</f>
        <v>1</v>
      </c>
      <c r="D67" s="66">
        <f>IFERROR(__xludf.DUMMYFUNCTION("""COMPUTED_VALUE"""),384.0)</f>
        <v>384</v>
      </c>
      <c r="E67" s="66">
        <f>IFERROR(__xludf.DUMMYFUNCTION("""COMPUTED_VALUE"""),5.0)</f>
        <v>5</v>
      </c>
      <c r="F67" s="67" t="str">
        <f>IFERROR(__xludf.DUMMYFUNCTION("""COMPUTED_VALUE"""),"https://www.google.com/maps/search/?api=1&amp;query=-30.9067899708162,-55.5448793834167")</f>
        <v>https://www.google.com/maps/search/?api=1&amp;query=-30.9067899708162,-55.5448793834167</v>
      </c>
      <c r="G67" s="68" t="str">
        <f>IFERROR(__xludf.DUMMYFUNCTION("""COMPUTED_VALUE"""),"https://earth.google.com/web/search/-30.9067899708162,-55.5448793834167")</f>
        <v>https://earth.google.com/web/search/-30.9067899708162,-55.5448793834167</v>
      </c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</row>
    <row r="68">
      <c r="A68" s="69" t="str">
        <f>IFERROR(__xludf.DUMMYFUNCTION("""COMPUTED_VALUE"""),"-30.9067355577984")</f>
        <v>-30.9067355577984</v>
      </c>
      <c r="B68" s="61" t="str">
        <f>IFERROR(__xludf.DUMMYFUNCTION("""COMPUTED_VALUE"""),"-55.5448361613182")</f>
        <v>-55.5448361613182</v>
      </c>
      <c r="C68" s="61">
        <f>IFERROR(__xludf.DUMMYFUNCTION("""COMPUTED_VALUE"""),1.0)</f>
        <v>1</v>
      </c>
      <c r="D68" s="61">
        <f>IFERROR(__xludf.DUMMYFUNCTION("""COMPUTED_VALUE"""),384.0)</f>
        <v>384</v>
      </c>
      <c r="E68" s="61">
        <f>IFERROR(__xludf.DUMMYFUNCTION("""COMPUTED_VALUE"""),6.0)</f>
        <v>6</v>
      </c>
      <c r="F68" s="62" t="str">
        <f>IFERROR(__xludf.DUMMYFUNCTION("""COMPUTED_VALUE"""),"https://www.google.com/maps/search/?api=1&amp;query=-30.9067355577984,-55.5448361613182")</f>
        <v>https://www.google.com/maps/search/?api=1&amp;query=-30.9067355577984,-55.5448361613182</v>
      </c>
      <c r="G68" s="63" t="str">
        <f>IFERROR(__xludf.DUMMYFUNCTION("""COMPUTED_VALUE"""),"https://earth.google.com/web/search/-30.9067355577984,-55.5448361613182")</f>
        <v>https://earth.google.com/web/search/-30.9067355577984,-55.5448361613182</v>
      </c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</row>
    <row r="69">
      <c r="A69" s="65" t="str">
        <f>IFERROR(__xludf.DUMMYFUNCTION("""COMPUTED_VALUE"""),"-30.9064273984714")</f>
        <v>-30.9064273984714</v>
      </c>
      <c r="B69" s="66" t="str">
        <f>IFERROR(__xludf.DUMMYFUNCTION("""COMPUTED_VALUE"""),"-55.5446259307892")</f>
        <v>-55.5446259307892</v>
      </c>
      <c r="C69" s="66">
        <f>IFERROR(__xludf.DUMMYFUNCTION("""COMPUTED_VALUE"""),1.0)</f>
        <v>1</v>
      </c>
      <c r="D69" s="66">
        <f>IFERROR(__xludf.DUMMYFUNCTION("""COMPUTED_VALUE"""),384.0)</f>
        <v>384</v>
      </c>
      <c r="E69" s="66">
        <f>IFERROR(__xludf.DUMMYFUNCTION("""COMPUTED_VALUE"""),7.0)</f>
        <v>7</v>
      </c>
      <c r="F69" s="67" t="str">
        <f>IFERROR(__xludf.DUMMYFUNCTION("""COMPUTED_VALUE"""),"https://www.google.com/maps/search/?api=1&amp;query=-30.9064273984714,-55.5446259307892")</f>
        <v>https://www.google.com/maps/search/?api=1&amp;query=-30.9064273984714,-55.5446259307892</v>
      </c>
      <c r="G69" s="68" t="str">
        <f>IFERROR(__xludf.DUMMYFUNCTION("""COMPUTED_VALUE"""),"https://earth.google.com/web/search/-30.9064273984714,-55.5446259307892")</f>
        <v>https://earth.google.com/web/search/-30.9064273984714,-55.5446259307892</v>
      </c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</row>
    <row r="70">
      <c r="A70" s="69" t="str">
        <f>IFERROR(__xludf.DUMMYFUNCTION("""COMPUTED_VALUE"""),"-30.9063713001184")</f>
        <v>-30.9063713001184</v>
      </c>
      <c r="B70" s="61" t="str">
        <f>IFERROR(__xludf.DUMMYFUNCTION("""COMPUTED_VALUE"""),"-55.5445787690684")</f>
        <v>-55.5445787690684</v>
      </c>
      <c r="C70" s="61">
        <f>IFERROR(__xludf.DUMMYFUNCTION("""COMPUTED_VALUE"""),1.0)</f>
        <v>1</v>
      </c>
      <c r="D70" s="61">
        <f>IFERROR(__xludf.DUMMYFUNCTION("""COMPUTED_VALUE"""),384.0)</f>
        <v>384</v>
      </c>
      <c r="E70" s="61">
        <f>IFERROR(__xludf.DUMMYFUNCTION("""COMPUTED_VALUE"""),8.0)</f>
        <v>8</v>
      </c>
      <c r="F70" s="62" t="str">
        <f>IFERROR(__xludf.DUMMYFUNCTION("""COMPUTED_VALUE"""),"https://www.google.com/maps/search/?api=1&amp;query=-30.9063713001184,-55.5445787690684")</f>
        <v>https://www.google.com/maps/search/?api=1&amp;query=-30.9063713001184,-55.5445787690684</v>
      </c>
      <c r="G70" s="63" t="str">
        <f>IFERROR(__xludf.DUMMYFUNCTION("""COMPUTED_VALUE"""),"https://earth.google.com/web/search/-30.9063713001184,-55.5445787690684")</f>
        <v>https://earth.google.com/web/search/-30.9063713001184,-55.5445787690684</v>
      </c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</row>
    <row r="71">
      <c r="A71" s="65" t="str">
        <f>IFERROR(__xludf.DUMMYFUNCTION("""COMPUTED_VALUE"""),"-30.9063040304978")</f>
        <v>-30.9063040304978</v>
      </c>
      <c r="B71" s="66" t="str">
        <f>IFERROR(__xludf.DUMMYFUNCTION("""COMPUTED_VALUE"""),"-5.5544531208111")</f>
        <v>-5.5544531208111</v>
      </c>
      <c r="C71" s="66">
        <f>IFERROR(__xludf.DUMMYFUNCTION("""COMPUTED_VALUE"""),1.0)</f>
        <v>1</v>
      </c>
      <c r="D71" s="66">
        <f>IFERROR(__xludf.DUMMYFUNCTION("""COMPUTED_VALUE"""),384.0)</f>
        <v>384</v>
      </c>
      <c r="E71" s="66">
        <f>IFERROR(__xludf.DUMMYFUNCTION("""COMPUTED_VALUE"""),9.0)</f>
        <v>9</v>
      </c>
      <c r="F71" s="67" t="str">
        <f>IFERROR(__xludf.DUMMYFUNCTION("""COMPUTED_VALUE"""),"https://www.google.com/maps/search/?api=1&amp;query=-30.9063040304978,-5.5544531208111")</f>
        <v>https://www.google.com/maps/search/?api=1&amp;query=-30.9063040304978,-5.5544531208111</v>
      </c>
      <c r="G71" s="68" t="str">
        <f>IFERROR(__xludf.DUMMYFUNCTION("""COMPUTED_VALUE"""),"https://earth.google.com/web/search/-30.9063040304978,-5.5544531208111")</f>
        <v>https://earth.google.com/web/search/-30.9063040304978,-5.5544531208111</v>
      </c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</row>
    <row r="72">
      <c r="A72" s="69" t="str">
        <f>IFERROR(__xludf.DUMMYFUNCTION("""COMPUTED_VALUE"""),"-30.9062328673733")</f>
        <v>-30.9062328673733</v>
      </c>
      <c r="B72" s="61" t="str">
        <f>IFERROR(__xludf.DUMMYFUNCTION("""COMPUTED_VALUE"""),"-5.5544484298214")</f>
        <v>-5.5544484298214</v>
      </c>
      <c r="C72" s="61">
        <f>IFERROR(__xludf.DUMMYFUNCTION("""COMPUTED_VALUE"""),1.0)</f>
        <v>1</v>
      </c>
      <c r="D72" s="61">
        <f>IFERROR(__xludf.DUMMYFUNCTION("""COMPUTED_VALUE"""),384.0)</f>
        <v>384</v>
      </c>
      <c r="E72" s="61">
        <f>IFERROR(__xludf.DUMMYFUNCTION("""COMPUTED_VALUE"""),10.0)</f>
        <v>10</v>
      </c>
      <c r="F72" s="62" t="str">
        <f>IFERROR(__xludf.DUMMYFUNCTION("""COMPUTED_VALUE"""),"https://www.google.com/maps/search/?api=1&amp;query=-30.9062328673733,-5.5544484298214")</f>
        <v>https://www.google.com/maps/search/?api=1&amp;query=-30.9062328673733,-5.5544484298214</v>
      </c>
      <c r="G72" s="63" t="str">
        <f>IFERROR(__xludf.DUMMYFUNCTION("""COMPUTED_VALUE"""),"https://earth.google.com/web/search/-30.9062328673733,-5.5544484298214")</f>
        <v>https://earth.google.com/web/search/-30.9062328673733,-5.5544484298214</v>
      </c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</row>
    <row r="73">
      <c r="A73" s="65" t="str">
        <f>IFERROR(__xludf.DUMMYFUNCTION("""COMPUTED_VALUE"""),"-30.9061643849681")</f>
        <v>-30.9061643849681</v>
      </c>
      <c r="B73" s="66" t="str">
        <f>IFERROR(__xludf.DUMMYFUNCTION("""COMPUTED_VALUE"""),"-55.5444905776153")</f>
        <v>-55.5444905776153</v>
      </c>
      <c r="C73" s="66">
        <f>IFERROR(__xludf.DUMMYFUNCTION("""COMPUTED_VALUE"""),1.0)</f>
        <v>1</v>
      </c>
      <c r="D73" s="66">
        <f>IFERROR(__xludf.DUMMYFUNCTION("""COMPUTED_VALUE"""),384.0)</f>
        <v>384</v>
      </c>
      <c r="E73" s="66">
        <f>IFERROR(__xludf.DUMMYFUNCTION("""COMPUTED_VALUE"""),11.0)</f>
        <v>11</v>
      </c>
      <c r="F73" s="67" t="str">
        <f>IFERROR(__xludf.DUMMYFUNCTION("""COMPUTED_VALUE"""),"https://www.google.com/maps/search/?api=1&amp;query=-30.9061643849681,-55.5444905776153")</f>
        <v>https://www.google.com/maps/search/?api=1&amp;query=-30.9061643849681,-55.5444905776153</v>
      </c>
      <c r="G73" s="68" t="str">
        <f>IFERROR(__xludf.DUMMYFUNCTION("""COMPUTED_VALUE"""),"https://earth.google.com/web/search/-30.9061643849681,-55.5444905776153")</f>
        <v>https://earth.google.com/web/search/-30.9061643849681,-55.5444905776153</v>
      </c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</row>
    <row r="74">
      <c r="A74" s="69" t="str">
        <f>IFERROR(__xludf.DUMMYFUNCTION("""COMPUTED_VALUE"""),"-30.9061399539583")</f>
        <v>-30.9061399539583</v>
      </c>
      <c r="B74" s="61" t="str">
        <f>IFERROR(__xludf.DUMMYFUNCTION("""COMPUTED_VALUE"""),"-55.5444996871527")</f>
        <v>-55.5444996871527</v>
      </c>
      <c r="C74" s="61">
        <f>IFERROR(__xludf.DUMMYFUNCTION("""COMPUTED_VALUE"""),1.0)</f>
        <v>1</v>
      </c>
      <c r="D74" s="61">
        <f>IFERROR(__xludf.DUMMYFUNCTION("""COMPUTED_VALUE"""),384.0)</f>
        <v>384</v>
      </c>
      <c r="E74" s="61">
        <f>IFERROR(__xludf.DUMMYFUNCTION("""COMPUTED_VALUE"""),12.0)</f>
        <v>12</v>
      </c>
      <c r="F74" s="62" t="str">
        <f>IFERROR(__xludf.DUMMYFUNCTION("""COMPUTED_VALUE"""),"https://www.google.com/maps/search/?api=1&amp;query=-30.9061399539583,-55.5444996871527")</f>
        <v>https://www.google.com/maps/search/?api=1&amp;query=-30.9061399539583,-55.5444996871527</v>
      </c>
      <c r="G74" s="63" t="str">
        <f>IFERROR(__xludf.DUMMYFUNCTION("""COMPUTED_VALUE"""),"https://earth.google.com/web/search/-30.9061399539583,-55.5444996871527")</f>
        <v>https://earth.google.com/web/search/-30.9061399539583,-55.5444996871527</v>
      </c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</row>
    <row r="75">
      <c r="A75" s="65" t="str">
        <f>IFERROR(__xludf.DUMMYFUNCTION("""COMPUTED_VALUE"""),"-30.9061182941135")</f>
        <v>-30.9061182941135</v>
      </c>
      <c r="B75" s="66" t="str">
        <f>IFERROR(__xludf.DUMMYFUNCTION("""COMPUTED_VALUE"""),"-55.5445663472231")</f>
        <v>-55.5445663472231</v>
      </c>
      <c r="C75" s="66">
        <f>IFERROR(__xludf.DUMMYFUNCTION("""COMPUTED_VALUE"""),1.0)</f>
        <v>1</v>
      </c>
      <c r="D75" s="66">
        <f>IFERROR(__xludf.DUMMYFUNCTION("""COMPUTED_VALUE"""),384.0)</f>
        <v>384</v>
      </c>
      <c r="E75" s="66">
        <f>IFERROR(__xludf.DUMMYFUNCTION("""COMPUTED_VALUE"""),13.0)</f>
        <v>13</v>
      </c>
      <c r="F75" s="67" t="str">
        <f>IFERROR(__xludf.DUMMYFUNCTION("""COMPUTED_VALUE"""),"https://www.google.com/maps/search/?api=1&amp;query=-30.9061182941135,-55.5445663472231")</f>
        <v>https://www.google.com/maps/search/?api=1&amp;query=-30.9061182941135,-55.5445663472231</v>
      </c>
      <c r="G75" s="68" t="str">
        <f>IFERROR(__xludf.DUMMYFUNCTION("""COMPUTED_VALUE"""),"https://earth.google.com/web/search/-30.9061182941135,-55.5445663472231")</f>
        <v>https://earth.google.com/web/search/-30.9061182941135,-55.5445663472231</v>
      </c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</row>
    <row r="76">
      <c r="A76" s="69" t="str">
        <f>IFERROR(__xludf.DUMMYFUNCTION("""COMPUTED_VALUE"""),"-30.9060834419565")</f>
        <v>-30.9060834419565</v>
      </c>
      <c r="B76" s="61" t="str">
        <f>IFERROR(__xludf.DUMMYFUNCTION("""COMPUTED_VALUE"""),"-5.5544619211356")</f>
        <v>-5.5544619211356</v>
      </c>
      <c r="C76" s="61">
        <f>IFERROR(__xludf.DUMMYFUNCTION("""COMPUTED_VALUE"""),1.0)</f>
        <v>1</v>
      </c>
      <c r="D76" s="61">
        <f>IFERROR(__xludf.DUMMYFUNCTION("""COMPUTED_VALUE"""),384.0)</f>
        <v>384</v>
      </c>
      <c r="E76" s="61">
        <f>IFERROR(__xludf.DUMMYFUNCTION("""COMPUTED_VALUE"""),14.0)</f>
        <v>14</v>
      </c>
      <c r="F76" s="62" t="str">
        <f>IFERROR(__xludf.DUMMYFUNCTION("""COMPUTED_VALUE"""),"https://www.google.com/maps/search/?api=1&amp;query=-30.9060834419565,-5.5544619211356")</f>
        <v>https://www.google.com/maps/search/?api=1&amp;query=-30.9060834419565,-5.5544619211356</v>
      </c>
      <c r="G76" s="63" t="str">
        <f>IFERROR(__xludf.DUMMYFUNCTION("""COMPUTED_VALUE"""),"https://earth.google.com/web/search/-30.9060834419565,-5.5544619211356")</f>
        <v>https://earth.google.com/web/search/-30.9060834419565,-5.5544619211356</v>
      </c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</row>
    <row r="77">
      <c r="A77" s="65" t="str">
        <f>IFERROR(__xludf.DUMMYFUNCTION("""COMPUTED_VALUE"""),"-30.9060576304923")</f>
        <v>-30.9060576304923</v>
      </c>
      <c r="B77" s="66" t="str">
        <f>IFERROR(__xludf.DUMMYFUNCTION("""COMPUTED_VALUE"""),"-55.5446626974414")</f>
        <v>-55.5446626974414</v>
      </c>
      <c r="C77" s="66">
        <f>IFERROR(__xludf.DUMMYFUNCTION("""COMPUTED_VALUE"""),1.0)</f>
        <v>1</v>
      </c>
      <c r="D77" s="66">
        <f>IFERROR(__xludf.DUMMYFUNCTION("""COMPUTED_VALUE"""),384.0)</f>
        <v>384</v>
      </c>
      <c r="E77" s="66">
        <f>IFERROR(__xludf.DUMMYFUNCTION("""COMPUTED_VALUE"""),15.0)</f>
        <v>15</v>
      </c>
      <c r="F77" s="67" t="str">
        <f>IFERROR(__xludf.DUMMYFUNCTION("""COMPUTED_VALUE"""),"https://www.google.com/maps/search/?api=1&amp;query=-30.9060576304923,-55.5446626974414")</f>
        <v>https://www.google.com/maps/search/?api=1&amp;query=-30.9060576304923,-55.5446626974414</v>
      </c>
      <c r="G77" s="68" t="str">
        <f>IFERROR(__xludf.DUMMYFUNCTION("""COMPUTED_VALUE"""),"https://earth.google.com/web/search/-30.9060576304923,-55.5446626974414")</f>
        <v>https://earth.google.com/web/search/-30.9060576304923,-55.5446626974414</v>
      </c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</row>
    <row r="78">
      <c r="A78" s="69" t="str">
        <f>IFERROR(__xludf.DUMMYFUNCTION("""COMPUTED_VALUE"""),"-30.9058359210348")</f>
        <v>-30.9058359210348</v>
      </c>
      <c r="B78" s="61" t="str">
        <f>IFERROR(__xludf.DUMMYFUNCTION("""COMPUTED_VALUE"""),"-55.5450853124537")</f>
        <v>-55.5450853124537</v>
      </c>
      <c r="C78" s="61">
        <f>IFERROR(__xludf.DUMMYFUNCTION("""COMPUTED_VALUE"""),1.0)</f>
        <v>1</v>
      </c>
      <c r="D78" s="61">
        <f>IFERROR(__xludf.DUMMYFUNCTION("""COMPUTED_VALUE"""),384.0)</f>
        <v>384</v>
      </c>
      <c r="E78" s="61">
        <f>IFERROR(__xludf.DUMMYFUNCTION("""COMPUTED_VALUE"""),15.0)</f>
        <v>15</v>
      </c>
      <c r="F78" s="62" t="str">
        <f>IFERROR(__xludf.DUMMYFUNCTION("""COMPUTED_VALUE"""),"https://www.google.com/maps/search/?api=1&amp;query=-30.9058359210348,-55.5450853124537")</f>
        <v>https://www.google.com/maps/search/?api=1&amp;query=-30.9058359210348,-55.5450853124537</v>
      </c>
      <c r="G78" s="63" t="str">
        <f>IFERROR(__xludf.DUMMYFUNCTION("""COMPUTED_VALUE"""),"https://earth.google.com/web/search/-30.9058359210348,-55.5450853124537")</f>
        <v>https://earth.google.com/web/search/-30.9058359210348,-55.5450853124537</v>
      </c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</row>
    <row r="79">
      <c r="A79" s="65" t="str">
        <f>IFERROR(__xludf.DUMMYFUNCTION("""COMPUTED_VALUE"""),"-30.9057784144434")</f>
        <v>-30.9057784144434</v>
      </c>
      <c r="B79" s="66" t="str">
        <f>IFERROR(__xludf.DUMMYFUNCTION("""COMPUTED_VALUE"""),"-55.5451903806213")</f>
        <v>-55.5451903806213</v>
      </c>
      <c r="C79" s="66">
        <f>IFERROR(__xludf.DUMMYFUNCTION("""COMPUTED_VALUE"""),1.0)</f>
        <v>1</v>
      </c>
      <c r="D79" s="66">
        <f>IFERROR(__xludf.DUMMYFUNCTION("""COMPUTED_VALUE"""),384.0)</f>
        <v>384</v>
      </c>
      <c r="E79" s="66">
        <f>IFERROR(__xludf.DUMMYFUNCTION("""COMPUTED_VALUE"""),16.0)</f>
        <v>16</v>
      </c>
      <c r="F79" s="67" t="str">
        <f>IFERROR(__xludf.DUMMYFUNCTION("""COMPUTED_VALUE"""),"https://www.google.com/maps/search/?api=1&amp;query=-30.9057784144434,-55.5451903806213")</f>
        <v>https://www.google.com/maps/search/?api=1&amp;query=-30.9057784144434,-55.5451903806213</v>
      </c>
      <c r="G79" s="68" t="str">
        <f>IFERROR(__xludf.DUMMYFUNCTION("""COMPUTED_VALUE"""),"https://earth.google.com/web/search/-30.9057784144434,-55.5451903806213")</f>
        <v>https://earth.google.com/web/search/-30.9057784144434,-55.5451903806213</v>
      </c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</row>
    <row r="80">
      <c r="A80" s="69" t="str">
        <f>IFERROR(__xludf.DUMMYFUNCTION("""COMPUTED_VALUE"""),"-3.0905778305195")</f>
        <v>-3.0905778305195</v>
      </c>
      <c r="B80" s="61" t="str">
        <f>IFERROR(__xludf.DUMMYFUNCTION("""COMPUTED_VALUE"""),"-55.5452808490344")</f>
        <v>-55.5452808490344</v>
      </c>
      <c r="C80" s="61">
        <f>IFERROR(__xludf.DUMMYFUNCTION("""COMPUTED_VALUE"""),1.0)</f>
        <v>1</v>
      </c>
      <c r="D80" s="61">
        <f>IFERROR(__xludf.DUMMYFUNCTION("""COMPUTED_VALUE"""),384.0)</f>
        <v>384</v>
      </c>
      <c r="E80" s="61">
        <f>IFERROR(__xludf.DUMMYFUNCTION("""COMPUTED_VALUE"""),17.0)</f>
        <v>17</v>
      </c>
      <c r="F80" s="62" t="str">
        <f>IFERROR(__xludf.DUMMYFUNCTION("""COMPUTED_VALUE"""),"https://www.google.com/maps/search/?api=1&amp;query=-3.0905778305195,-55.5452808490344")</f>
        <v>https://www.google.com/maps/search/?api=1&amp;query=-3.0905778305195,-55.5452808490344</v>
      </c>
      <c r="G80" s="63" t="str">
        <f>IFERROR(__xludf.DUMMYFUNCTION("""COMPUTED_VALUE"""),"https://earth.google.com/web/search/-3.0905778305195,-55.5452808490344")</f>
        <v>https://earth.google.com/web/search/-3.0905778305195,-55.5452808490344</v>
      </c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</row>
    <row r="81">
      <c r="A81" s="65" t="str">
        <f>IFERROR(__xludf.DUMMYFUNCTION("""COMPUTED_VALUE"""),"-3.0905851879685")</f>
        <v>-3.0905851879685</v>
      </c>
      <c r="B81" s="66" t="str">
        <f>IFERROR(__xludf.DUMMYFUNCTION("""COMPUTED_VALUE"""),"-55.5453377524178")</f>
        <v>-55.5453377524178</v>
      </c>
      <c r="C81" s="66">
        <f>IFERROR(__xludf.DUMMYFUNCTION("""COMPUTED_VALUE"""),1.0)</f>
        <v>1</v>
      </c>
      <c r="D81" s="66">
        <f>IFERROR(__xludf.DUMMYFUNCTION("""COMPUTED_VALUE"""),384.0)</f>
        <v>384</v>
      </c>
      <c r="E81" s="66">
        <f>IFERROR(__xludf.DUMMYFUNCTION("""COMPUTED_VALUE"""),18.0)</f>
        <v>18</v>
      </c>
      <c r="F81" s="67" t="str">
        <f>IFERROR(__xludf.DUMMYFUNCTION("""COMPUTED_VALUE"""),"https://www.google.com/maps/search/?api=1&amp;query=-3.0905851879685,-55.5453377524178")</f>
        <v>https://www.google.com/maps/search/?api=1&amp;query=-3.0905851879685,-55.5453377524178</v>
      </c>
      <c r="G81" s="68" t="str">
        <f>IFERROR(__xludf.DUMMYFUNCTION("""COMPUTED_VALUE"""),"https://earth.google.com/web/search/-3.0905851879685,-55.5453377524178")</f>
        <v>https://earth.google.com/web/search/-3.0905851879685,-55.5453377524178</v>
      </c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</row>
    <row r="82">
      <c r="A82" s="69" t="str">
        <f>IFERROR(__xludf.DUMMYFUNCTION("""COMPUTED_VALUE"""),"-30.9059148324354")</f>
        <v>-30.9059148324354</v>
      </c>
      <c r="B82" s="61" t="str">
        <f>IFERROR(__xludf.DUMMYFUNCTION("""COMPUTED_VALUE"""),"-5.5545378410436")</f>
        <v>-5.5545378410436</v>
      </c>
      <c r="C82" s="61">
        <f>IFERROR(__xludf.DUMMYFUNCTION("""COMPUTED_VALUE"""),1.0)</f>
        <v>1</v>
      </c>
      <c r="D82" s="61">
        <f>IFERROR(__xludf.DUMMYFUNCTION("""COMPUTED_VALUE"""),384.0)</f>
        <v>384</v>
      </c>
      <c r="E82" s="61">
        <f>IFERROR(__xludf.DUMMYFUNCTION("""COMPUTED_VALUE"""),19.0)</f>
        <v>19</v>
      </c>
      <c r="F82" s="62" t="str">
        <f>IFERROR(__xludf.DUMMYFUNCTION("""COMPUTED_VALUE"""),"https://www.google.com/maps/search/?api=1&amp;query=-30.9059148324354,-5.5545378410436")</f>
        <v>https://www.google.com/maps/search/?api=1&amp;query=-30.9059148324354,-5.5545378410436</v>
      </c>
      <c r="G82" s="63" t="str">
        <f>IFERROR(__xludf.DUMMYFUNCTION("""COMPUTED_VALUE"""),"https://earth.google.com/web/search/-30.9059148324354,-5.5545378410436")</f>
        <v>https://earth.google.com/web/search/-30.9059148324354,-5.5545378410436</v>
      </c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</row>
    <row r="83">
      <c r="A83" s="65" t="str">
        <f>IFERROR(__xludf.DUMMYFUNCTION("""COMPUTED_VALUE"""),"-30.9060556086761")</f>
        <v>-30.9060556086761</v>
      </c>
      <c r="B83" s="66" t="str">
        <f>IFERROR(__xludf.DUMMYFUNCTION("""COMPUTED_VALUE"""),"-55.5454749565226")</f>
        <v>-55.5454749565226</v>
      </c>
      <c r="C83" s="66">
        <f>IFERROR(__xludf.DUMMYFUNCTION("""COMPUTED_VALUE"""),1.0)</f>
        <v>1</v>
      </c>
      <c r="D83" s="66">
        <f>IFERROR(__xludf.DUMMYFUNCTION("""COMPUTED_VALUE"""),384.0)</f>
        <v>384</v>
      </c>
      <c r="E83" s="66">
        <f>IFERROR(__xludf.DUMMYFUNCTION("""COMPUTED_VALUE"""),20.0)</f>
        <v>20</v>
      </c>
      <c r="F83" s="67" t="str">
        <f>IFERROR(__xludf.DUMMYFUNCTION("""COMPUTED_VALUE"""),"https://www.google.com/maps/search/?api=1&amp;query=-30.9060556086761,-55.5454749565226")</f>
        <v>https://www.google.com/maps/search/?api=1&amp;query=-30.9060556086761,-55.5454749565226</v>
      </c>
      <c r="G83" s="68" t="str">
        <f>IFERROR(__xludf.DUMMYFUNCTION("""COMPUTED_VALUE"""),"https://earth.google.com/web/search/-30.9060556086761,-55.5454749565226")</f>
        <v>https://earth.google.com/web/search/-30.9060556086761,-55.5454749565226</v>
      </c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</row>
    <row r="84">
      <c r="A84" s="69" t="str">
        <f>IFERROR(__xludf.DUMMYFUNCTION("""COMPUTED_VALUE"""),"-30.9061152722388")</f>
        <v>-30.9061152722388</v>
      </c>
      <c r="B84" s="61" t="str">
        <f>IFERROR(__xludf.DUMMYFUNCTION("""COMPUTED_VALUE"""),"-55.5455346446913")</f>
        <v>-55.5455346446913</v>
      </c>
      <c r="C84" s="61">
        <f>IFERROR(__xludf.DUMMYFUNCTION("""COMPUTED_VALUE"""),1.0)</f>
        <v>1</v>
      </c>
      <c r="D84" s="61">
        <f>IFERROR(__xludf.DUMMYFUNCTION("""COMPUTED_VALUE"""),384.0)</f>
        <v>384</v>
      </c>
      <c r="E84" s="61">
        <f>IFERROR(__xludf.DUMMYFUNCTION("""COMPUTED_VALUE"""),21.0)</f>
        <v>21</v>
      </c>
      <c r="F84" s="62" t="str">
        <f>IFERROR(__xludf.DUMMYFUNCTION("""COMPUTED_VALUE"""),"https://www.google.com/maps/search/?api=1&amp;query=-30.9061152722388,-55.5455346446913")</f>
        <v>https://www.google.com/maps/search/?api=1&amp;query=-30.9061152722388,-55.5455346446913</v>
      </c>
      <c r="G84" s="63" t="str">
        <f>IFERROR(__xludf.DUMMYFUNCTION("""COMPUTED_VALUE"""),"https://earth.google.com/web/search/-30.9061152722388,-55.5455346446913")</f>
        <v>https://earth.google.com/web/search/-30.9061152722388,-55.5455346446913</v>
      </c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</row>
    <row r="85">
      <c r="A85" s="65" t="str">
        <f>IFERROR(__xludf.DUMMYFUNCTION("""COMPUTED_VALUE"""),"-30.9062393566237")</f>
        <v>-30.9062393566237</v>
      </c>
      <c r="B85" s="66" t="str">
        <f>IFERROR(__xludf.DUMMYFUNCTION("""COMPUTED_VALUE"""),"-55.5455905929223")</f>
        <v>-55.5455905929223</v>
      </c>
      <c r="C85" s="66">
        <f>IFERROR(__xludf.DUMMYFUNCTION("""COMPUTED_VALUE"""),1.0)</f>
        <v>1</v>
      </c>
      <c r="D85" s="66">
        <f>IFERROR(__xludf.DUMMYFUNCTION("""COMPUTED_VALUE"""),384.0)</f>
        <v>384</v>
      </c>
      <c r="E85" s="66">
        <f>IFERROR(__xludf.DUMMYFUNCTION("""COMPUTED_VALUE"""),22.0)</f>
        <v>22</v>
      </c>
      <c r="F85" s="67" t="str">
        <f>IFERROR(__xludf.DUMMYFUNCTION("""COMPUTED_VALUE"""),"https://www.google.com/maps/search/?api=1&amp;query=-30.9062393566237,-55.5455905929223")</f>
        <v>https://www.google.com/maps/search/?api=1&amp;query=-30.9062393566237,-55.5455905929223</v>
      </c>
      <c r="G85" s="68" t="str">
        <f>IFERROR(__xludf.DUMMYFUNCTION("""COMPUTED_VALUE"""),"https://earth.google.com/web/search/-30.9062393566237,-55.5455905929223")</f>
        <v>https://earth.google.com/web/search/-30.9062393566237,-55.5455905929223</v>
      </c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</row>
    <row r="86">
      <c r="A86" s="69" t="str">
        <f>IFERROR(__xludf.DUMMYFUNCTION("""COMPUTED_VALUE"""),"-30.9063151655113")</f>
        <v>-30.9063151655113</v>
      </c>
      <c r="B86" s="61" t="str">
        <f>IFERROR(__xludf.DUMMYFUNCTION("""COMPUTED_VALUE"""),"-55.5456584383578")</f>
        <v>-55.5456584383578</v>
      </c>
      <c r="C86" s="61">
        <f>IFERROR(__xludf.DUMMYFUNCTION("""COMPUTED_VALUE"""),1.0)</f>
        <v>1</v>
      </c>
      <c r="D86" s="61">
        <f>IFERROR(__xludf.DUMMYFUNCTION("""COMPUTED_VALUE"""),384.0)</f>
        <v>384</v>
      </c>
      <c r="E86" s="61">
        <f>IFERROR(__xludf.DUMMYFUNCTION("""COMPUTED_VALUE"""),23.0)</f>
        <v>23</v>
      </c>
      <c r="F86" s="62" t="str">
        <f>IFERROR(__xludf.DUMMYFUNCTION("""COMPUTED_VALUE"""),"https://www.google.com/maps/search/?api=1&amp;query=-30.9063151655113,-55.5456584383578")</f>
        <v>https://www.google.com/maps/search/?api=1&amp;query=-30.9063151655113,-55.5456584383578</v>
      </c>
      <c r="G86" s="63" t="str">
        <f>IFERROR(__xludf.DUMMYFUNCTION("""COMPUTED_VALUE"""),"https://earth.google.com/web/search/-30.9063151655113,-55.5456584383578")</f>
        <v>https://earth.google.com/web/search/-30.9063151655113,-55.5456584383578</v>
      </c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</row>
    <row r="87">
      <c r="A87" s="65" t="str">
        <f>IFERROR(__xludf.DUMMYFUNCTION("""COMPUTED_VALUE"""),"-30.9056064797171")</f>
        <v>-30.9056064797171</v>
      </c>
      <c r="B87" s="66" t="str">
        <f>IFERROR(__xludf.DUMMYFUNCTION("""COMPUTED_VALUE"""),"-55.5455440067214")</f>
        <v>-55.5455440067214</v>
      </c>
      <c r="C87" s="66">
        <f>IFERROR(__xludf.DUMMYFUNCTION("""COMPUTED_VALUE"""),1.0)</f>
        <v>1</v>
      </c>
      <c r="D87" s="66">
        <f>IFERROR(__xludf.DUMMYFUNCTION("""COMPUTED_VALUE"""),385.0)</f>
        <v>385</v>
      </c>
      <c r="E87" s="66">
        <f>IFERROR(__xludf.DUMMYFUNCTION("""COMPUTED_VALUE"""),1.0)</f>
        <v>1</v>
      </c>
      <c r="F87" s="67" t="str">
        <f>IFERROR(__xludf.DUMMYFUNCTION("""COMPUTED_VALUE"""),"https://www.google.com/maps/search/?api=1&amp;query=-30.9056064797171,-55.5455440067214")</f>
        <v>https://www.google.com/maps/search/?api=1&amp;query=-30.9056064797171,-55.5455440067214</v>
      </c>
      <c r="G87" s="68" t="str">
        <f>IFERROR(__xludf.DUMMYFUNCTION("""COMPUTED_VALUE"""),"https://earth.google.com/web/search/-30.9056064797171,-55.5455440067214")</f>
        <v>https://earth.google.com/web/search/-30.9056064797171,-55.5455440067214</v>
      </c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</row>
    <row r="88">
      <c r="A88" s="69" t="str">
        <f>IFERROR(__xludf.DUMMYFUNCTION("""COMPUTED_VALUE"""),"-30.9056896451178")</f>
        <v>-30.9056896451178</v>
      </c>
      <c r="B88" s="61" t="str">
        <f>IFERROR(__xludf.DUMMYFUNCTION("""COMPUTED_VALUE"""),"-55.5454074275334")</f>
        <v>-55.5454074275334</v>
      </c>
      <c r="C88" s="61">
        <f>IFERROR(__xludf.DUMMYFUNCTION("""COMPUTED_VALUE"""),1.0)</f>
        <v>1</v>
      </c>
      <c r="D88" s="61">
        <f>IFERROR(__xludf.DUMMYFUNCTION("""COMPUTED_VALUE"""),385.0)</f>
        <v>385</v>
      </c>
      <c r="E88" s="61">
        <f>IFERROR(__xludf.DUMMYFUNCTION("""COMPUTED_VALUE"""),2.0)</f>
        <v>2</v>
      </c>
      <c r="F88" s="62" t="str">
        <f>IFERROR(__xludf.DUMMYFUNCTION("""COMPUTED_VALUE"""),"https://www.google.com/maps/search/?api=1&amp;query=-30.9056896451178,-55.5454074275334")</f>
        <v>https://www.google.com/maps/search/?api=1&amp;query=-30.9056896451178,-55.5454074275334</v>
      </c>
      <c r="G88" s="63" t="str">
        <f>IFERROR(__xludf.DUMMYFUNCTION("""COMPUTED_VALUE"""),"https://earth.google.com/web/search/-30.9056896451178,-55.5454074275334")</f>
        <v>https://earth.google.com/web/search/-30.9056896451178,-55.5454074275334</v>
      </c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</row>
    <row r="89">
      <c r="A89" s="65" t="str">
        <f>IFERROR(__xludf.DUMMYFUNCTION("""COMPUTED_VALUE"""),"-30.9057452741714")</f>
        <v>-30.9057452741714</v>
      </c>
      <c r="B89" s="66" t="str">
        <f>IFERROR(__xludf.DUMMYFUNCTION("""COMPUTED_VALUE"""),"-55.5453859453561")</f>
        <v>-55.5453859453561</v>
      </c>
      <c r="C89" s="66">
        <f>IFERROR(__xludf.DUMMYFUNCTION("""COMPUTED_VALUE"""),1.0)</f>
        <v>1</v>
      </c>
      <c r="D89" s="66">
        <f>IFERROR(__xludf.DUMMYFUNCTION("""COMPUTED_VALUE"""),385.0)</f>
        <v>385</v>
      </c>
      <c r="E89" s="66">
        <f>IFERROR(__xludf.DUMMYFUNCTION("""COMPUTED_VALUE"""),3.0)</f>
        <v>3</v>
      </c>
      <c r="F89" s="67" t="str">
        <f>IFERROR(__xludf.DUMMYFUNCTION("""COMPUTED_VALUE"""),"https://www.google.com/maps/search/?api=1&amp;query=-30.9057452741714,-55.5453859453561")</f>
        <v>https://www.google.com/maps/search/?api=1&amp;query=-30.9057452741714,-55.5453859453561</v>
      </c>
      <c r="G89" s="68" t="str">
        <f>IFERROR(__xludf.DUMMYFUNCTION("""COMPUTED_VALUE"""),"https://earth.google.com/web/search/-30.9057452741714,-55.5453859453561")</f>
        <v>https://earth.google.com/web/search/-30.9057452741714,-55.5453859453561</v>
      </c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</row>
    <row r="90">
      <c r="A90" s="69" t="str">
        <f>IFERROR(__xludf.DUMMYFUNCTION("""COMPUTED_VALUE"""),"-30.9057951514457")</f>
        <v>-30.9057951514457</v>
      </c>
      <c r="B90" s="61" t="str">
        <f>IFERROR(__xludf.DUMMYFUNCTION("""COMPUTED_VALUE"""),"-55.5454320159901")</f>
        <v>-55.5454320159901</v>
      </c>
      <c r="C90" s="61">
        <f>IFERROR(__xludf.DUMMYFUNCTION("""COMPUTED_VALUE"""),1.0)</f>
        <v>1</v>
      </c>
      <c r="D90" s="61">
        <f>IFERROR(__xludf.DUMMYFUNCTION("""COMPUTED_VALUE"""),385.0)</f>
        <v>385</v>
      </c>
      <c r="E90" s="61">
        <f>IFERROR(__xludf.DUMMYFUNCTION("""COMPUTED_VALUE"""),4.0)</f>
        <v>4</v>
      </c>
      <c r="F90" s="62" t="str">
        <f>IFERROR(__xludf.DUMMYFUNCTION("""COMPUTED_VALUE"""),"https://www.google.com/maps/search/?api=1&amp;query=-30.9057951514457,-55.5454320159901")</f>
        <v>https://www.google.com/maps/search/?api=1&amp;query=-30.9057951514457,-55.5454320159901</v>
      </c>
      <c r="G90" s="63" t="str">
        <f>IFERROR(__xludf.DUMMYFUNCTION("""COMPUTED_VALUE"""),"https://earth.google.com/web/search/-30.9057951514457,-55.5454320159901")</f>
        <v>https://earth.google.com/web/search/-30.9057951514457,-55.5454320159901</v>
      </c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</row>
    <row r="91">
      <c r="A91" s="65" t="str">
        <f>IFERROR(__xludf.DUMMYFUNCTION("""COMPUTED_VALUE"""),"-30.9058100235644")</f>
        <v>-30.9058100235644</v>
      </c>
      <c r="B91" s="66" t="str">
        <f>IFERROR(__xludf.DUMMYFUNCTION("""COMPUTED_VALUE"""),"-55.5454487557114")</f>
        <v>-55.5454487557114</v>
      </c>
      <c r="C91" s="66">
        <f>IFERROR(__xludf.DUMMYFUNCTION("""COMPUTED_VALUE"""),1.0)</f>
        <v>1</v>
      </c>
      <c r="D91" s="66">
        <f>IFERROR(__xludf.DUMMYFUNCTION("""COMPUTED_VALUE"""),385.0)</f>
        <v>385</v>
      </c>
      <c r="E91" s="66">
        <f>IFERROR(__xludf.DUMMYFUNCTION("""COMPUTED_VALUE"""),5.0)</f>
        <v>5</v>
      </c>
      <c r="F91" s="67" t="str">
        <f>IFERROR(__xludf.DUMMYFUNCTION("""COMPUTED_VALUE"""),"https://www.google.com/maps/search/?api=1&amp;query=-30.9058100235644,-55.5454487557114")</f>
        <v>https://www.google.com/maps/search/?api=1&amp;query=-30.9058100235644,-55.5454487557114</v>
      </c>
      <c r="G91" s="68" t="str">
        <f>IFERROR(__xludf.DUMMYFUNCTION("""COMPUTED_VALUE"""),"https://earth.google.com/web/search/-30.9058100235644,-55.5454487557114")</f>
        <v>https://earth.google.com/web/search/-30.9058100235644,-55.5454487557114</v>
      </c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</row>
    <row r="92">
      <c r="A92" s="69" t="str">
        <f>IFERROR(__xludf.DUMMYFUNCTION("""COMPUTED_VALUE"""),"-30.9058701221712")</f>
        <v>-30.9058701221712</v>
      </c>
      <c r="B92" s="61" t="str">
        <f>IFERROR(__xludf.DUMMYFUNCTION("""COMPUTED_VALUE"""),"-55.5454854122774")</f>
        <v>-55.5454854122774</v>
      </c>
      <c r="C92" s="61">
        <f>IFERROR(__xludf.DUMMYFUNCTION("""COMPUTED_VALUE"""),1.0)</f>
        <v>1</v>
      </c>
      <c r="D92" s="61">
        <f>IFERROR(__xludf.DUMMYFUNCTION("""COMPUTED_VALUE"""),385.0)</f>
        <v>385</v>
      </c>
      <c r="E92" s="61">
        <f>IFERROR(__xludf.DUMMYFUNCTION("""COMPUTED_VALUE"""),6.0)</f>
        <v>6</v>
      </c>
      <c r="F92" s="62" t="str">
        <f>IFERROR(__xludf.DUMMYFUNCTION("""COMPUTED_VALUE"""),"https://www.google.com/maps/search/?api=1&amp;query=-30.9058701221712,-55.5454854122774")</f>
        <v>https://www.google.com/maps/search/?api=1&amp;query=-30.9058701221712,-55.5454854122774</v>
      </c>
      <c r="G92" s="63" t="str">
        <f>IFERROR(__xludf.DUMMYFUNCTION("""COMPUTED_VALUE"""),"https://earth.google.com/web/search/-30.9058701221712,-55.5454854122774")</f>
        <v>https://earth.google.com/web/search/-30.9058701221712,-55.5454854122774</v>
      </c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</row>
    <row r="93">
      <c r="A93" s="65" t="str">
        <f>IFERROR(__xludf.DUMMYFUNCTION("""COMPUTED_VALUE"""),"-3.0905949462765")</f>
        <v>-3.0905949462765</v>
      </c>
      <c r="B93" s="66" t="str">
        <f>IFERROR(__xludf.DUMMYFUNCTION("""COMPUTED_VALUE"""),"-55.5455248362094")</f>
        <v>-55.5455248362094</v>
      </c>
      <c r="C93" s="66">
        <f>IFERROR(__xludf.DUMMYFUNCTION("""COMPUTED_VALUE"""),1.0)</f>
        <v>1</v>
      </c>
      <c r="D93" s="66">
        <f>IFERROR(__xludf.DUMMYFUNCTION("""COMPUTED_VALUE"""),385.0)</f>
        <v>385</v>
      </c>
      <c r="E93" s="66">
        <f>IFERROR(__xludf.DUMMYFUNCTION("""COMPUTED_VALUE"""),7.0)</f>
        <v>7</v>
      </c>
      <c r="F93" s="67" t="str">
        <f>IFERROR(__xludf.DUMMYFUNCTION("""COMPUTED_VALUE"""),"https://www.google.com/maps/search/?api=1&amp;query=-3.0905949462765,-55.5455248362094")</f>
        <v>https://www.google.com/maps/search/?api=1&amp;query=-3.0905949462765,-55.5455248362094</v>
      </c>
      <c r="G93" s="68" t="str">
        <f>IFERROR(__xludf.DUMMYFUNCTION("""COMPUTED_VALUE"""),"https://earth.google.com/web/search/-3.0905949462765,-55.5455248362094")</f>
        <v>https://earth.google.com/web/search/-3.0905949462765,-55.5455248362094</v>
      </c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</row>
    <row r="94">
      <c r="A94" s="69" t="str">
        <f>IFERROR(__xludf.DUMMYFUNCTION("""COMPUTED_VALUE"""),"-30.9062548627498")</f>
        <v>-30.9062548627498</v>
      </c>
      <c r="B94" s="61" t="str">
        <f>IFERROR(__xludf.DUMMYFUNCTION("""COMPUTED_VALUE"""),"-55.5457498348248")</f>
        <v>-55.5457498348248</v>
      </c>
      <c r="C94" s="61">
        <f>IFERROR(__xludf.DUMMYFUNCTION("""COMPUTED_VALUE"""),1.0)</f>
        <v>1</v>
      </c>
      <c r="D94" s="61">
        <f>IFERROR(__xludf.DUMMYFUNCTION("""COMPUTED_VALUE"""),385.0)</f>
        <v>385</v>
      </c>
      <c r="E94" s="61">
        <f>IFERROR(__xludf.DUMMYFUNCTION("""COMPUTED_VALUE"""),8.0)</f>
        <v>8</v>
      </c>
      <c r="F94" s="62" t="str">
        <f>IFERROR(__xludf.DUMMYFUNCTION("""COMPUTED_VALUE"""),"https://www.google.com/maps/search/?api=1&amp;query=-30.9062548627498,-55.5457498348248")</f>
        <v>https://www.google.com/maps/search/?api=1&amp;query=-30.9062548627498,-55.5457498348248</v>
      </c>
      <c r="G94" s="63" t="str">
        <f>IFERROR(__xludf.DUMMYFUNCTION("""COMPUTED_VALUE"""),"https://earth.google.com/web/search/-30.9062548627498,-55.5457498348248")</f>
        <v>https://earth.google.com/web/search/-30.9062548627498,-55.5457498348248</v>
      </c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</row>
    <row r="95">
      <c r="A95" s="65" t="str">
        <f>IFERROR(__xludf.DUMMYFUNCTION("""COMPUTED_VALUE"""),"-30.9063076508241")</f>
        <v>-30.9063076508241</v>
      </c>
      <c r="B95" s="66" t="str">
        <f>IFERROR(__xludf.DUMMYFUNCTION("""COMPUTED_VALUE"""),"-55.5457941553358")</f>
        <v>-55.5457941553358</v>
      </c>
      <c r="C95" s="66">
        <f>IFERROR(__xludf.DUMMYFUNCTION("""COMPUTED_VALUE"""),1.0)</f>
        <v>1</v>
      </c>
      <c r="D95" s="66">
        <f>IFERROR(__xludf.DUMMYFUNCTION("""COMPUTED_VALUE"""),385.0)</f>
        <v>385</v>
      </c>
      <c r="E95" s="66">
        <f>IFERROR(__xludf.DUMMYFUNCTION("""COMPUTED_VALUE"""),9.0)</f>
        <v>9</v>
      </c>
      <c r="F95" s="67" t="str">
        <f>IFERROR(__xludf.DUMMYFUNCTION("""COMPUTED_VALUE"""),"https://www.google.com/maps/search/?api=1&amp;query=-30.9063076508241,-55.5457941553358")</f>
        <v>https://www.google.com/maps/search/?api=1&amp;query=-30.9063076508241,-55.5457941553358</v>
      </c>
      <c r="G95" s="68" t="str">
        <f>IFERROR(__xludf.DUMMYFUNCTION("""COMPUTED_VALUE"""),"https://earth.google.com/web/search/-30.9063076508241,-55.5457941553358")</f>
        <v>https://earth.google.com/web/search/-30.9063076508241,-55.5457941553358</v>
      </c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</row>
    <row r="96">
      <c r="A96" s="69" t="str">
        <f>IFERROR(__xludf.DUMMYFUNCTION("""COMPUTED_VALUE"""),"-30.9061182946333")</f>
        <v>-30.9061182946333</v>
      </c>
      <c r="B96" s="61" t="str">
        <f>IFERROR(__xludf.DUMMYFUNCTION("""COMPUTED_VALUE"""),"-55.5463967142229")</f>
        <v>-55.5463967142229</v>
      </c>
      <c r="C96" s="61">
        <f>IFERROR(__xludf.DUMMYFUNCTION("""COMPUTED_VALUE"""),1.0)</f>
        <v>1</v>
      </c>
      <c r="D96" s="61">
        <f>IFERROR(__xludf.DUMMYFUNCTION("""COMPUTED_VALUE"""),385.0)</f>
        <v>385</v>
      </c>
      <c r="E96" s="61">
        <f>IFERROR(__xludf.DUMMYFUNCTION("""COMPUTED_VALUE"""),10.0)</f>
        <v>10</v>
      </c>
      <c r="F96" s="62" t="str">
        <f>IFERROR(__xludf.DUMMYFUNCTION("""COMPUTED_VALUE"""),"https://www.google.com/maps/search/?api=1&amp;query=-30.9061182946333,-55.5463967142229")</f>
        <v>https://www.google.com/maps/search/?api=1&amp;query=-30.9061182946333,-55.5463967142229</v>
      </c>
      <c r="G96" s="63" t="str">
        <f>IFERROR(__xludf.DUMMYFUNCTION("""COMPUTED_VALUE"""),"https://earth.google.com/web/search/-30.9061182946333,-55.5463967142229")</f>
        <v>https://earth.google.com/web/search/-30.9061182946333,-55.5463967142229</v>
      </c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</row>
    <row r="97">
      <c r="A97" s="65" t="str">
        <f>IFERROR(__xludf.DUMMYFUNCTION("""COMPUTED_VALUE"""),"-30.9076479347842")</f>
        <v>-30.9076479347842</v>
      </c>
      <c r="B97" s="66" t="str">
        <f>IFERROR(__xludf.DUMMYFUNCTION("""COMPUTED_VALUE"""),"-55.5415039207327")</f>
        <v>-55.5415039207327</v>
      </c>
      <c r="C97" s="66">
        <f>IFERROR(__xludf.DUMMYFUNCTION("""COMPUTED_VALUE"""),1.0)</f>
        <v>1</v>
      </c>
      <c r="D97" s="66">
        <f>IFERROR(__xludf.DUMMYFUNCTION("""COMPUTED_VALUE"""),377.0)</f>
        <v>377</v>
      </c>
      <c r="E97" s="66">
        <f>IFERROR(__xludf.DUMMYFUNCTION("""COMPUTED_VALUE"""),1.0)</f>
        <v>1</v>
      </c>
      <c r="F97" s="67" t="str">
        <f>IFERROR(__xludf.DUMMYFUNCTION("""COMPUTED_VALUE"""),"https://www.google.com/maps/search/?api=1&amp;query=-30.9076479347842,-55.5415039207327")</f>
        <v>https://www.google.com/maps/search/?api=1&amp;query=-30.9076479347842,-55.5415039207327</v>
      </c>
      <c r="G97" s="68" t="str">
        <f>IFERROR(__xludf.DUMMYFUNCTION("""COMPUTED_VALUE"""),"https://earth.google.com/web/search/-30.9076479347842,-55.5415039207327")</f>
        <v>https://earth.google.com/web/search/-30.9076479347842,-55.5415039207327</v>
      </c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</row>
    <row r="98">
      <c r="A98" s="69" t="str">
        <f>IFERROR(__xludf.DUMMYFUNCTION("""COMPUTED_VALUE"""),"-30.9076976105712")</f>
        <v>-30.9076976105712</v>
      </c>
      <c r="B98" s="61" t="str">
        <f>IFERROR(__xludf.DUMMYFUNCTION("""COMPUTED_VALUE"""),"-5.5541409622316")</f>
        <v>-5.5541409622316</v>
      </c>
      <c r="C98" s="61">
        <f>IFERROR(__xludf.DUMMYFUNCTION("""COMPUTED_VALUE"""),1.0)</f>
        <v>1</v>
      </c>
      <c r="D98" s="61">
        <f>IFERROR(__xludf.DUMMYFUNCTION("""COMPUTED_VALUE"""),377.0)</f>
        <v>377</v>
      </c>
      <c r="E98" s="61">
        <f>IFERROR(__xludf.DUMMYFUNCTION("""COMPUTED_VALUE"""),2.0)</f>
        <v>2</v>
      </c>
      <c r="F98" s="62" t="str">
        <f>IFERROR(__xludf.DUMMYFUNCTION("""COMPUTED_VALUE"""),"https://www.google.com/maps/search/?api=1&amp;query=-30.9076976105712,-5.5541409622316")</f>
        <v>https://www.google.com/maps/search/?api=1&amp;query=-30.9076976105712,-5.5541409622316</v>
      </c>
      <c r="G98" s="63" t="str">
        <f>IFERROR(__xludf.DUMMYFUNCTION("""COMPUTED_VALUE"""),"https://earth.google.com/web/search/-30.9076976105712,-5.5541409622316")</f>
        <v>https://earth.google.com/web/search/-30.9076976105712,-5.5541409622316</v>
      </c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</row>
    <row r="99">
      <c r="A99" s="65" t="str">
        <f>IFERROR(__xludf.DUMMYFUNCTION("""COMPUTED_VALUE"""),"-30.9078793389034")</f>
        <v>-30.9078793389034</v>
      </c>
      <c r="B99" s="66" t="str">
        <f>IFERROR(__xludf.DUMMYFUNCTION("""COMPUTED_VALUE"""),"-55.5410609998854")</f>
        <v>-55.5410609998854</v>
      </c>
      <c r="C99" s="66">
        <f>IFERROR(__xludf.DUMMYFUNCTION("""COMPUTED_VALUE"""),1.0)</f>
        <v>1</v>
      </c>
      <c r="D99" s="66">
        <f>IFERROR(__xludf.DUMMYFUNCTION("""COMPUTED_VALUE"""),377.0)</f>
        <v>377</v>
      </c>
      <c r="E99" s="66">
        <f>IFERROR(__xludf.DUMMYFUNCTION("""COMPUTED_VALUE"""),3.0)</f>
        <v>3</v>
      </c>
      <c r="F99" s="67" t="str">
        <f>IFERROR(__xludf.DUMMYFUNCTION("""COMPUTED_VALUE"""),"https://www.google.com/maps/search/?api=1&amp;query=-30.9078793389034,-55.5410609998854")</f>
        <v>https://www.google.com/maps/search/?api=1&amp;query=-30.9078793389034,-55.5410609998854</v>
      </c>
      <c r="G99" s="68" t="str">
        <f>IFERROR(__xludf.DUMMYFUNCTION("""COMPUTED_VALUE"""),"https://earth.google.com/web/search/-30.9078793389034,-55.5410609998854")</f>
        <v>https://earth.google.com/web/search/-30.9078793389034,-55.5410609998854</v>
      </c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</row>
    <row r="100">
      <c r="A100" s="69" t="str">
        <f>IFERROR(__xludf.DUMMYFUNCTION("""COMPUTED_VALUE"""),"-30.9079185410384")</f>
        <v>-30.9079185410384</v>
      </c>
      <c r="B100" s="61" t="str">
        <f>IFERROR(__xludf.DUMMYFUNCTION("""COMPUTED_VALUE"""),"-5.5540987000298")</f>
        <v>-5.5540987000298</v>
      </c>
      <c r="C100" s="61">
        <f>IFERROR(__xludf.DUMMYFUNCTION("""COMPUTED_VALUE"""),1.0)</f>
        <v>1</v>
      </c>
      <c r="D100" s="61">
        <f>IFERROR(__xludf.DUMMYFUNCTION("""COMPUTED_VALUE"""),377.0)</f>
        <v>377</v>
      </c>
      <c r="E100" s="61">
        <f>IFERROR(__xludf.DUMMYFUNCTION("""COMPUTED_VALUE"""),4.0)</f>
        <v>4</v>
      </c>
      <c r="F100" s="62" t="str">
        <f>IFERROR(__xludf.DUMMYFUNCTION("""COMPUTED_VALUE"""),"https://www.google.com/maps/search/?api=1&amp;query=-30.9079185410384,-5.5540987000298")</f>
        <v>https://www.google.com/maps/search/?api=1&amp;query=-30.9079185410384,-5.5540987000298</v>
      </c>
      <c r="G100" s="63" t="str">
        <f>IFERROR(__xludf.DUMMYFUNCTION("""COMPUTED_VALUE"""),"https://earth.google.com/web/search/-30.9079185410384,-5.5540987000298")</f>
        <v>https://earth.google.com/web/search/-30.9079185410384,-5.5540987000298</v>
      </c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</row>
    <row r="101">
      <c r="A101" s="65" t="str">
        <f>IFERROR(__xludf.DUMMYFUNCTION("""COMPUTED_VALUE"""),"-0.3090799288893")</f>
        <v>-0.3090799288893</v>
      </c>
      <c r="B101" s="66" t="str">
        <f>IFERROR(__xludf.DUMMYFUNCTION("""COMPUTED_VALUE"""),"-55.5408303340199")</f>
        <v>-55.5408303340199</v>
      </c>
      <c r="C101" s="66">
        <f>IFERROR(__xludf.DUMMYFUNCTION("""COMPUTED_VALUE"""),1.0)</f>
        <v>1</v>
      </c>
      <c r="D101" s="66">
        <f>IFERROR(__xludf.DUMMYFUNCTION("""COMPUTED_VALUE"""),377.0)</f>
        <v>377</v>
      </c>
      <c r="E101" s="66">
        <f>IFERROR(__xludf.DUMMYFUNCTION("""COMPUTED_VALUE"""),5.0)</f>
        <v>5</v>
      </c>
      <c r="F101" s="67" t="str">
        <f>IFERROR(__xludf.DUMMYFUNCTION("""COMPUTED_VALUE"""),"https://www.google.com/maps/search/?api=1&amp;query=-0.3090799288893,-55.5408303340199")</f>
        <v>https://www.google.com/maps/search/?api=1&amp;query=-0.3090799288893,-55.5408303340199</v>
      </c>
      <c r="G101" s="68" t="str">
        <f>IFERROR(__xludf.DUMMYFUNCTION("""COMPUTED_VALUE"""),"https://earth.google.com/web/search/-0.3090799288893,-55.5408303340199")</f>
        <v>https://earth.google.com/web/search/-0.3090799288893,-55.5408303340199</v>
      </c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</row>
    <row r="102">
      <c r="A102" s="69" t="str">
        <f>IFERROR(__xludf.DUMMYFUNCTION("""COMPUTED_VALUE"""),"-30.9076651959219")</f>
        <v>-30.9076651959219</v>
      </c>
      <c r="B102" s="61" t="str">
        <f>IFERROR(__xludf.DUMMYFUNCTION("""COMPUTED_VALUE"""),"-0.5554045418706")</f>
        <v>-0.5554045418706</v>
      </c>
      <c r="C102" s="61">
        <f>IFERROR(__xludf.DUMMYFUNCTION("""COMPUTED_VALUE"""),1.0)</f>
        <v>1</v>
      </c>
      <c r="D102" s="61">
        <f>IFERROR(__xludf.DUMMYFUNCTION("""COMPUTED_VALUE"""),377.0)</f>
        <v>377</v>
      </c>
      <c r="E102" s="61">
        <f>IFERROR(__xludf.DUMMYFUNCTION("""COMPUTED_VALUE"""),6.0)</f>
        <v>6</v>
      </c>
      <c r="F102" s="62" t="str">
        <f>IFERROR(__xludf.DUMMYFUNCTION("""COMPUTED_VALUE"""),"https://www.google.com/maps/search/?api=1&amp;query=-30.9076651959219,-0.5554045418706")</f>
        <v>https://www.google.com/maps/search/?api=1&amp;query=-30.9076651959219,-0.5554045418706</v>
      </c>
      <c r="G102" s="63" t="str">
        <f>IFERROR(__xludf.DUMMYFUNCTION("""COMPUTED_VALUE"""),"https://earth.google.com/web/search/-30.9076651959219,-0.5554045418706")</f>
        <v>https://earth.google.com/web/search/-30.9076651959219,-0.5554045418706</v>
      </c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</row>
    <row r="103">
      <c r="A103" s="65" t="str">
        <f>IFERROR(__xludf.DUMMYFUNCTION("""COMPUTED_VALUE"""),"-3.0907536742154")</f>
        <v>-3.0907536742154</v>
      </c>
      <c r="B103" s="66" t="str">
        <f>IFERROR(__xludf.DUMMYFUNCTION("""COMPUTED_VALUE"""),"-5.5540363877482")</f>
        <v>-5.5540363877482</v>
      </c>
      <c r="C103" s="66">
        <f>IFERROR(__xludf.DUMMYFUNCTION("""COMPUTED_VALUE"""),1.0)</f>
        <v>1</v>
      </c>
      <c r="D103" s="66">
        <f>IFERROR(__xludf.DUMMYFUNCTION("""COMPUTED_VALUE"""),377.0)</f>
        <v>377</v>
      </c>
      <c r="E103" s="66">
        <f>IFERROR(__xludf.DUMMYFUNCTION("""COMPUTED_VALUE"""),7.0)</f>
        <v>7</v>
      </c>
      <c r="F103" s="67" t="str">
        <f>IFERROR(__xludf.DUMMYFUNCTION("""COMPUTED_VALUE"""),"https://www.google.com/maps/search/?api=1&amp;query=-3.0907536742154,-5.5540363877482")</f>
        <v>https://www.google.com/maps/search/?api=1&amp;query=-3.0907536742154,-5.5540363877482</v>
      </c>
      <c r="G103" s="68" t="str">
        <f>IFERROR(__xludf.DUMMYFUNCTION("""COMPUTED_VALUE"""),"https://earth.google.com/web/search/-3.0907536742154,-5.5540363877482")</f>
        <v>https://earth.google.com/web/search/-3.0907536742154,-5.5540363877482</v>
      </c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</row>
    <row r="104">
      <c r="A104" s="69" t="str">
        <f>IFERROR(__xludf.DUMMYFUNCTION("""COMPUTED_VALUE"""),"-3.0907133574127")</f>
        <v>-3.0907133574127</v>
      </c>
      <c r="B104" s="61" t="str">
        <f>IFERROR(__xludf.DUMMYFUNCTION("""COMPUTED_VALUE"""),"-55.5406673112119")</f>
        <v>-55.5406673112119</v>
      </c>
      <c r="C104" s="61">
        <f>IFERROR(__xludf.DUMMYFUNCTION("""COMPUTED_VALUE"""),1.0)</f>
        <v>1</v>
      </c>
      <c r="D104" s="61">
        <f>IFERROR(__xludf.DUMMYFUNCTION("""COMPUTED_VALUE"""),377.0)</f>
        <v>377</v>
      </c>
      <c r="E104" s="61">
        <f>IFERROR(__xludf.DUMMYFUNCTION("""COMPUTED_VALUE"""),8.0)</f>
        <v>8</v>
      </c>
      <c r="F104" s="62" t="str">
        <f>IFERROR(__xludf.DUMMYFUNCTION("""COMPUTED_VALUE"""),"https://www.google.com/maps/search/?api=1&amp;query=-3.0907133574127,-55.5406673112119")</f>
        <v>https://www.google.com/maps/search/?api=1&amp;query=-3.0907133574127,-55.5406673112119</v>
      </c>
      <c r="G104" s="63" t="str">
        <f>IFERROR(__xludf.DUMMYFUNCTION("""COMPUTED_VALUE"""),"https://earth.google.com/web/search/-3.0907133574127,-55.5406673112119")</f>
        <v>https://earth.google.com/web/search/-3.0907133574127,-55.5406673112119</v>
      </c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</row>
    <row r="105">
      <c r="A105" s="65" t="str">
        <f>IFERROR(__xludf.DUMMYFUNCTION("""COMPUTED_VALUE"""),"-30.9070732888236")</f>
        <v>-30.9070732888236</v>
      </c>
      <c r="B105" s="66" t="str">
        <f>IFERROR(__xludf.DUMMYFUNCTION("""COMPUTED_VALUE"""),"-55.5407894806845")</f>
        <v>-55.5407894806845</v>
      </c>
      <c r="C105" s="66">
        <f>IFERROR(__xludf.DUMMYFUNCTION("""COMPUTED_VALUE"""),1.0)</f>
        <v>1</v>
      </c>
      <c r="D105" s="66">
        <f>IFERROR(__xludf.DUMMYFUNCTION("""COMPUTED_VALUE"""),377.0)</f>
        <v>377</v>
      </c>
      <c r="E105" s="66">
        <f>IFERROR(__xludf.DUMMYFUNCTION("""COMPUTED_VALUE"""),9.0)</f>
        <v>9</v>
      </c>
      <c r="F105" s="67" t="str">
        <f>IFERROR(__xludf.DUMMYFUNCTION("""COMPUTED_VALUE"""),"https://www.google.com/maps/search/?api=1&amp;query=-30.9070732888236,-55.5407894806845")</f>
        <v>https://www.google.com/maps/search/?api=1&amp;query=-30.9070732888236,-55.5407894806845</v>
      </c>
      <c r="G105" s="68" t="str">
        <f>IFERROR(__xludf.DUMMYFUNCTION("""COMPUTED_VALUE"""),"https://earth.google.com/web/search/-30.9070732888236,-55.5407894806845")</f>
        <v>https://earth.google.com/web/search/-30.9070732888236,-55.5407894806845</v>
      </c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</row>
    <row r="106">
      <c r="A106" s="69" t="str">
        <f>IFERROR(__xludf.DUMMYFUNCTION("""COMPUTED_VALUE"""),"-3.0906982426122")</f>
        <v>-3.0906982426122</v>
      </c>
      <c r="B106" s="61" t="str">
        <f>IFERROR(__xludf.DUMMYFUNCTION("""COMPUTED_VALUE"""),"-55.5409209370329")</f>
        <v>-55.5409209370329</v>
      </c>
      <c r="C106" s="61">
        <f>IFERROR(__xludf.DUMMYFUNCTION("""COMPUTED_VALUE"""),1.0)</f>
        <v>1</v>
      </c>
      <c r="D106" s="61">
        <f>IFERROR(__xludf.DUMMYFUNCTION("""COMPUTED_VALUE"""),377.0)</f>
        <v>377</v>
      </c>
      <c r="E106" s="61">
        <f>IFERROR(__xludf.DUMMYFUNCTION("""COMPUTED_VALUE"""),10.0)</f>
        <v>10</v>
      </c>
      <c r="F106" s="62" t="str">
        <f>IFERROR(__xludf.DUMMYFUNCTION("""COMPUTED_VALUE"""),"https://www.google.com/maps/search/?api=1&amp;query=-3.0906982426122,-55.5409209370329")</f>
        <v>https://www.google.com/maps/search/?api=1&amp;query=-3.0906982426122,-55.5409209370329</v>
      </c>
      <c r="G106" s="63" t="str">
        <f>IFERROR(__xludf.DUMMYFUNCTION("""COMPUTED_VALUE"""),"https://earth.google.com/web/search/-3.0906982426122,-55.5409209370329")</f>
        <v>https://earth.google.com/web/search/-3.0906982426122,-55.5409209370329</v>
      </c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</row>
    <row r="107">
      <c r="A107" s="65" t="str">
        <f>IFERROR(__xludf.DUMMYFUNCTION("""COMPUTED_VALUE"""),"-30.9069453893603")</f>
        <v>-30.9069453893603</v>
      </c>
      <c r="B107" s="66" t="str">
        <f>IFERROR(__xludf.DUMMYFUNCTION("""COMPUTED_VALUE"""),"-5.5540992143515")</f>
        <v>-5.5540992143515</v>
      </c>
      <c r="C107" s="66">
        <f>IFERROR(__xludf.DUMMYFUNCTION("""COMPUTED_VALUE"""),1.0)</f>
        <v>1</v>
      </c>
      <c r="D107" s="66">
        <f>IFERROR(__xludf.DUMMYFUNCTION("""COMPUTED_VALUE"""),377.0)</f>
        <v>377</v>
      </c>
      <c r="E107" s="66">
        <f>IFERROR(__xludf.DUMMYFUNCTION("""COMPUTED_VALUE"""),11.0)</f>
        <v>11</v>
      </c>
      <c r="F107" s="67" t="str">
        <f>IFERROR(__xludf.DUMMYFUNCTION("""COMPUTED_VALUE"""),"https://www.google.com/maps/search/?api=1&amp;query=-30.9069453893603,-5.5540992143515")</f>
        <v>https://www.google.com/maps/search/?api=1&amp;query=-30.9069453893603,-5.5540992143515</v>
      </c>
      <c r="G107" s="68" t="str">
        <f>IFERROR(__xludf.DUMMYFUNCTION("""COMPUTED_VALUE"""),"https://earth.google.com/web/search/-30.9069453893603,-5.5540992143515")</f>
        <v>https://earth.google.com/web/search/-30.9069453893603,-5.5540992143515</v>
      </c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</row>
    <row r="108">
      <c r="A108" s="69" t="str">
        <f>IFERROR(__xludf.DUMMYFUNCTION("""COMPUTED_VALUE"""),"-30.9070558560666")</f>
        <v>-30.9070558560666</v>
      </c>
      <c r="B108" s="61" t="str">
        <f>IFERROR(__xludf.DUMMYFUNCTION("""COMPUTED_VALUE"""),"-55.5411452752246")</f>
        <v>-55.5411452752246</v>
      </c>
      <c r="C108" s="61">
        <f>IFERROR(__xludf.DUMMYFUNCTION("""COMPUTED_VALUE"""),1.0)</f>
        <v>1</v>
      </c>
      <c r="D108" s="61">
        <f>IFERROR(__xludf.DUMMYFUNCTION("""COMPUTED_VALUE"""),377.0)</f>
        <v>377</v>
      </c>
      <c r="E108" s="61">
        <f>IFERROR(__xludf.DUMMYFUNCTION("""COMPUTED_VALUE"""),12.0)</f>
        <v>12</v>
      </c>
      <c r="F108" s="62" t="str">
        <f>IFERROR(__xludf.DUMMYFUNCTION("""COMPUTED_VALUE"""),"https://www.google.com/maps/search/?api=1&amp;query=-30.9070558560666,-55.5411452752246")</f>
        <v>https://www.google.com/maps/search/?api=1&amp;query=-30.9070558560666,-55.5411452752246</v>
      </c>
      <c r="G108" s="63" t="str">
        <f>IFERROR(__xludf.DUMMYFUNCTION("""COMPUTED_VALUE"""),"https://earth.google.com/web/search/-30.9070558560666,-55.5411452752246")</f>
        <v>https://earth.google.com/web/search/-30.9070558560666,-55.5411452752246</v>
      </c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</row>
    <row r="109">
      <c r="A109" s="65" t="str">
        <f>IFERROR(__xludf.DUMMYFUNCTION("""COMPUTED_VALUE"""),"-30.9072305884691")</f>
        <v>-30.9072305884691</v>
      </c>
      <c r="B109" s="66" t="str">
        <f>IFERROR(__xludf.DUMMYFUNCTION("""COMPUTED_VALUE"""),"-55.5412632763912")</f>
        <v>-55.5412632763912</v>
      </c>
      <c r="C109" s="66">
        <f>IFERROR(__xludf.DUMMYFUNCTION("""COMPUTED_VALUE"""),1.0)</f>
        <v>1</v>
      </c>
      <c r="D109" s="66">
        <f>IFERROR(__xludf.DUMMYFUNCTION("""COMPUTED_VALUE"""),377.0)</f>
        <v>377</v>
      </c>
      <c r="E109" s="66">
        <f>IFERROR(__xludf.DUMMYFUNCTION("""COMPUTED_VALUE"""),13.0)</f>
        <v>13</v>
      </c>
      <c r="F109" s="67" t="str">
        <f>IFERROR(__xludf.DUMMYFUNCTION("""COMPUTED_VALUE"""),"https://www.google.com/maps/search/?api=1&amp;query=-30.9072305884691,-55.5412632763912")</f>
        <v>https://www.google.com/maps/search/?api=1&amp;query=-30.9072305884691,-55.5412632763912</v>
      </c>
      <c r="G109" s="68" t="str">
        <f>IFERROR(__xludf.DUMMYFUNCTION("""COMPUTED_VALUE"""),"https://earth.google.com/web/search/-30.9072305884691,-55.5412632763912")</f>
        <v>https://earth.google.com/web/search/-30.9072305884691,-55.5412632763912</v>
      </c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</row>
    <row r="110">
      <c r="A110" s="69" t="str">
        <f>IFERROR(__xludf.DUMMYFUNCTION("""COMPUTED_VALUE"""),"-30.9073082058847")</f>
        <v>-30.9073082058847</v>
      </c>
      <c r="B110" s="61" t="str">
        <f>IFERROR(__xludf.DUMMYFUNCTION("""COMPUTED_VALUE"""),"-55.5413254609809")</f>
        <v>-55.5413254609809</v>
      </c>
      <c r="C110" s="61">
        <f>IFERROR(__xludf.DUMMYFUNCTION("""COMPUTED_VALUE"""),1.0)</f>
        <v>1</v>
      </c>
      <c r="D110" s="61">
        <f>IFERROR(__xludf.DUMMYFUNCTION("""COMPUTED_VALUE"""),377.0)</f>
        <v>377</v>
      </c>
      <c r="E110" s="61">
        <f>IFERROR(__xludf.DUMMYFUNCTION("""COMPUTED_VALUE"""),14.0)</f>
        <v>14</v>
      </c>
      <c r="F110" s="62" t="str">
        <f>IFERROR(__xludf.DUMMYFUNCTION("""COMPUTED_VALUE"""),"https://www.google.com/maps/search/?api=1&amp;query=-30.9073082058847,-55.5413254609809")</f>
        <v>https://www.google.com/maps/search/?api=1&amp;query=-30.9073082058847,-55.5413254609809</v>
      </c>
      <c r="G110" s="63" t="str">
        <f>IFERROR(__xludf.DUMMYFUNCTION("""COMPUTED_VALUE"""),"https://earth.google.com/web/search/-30.9073082058847,-55.5413254609809")</f>
        <v>https://earth.google.com/web/search/-30.9073082058847,-55.5413254609809</v>
      </c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</row>
    <row r="111">
      <c r="A111" s="65" t="str">
        <f>IFERROR(__xludf.DUMMYFUNCTION("""COMPUTED_VALUE"""),"-3.0907376247694")</f>
        <v>-3.0907376247694</v>
      </c>
      <c r="B111" s="66" t="str">
        <f>IFERROR(__xludf.DUMMYFUNCTION("""COMPUTED_VALUE"""),"-55.5413846425436")</f>
        <v>-55.5413846425436</v>
      </c>
      <c r="C111" s="66">
        <f>IFERROR(__xludf.DUMMYFUNCTION("""COMPUTED_VALUE"""),1.0)</f>
        <v>1</v>
      </c>
      <c r="D111" s="66">
        <f>IFERROR(__xludf.DUMMYFUNCTION("""COMPUTED_VALUE"""),377.0)</f>
        <v>377</v>
      </c>
      <c r="E111" s="66">
        <f>IFERROR(__xludf.DUMMYFUNCTION("""COMPUTED_VALUE"""),15.0)</f>
        <v>15</v>
      </c>
      <c r="F111" s="67" t="str">
        <f>IFERROR(__xludf.DUMMYFUNCTION("""COMPUTED_VALUE"""),"https://www.google.com/maps/search/?api=1&amp;query=-3.0907376247694,-55.5413846425436")</f>
        <v>https://www.google.com/maps/search/?api=1&amp;query=-3.0907376247694,-55.5413846425436</v>
      </c>
      <c r="G111" s="68" t="str">
        <f>IFERROR(__xludf.DUMMYFUNCTION("""COMPUTED_VALUE"""),"https://earth.google.com/web/search/-3.0907376247694,-55.5413846425436")</f>
        <v>https://earth.google.com/web/search/-3.0907376247694,-55.5413846425436</v>
      </c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</row>
    <row r="112">
      <c r="A112" s="69" t="str">
        <f>IFERROR(__xludf.DUMMYFUNCTION("""COMPUTED_VALUE"""),"-30.9071660855945")</f>
        <v>-30.9071660855945</v>
      </c>
      <c r="B112" s="61" t="str">
        <f>IFERROR(__xludf.DUMMYFUNCTION("""COMPUTED_VALUE"""),"-55.5424374384029")</f>
        <v>-55.5424374384029</v>
      </c>
      <c r="C112" s="61">
        <f>IFERROR(__xludf.DUMMYFUNCTION("""COMPUTED_VALUE"""),1.0)</f>
        <v>1</v>
      </c>
      <c r="D112" s="61">
        <f>IFERROR(__xludf.DUMMYFUNCTION("""COMPUTED_VALUE"""),376.0)</f>
        <v>376</v>
      </c>
      <c r="E112" s="61">
        <f>IFERROR(__xludf.DUMMYFUNCTION("""COMPUTED_VALUE"""),1.0)</f>
        <v>1</v>
      </c>
      <c r="F112" s="62" t="str">
        <f>IFERROR(__xludf.DUMMYFUNCTION("""COMPUTED_VALUE"""),"https://www.google.com/maps/search/?api=1&amp;query=-30.9071660855945,-55.5424374384029")</f>
        <v>https://www.google.com/maps/search/?api=1&amp;query=-30.9071660855945,-55.5424374384029</v>
      </c>
      <c r="G112" s="63" t="str">
        <f>IFERROR(__xludf.DUMMYFUNCTION("""COMPUTED_VALUE"""),"https://earth.google.com/web/search/-30.9071660855945,-55.5424374384029")</f>
        <v>https://earth.google.com/web/search/-30.9071660855945,-55.5424374384029</v>
      </c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</row>
    <row r="113">
      <c r="A113" s="65" t="str">
        <f>IFERROR(__xludf.DUMMYFUNCTION("""COMPUTED_VALUE"""),"-30.9071989906934")</f>
        <v>-30.9071989906934</v>
      </c>
      <c r="B113" s="66" t="str">
        <f>IFERROR(__xludf.DUMMYFUNCTION("""COMPUTED_VALUE"""),"-55.5423655287161")</f>
        <v>-55.5423655287161</v>
      </c>
      <c r="C113" s="66">
        <f>IFERROR(__xludf.DUMMYFUNCTION("""COMPUTED_VALUE"""),1.0)</f>
        <v>1</v>
      </c>
      <c r="D113" s="66">
        <f>IFERROR(__xludf.DUMMYFUNCTION("""COMPUTED_VALUE"""),376.0)</f>
        <v>376</v>
      </c>
      <c r="E113" s="66">
        <f>IFERROR(__xludf.DUMMYFUNCTION("""COMPUTED_VALUE"""),2.0)</f>
        <v>2</v>
      </c>
      <c r="F113" s="67" t="str">
        <f>IFERROR(__xludf.DUMMYFUNCTION("""COMPUTED_VALUE"""),"https://www.google.com/maps/search/?api=1&amp;query=-30.9071989906934,-55.5423655287161")</f>
        <v>https://www.google.com/maps/search/?api=1&amp;query=-30.9071989906934,-55.5423655287161</v>
      </c>
      <c r="G113" s="68" t="str">
        <f>IFERROR(__xludf.DUMMYFUNCTION("""COMPUTED_VALUE"""),"https://earth.google.com/web/search/-30.9071989906934,-55.5423655287161")</f>
        <v>https://earth.google.com/web/search/-30.9071989906934,-55.5423655287161</v>
      </c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</row>
    <row r="114">
      <c r="A114" s="69" t="str">
        <f>IFERROR(__xludf.DUMMYFUNCTION("""COMPUTED_VALUE"""),"-30.9072826555699")</f>
        <v>-30.9072826555699</v>
      </c>
      <c r="B114" s="61" t="str">
        <f>IFERROR(__xludf.DUMMYFUNCTION("""COMPUTED_VALUE"""),"-55.5421998837116")</f>
        <v>-55.5421998837116</v>
      </c>
      <c r="C114" s="61">
        <f>IFERROR(__xludf.DUMMYFUNCTION("""COMPUTED_VALUE"""),1.0)</f>
        <v>1</v>
      </c>
      <c r="D114" s="61">
        <f>IFERROR(__xludf.DUMMYFUNCTION("""COMPUTED_VALUE"""),376.0)</f>
        <v>376</v>
      </c>
      <c r="E114" s="61">
        <f>IFERROR(__xludf.DUMMYFUNCTION("""COMPUTED_VALUE"""),3.0)</f>
        <v>3</v>
      </c>
      <c r="F114" s="62" t="str">
        <f>IFERROR(__xludf.DUMMYFUNCTION("""COMPUTED_VALUE"""),"https://www.google.com/maps/search/?api=1&amp;query=-30.9072826555699,-55.5421998837116")</f>
        <v>https://www.google.com/maps/search/?api=1&amp;query=-30.9072826555699,-55.5421998837116</v>
      </c>
      <c r="G114" s="63" t="str">
        <f>IFERROR(__xludf.DUMMYFUNCTION("""COMPUTED_VALUE"""),"https://earth.google.com/web/search/-30.9072826555699,-55.5421998837116")</f>
        <v>https://earth.google.com/web/search/-30.9072826555699,-55.5421998837116</v>
      </c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</row>
    <row r="115">
      <c r="A115" s="65" t="str">
        <f>IFERROR(__xludf.DUMMYFUNCTION("""COMPUTED_VALUE"""),"-30.9073185301377")</f>
        <v>-30.9073185301377</v>
      </c>
      <c r="B115" s="66" t="str">
        <f>IFERROR(__xludf.DUMMYFUNCTION("""COMPUTED_VALUE"""),"-55.5420835992101")</f>
        <v>-55.5420835992101</v>
      </c>
      <c r="C115" s="66">
        <f>IFERROR(__xludf.DUMMYFUNCTION("""COMPUTED_VALUE"""),1.0)</f>
        <v>1</v>
      </c>
      <c r="D115" s="66">
        <f>IFERROR(__xludf.DUMMYFUNCTION("""COMPUTED_VALUE"""),376.0)</f>
        <v>376</v>
      </c>
      <c r="E115" s="66">
        <f>IFERROR(__xludf.DUMMYFUNCTION("""COMPUTED_VALUE"""),4.0)</f>
        <v>4</v>
      </c>
      <c r="F115" s="67" t="str">
        <f>IFERROR(__xludf.DUMMYFUNCTION("""COMPUTED_VALUE"""),"https://www.google.com/maps/search/?api=1&amp;query=-30.9073185301377,-55.5420835992101")</f>
        <v>https://www.google.com/maps/search/?api=1&amp;query=-30.9073185301377,-55.5420835992101</v>
      </c>
      <c r="G115" s="68" t="str">
        <f>IFERROR(__xludf.DUMMYFUNCTION("""COMPUTED_VALUE"""),"https://earth.google.com/web/search/-30.9073185301377,-55.5420835992101")</f>
        <v>https://earth.google.com/web/search/-30.9073185301377,-55.5420835992101</v>
      </c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</row>
    <row r="116">
      <c r="A116" s="69" t="str">
        <f>IFERROR(__xludf.DUMMYFUNCTION("""COMPUTED_VALUE"""),"-30.9073788467952")</f>
        <v>-30.9073788467952</v>
      </c>
      <c r="B116" s="61" t="str">
        <f>IFERROR(__xludf.DUMMYFUNCTION("""COMPUTED_VALUE"""),"-55.5419768985263")</f>
        <v>-55.5419768985263</v>
      </c>
      <c r="C116" s="61">
        <f>IFERROR(__xludf.DUMMYFUNCTION("""COMPUTED_VALUE"""),1.0)</f>
        <v>1</v>
      </c>
      <c r="D116" s="61">
        <f>IFERROR(__xludf.DUMMYFUNCTION("""COMPUTED_VALUE"""),376.0)</f>
        <v>376</v>
      </c>
      <c r="E116" s="61">
        <f>IFERROR(__xludf.DUMMYFUNCTION("""COMPUTED_VALUE"""),5.0)</f>
        <v>5</v>
      </c>
      <c r="F116" s="62" t="str">
        <f>IFERROR(__xludf.DUMMYFUNCTION("""COMPUTED_VALUE"""),"https://www.google.com/maps/search/?api=1&amp;query=-30.9073788467952,-55.5419768985263")</f>
        <v>https://www.google.com/maps/search/?api=1&amp;query=-30.9073788467952,-55.5419768985263</v>
      </c>
      <c r="G116" s="63" t="str">
        <f>IFERROR(__xludf.DUMMYFUNCTION("""COMPUTED_VALUE"""),"https://earth.google.com/web/search/-30.9073788467952,-55.5419768985263")</f>
        <v>https://earth.google.com/web/search/-30.9073788467952,-55.5419768985263</v>
      </c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</row>
    <row r="117">
      <c r="A117" s="65" t="str">
        <f>IFERROR(__xludf.DUMMYFUNCTION("""COMPUTED_VALUE"""),"-30.9075560525513")</f>
        <v>-30.9075560525513</v>
      </c>
      <c r="B117" s="66" t="str">
        <f>IFERROR(__xludf.DUMMYFUNCTION("""COMPUTED_VALUE"""),"-55.5417071480027")</f>
        <v>-55.5417071480027</v>
      </c>
      <c r="C117" s="66">
        <f>IFERROR(__xludf.DUMMYFUNCTION("""COMPUTED_VALUE"""),1.0)</f>
        <v>1</v>
      </c>
      <c r="D117" s="66">
        <f>IFERROR(__xludf.DUMMYFUNCTION("""COMPUTED_VALUE"""),376.0)</f>
        <v>376</v>
      </c>
      <c r="E117" s="66">
        <f>IFERROR(__xludf.DUMMYFUNCTION("""COMPUTED_VALUE"""),6.0)</f>
        <v>6</v>
      </c>
      <c r="F117" s="67" t="str">
        <f>IFERROR(__xludf.DUMMYFUNCTION("""COMPUTED_VALUE"""),"https://www.google.com/maps/search/?api=1&amp;query=-30.9075560525513,-55.5417071480027")</f>
        <v>https://www.google.com/maps/search/?api=1&amp;query=-30.9075560525513,-55.5417071480027</v>
      </c>
      <c r="G117" s="68" t="str">
        <f>IFERROR(__xludf.DUMMYFUNCTION("""COMPUTED_VALUE"""),"https://earth.google.com/web/search/-30.9075560525513,-55.5417071480027")</f>
        <v>https://earth.google.com/web/search/-30.9075560525513,-55.5417071480027</v>
      </c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</row>
    <row r="118">
      <c r="A118" s="69" t="str">
        <f>IFERROR(__xludf.DUMMYFUNCTION("""COMPUTED_VALUE"""),"-30.9074808501054")</f>
        <v>-30.9074808501054</v>
      </c>
      <c r="B118" s="61" t="str">
        <f>IFERROR(__xludf.DUMMYFUNCTION("""COMPUTED_VALUE"""),"-55.5415616794236")</f>
        <v>-55.5415616794236</v>
      </c>
      <c r="C118" s="61">
        <f>IFERROR(__xludf.DUMMYFUNCTION("""COMPUTED_VALUE"""),1.0)</f>
        <v>1</v>
      </c>
      <c r="D118" s="61">
        <f>IFERROR(__xludf.DUMMYFUNCTION("""COMPUTED_VALUE"""),376.0)</f>
        <v>376</v>
      </c>
      <c r="E118" s="61">
        <f>IFERROR(__xludf.DUMMYFUNCTION("""COMPUTED_VALUE"""),7.0)</f>
        <v>7</v>
      </c>
      <c r="F118" s="62" t="str">
        <f>IFERROR(__xludf.DUMMYFUNCTION("""COMPUTED_VALUE"""),"https://www.google.com/maps/search/?api=1&amp;query=-30.9074808501054,-55.5415616794236")</f>
        <v>https://www.google.com/maps/search/?api=1&amp;query=-30.9074808501054,-55.5415616794236</v>
      </c>
      <c r="G118" s="63" t="str">
        <f>IFERROR(__xludf.DUMMYFUNCTION("""COMPUTED_VALUE"""),"https://earth.google.com/web/search/-30.9074808501054,-55.5415616794236")</f>
        <v>https://earth.google.com/web/search/-30.9074808501054,-55.5415616794236</v>
      </c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</row>
    <row r="119">
      <c r="A119" s="65" t="str">
        <f>IFERROR(__xludf.DUMMYFUNCTION("""COMPUTED_VALUE"""),"-30.9073794921217")</f>
        <v>-30.9073794921217</v>
      </c>
      <c r="B119" s="66" t="str">
        <f>IFERROR(__xludf.DUMMYFUNCTION("""COMPUTED_VALUE"""),"-55.5414928264528")</f>
        <v>-55.5414928264528</v>
      </c>
      <c r="C119" s="66">
        <f>IFERROR(__xludf.DUMMYFUNCTION("""COMPUTED_VALUE"""),1.0)</f>
        <v>1</v>
      </c>
      <c r="D119" s="66">
        <f>IFERROR(__xludf.DUMMYFUNCTION("""COMPUTED_VALUE"""),376.0)</f>
        <v>376</v>
      </c>
      <c r="E119" s="66">
        <f>IFERROR(__xludf.DUMMYFUNCTION("""COMPUTED_VALUE"""),8.0)</f>
        <v>8</v>
      </c>
      <c r="F119" s="67" t="str">
        <f>IFERROR(__xludf.DUMMYFUNCTION("""COMPUTED_VALUE"""),"https://www.google.com/maps/search/?api=1&amp;query=-30.9073794921217,-55.5414928264528")</f>
        <v>https://www.google.com/maps/search/?api=1&amp;query=-30.9073794921217,-55.5414928264528</v>
      </c>
      <c r="G119" s="68" t="str">
        <f>IFERROR(__xludf.DUMMYFUNCTION("""COMPUTED_VALUE"""),"https://earth.google.com/web/search/-30.9073794921217,-55.5414928264528")</f>
        <v>https://earth.google.com/web/search/-30.9073794921217,-55.5414928264528</v>
      </c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</row>
    <row r="120">
      <c r="A120" s="69" t="str">
        <f>IFERROR(__xludf.DUMMYFUNCTION("""COMPUTED_VALUE"""),"-30.9070542042801")</f>
        <v>-30.9070542042801</v>
      </c>
      <c r="B120" s="61" t="str">
        <f>IFERROR(__xludf.DUMMYFUNCTION("""COMPUTED_VALUE"""),"-55.5412822626966")</f>
        <v>-55.5412822626966</v>
      </c>
      <c r="C120" s="61">
        <f>IFERROR(__xludf.DUMMYFUNCTION("""COMPUTED_VALUE"""),1.0)</f>
        <v>1</v>
      </c>
      <c r="D120" s="61">
        <f>IFERROR(__xludf.DUMMYFUNCTION("""COMPUTED_VALUE"""),376.0)</f>
        <v>376</v>
      </c>
      <c r="E120" s="61">
        <f>IFERROR(__xludf.DUMMYFUNCTION("""COMPUTED_VALUE"""),9.0)</f>
        <v>9</v>
      </c>
      <c r="F120" s="62" t="str">
        <f>IFERROR(__xludf.DUMMYFUNCTION("""COMPUTED_VALUE"""),"https://www.google.com/maps/search/?api=1&amp;query=-30.9070542042801,-55.5412822626966")</f>
        <v>https://www.google.com/maps/search/?api=1&amp;query=-30.9070542042801,-55.5412822626966</v>
      </c>
      <c r="G120" s="63" t="str">
        <f>IFERROR(__xludf.DUMMYFUNCTION("""COMPUTED_VALUE"""),"https://earth.google.com/web/search/-30.9070542042801,-55.5412822626966")</f>
        <v>https://earth.google.com/web/search/-30.9070542042801,-55.5412822626966</v>
      </c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</row>
    <row r="121">
      <c r="A121" s="65" t="str">
        <f>IFERROR(__xludf.DUMMYFUNCTION("""COMPUTED_VALUE"""),"-30.9068328838872")</f>
        <v>-30.9068328838872</v>
      </c>
      <c r="B121" s="66" t="str">
        <f>IFERROR(__xludf.DUMMYFUNCTION("""COMPUTED_VALUE"""),"-55.5412185653706")</f>
        <v>-55.5412185653706</v>
      </c>
      <c r="C121" s="66">
        <f>IFERROR(__xludf.DUMMYFUNCTION("""COMPUTED_VALUE"""),1.0)</f>
        <v>1</v>
      </c>
      <c r="D121" s="66">
        <f>IFERROR(__xludf.DUMMYFUNCTION("""COMPUTED_VALUE"""),376.0)</f>
        <v>376</v>
      </c>
      <c r="E121" s="66">
        <f>IFERROR(__xludf.DUMMYFUNCTION("""COMPUTED_VALUE"""),10.0)</f>
        <v>10</v>
      </c>
      <c r="F121" s="67" t="str">
        <f>IFERROR(__xludf.DUMMYFUNCTION("""COMPUTED_VALUE"""),"https://www.google.com/maps/search/?api=1&amp;query=-30.9068328838872,-55.5412185653706")</f>
        <v>https://www.google.com/maps/search/?api=1&amp;query=-30.9068328838872,-55.5412185653706</v>
      </c>
      <c r="G121" s="68" t="str">
        <f>IFERROR(__xludf.DUMMYFUNCTION("""COMPUTED_VALUE"""),"https://earth.google.com/web/search/-30.9068328838872,-55.5412185653706")</f>
        <v>https://earth.google.com/web/search/-30.9068328838872,-55.5412185653706</v>
      </c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</row>
    <row r="122">
      <c r="A122" s="69" t="str">
        <f>IFERROR(__xludf.DUMMYFUNCTION("""COMPUTED_VALUE"""),"-3.0906678637395")</f>
        <v>-3.0906678637395</v>
      </c>
      <c r="B122" s="61" t="str">
        <f>IFERROR(__xludf.DUMMYFUNCTION("""COMPUTED_VALUE"""),"-55.5415173134342")</f>
        <v>-55.5415173134342</v>
      </c>
      <c r="C122" s="61">
        <f>IFERROR(__xludf.DUMMYFUNCTION("""COMPUTED_VALUE"""),1.0)</f>
        <v>1</v>
      </c>
      <c r="D122" s="61">
        <f>IFERROR(__xludf.DUMMYFUNCTION("""COMPUTED_VALUE"""),376.0)</f>
        <v>376</v>
      </c>
      <c r="E122" s="61">
        <f>IFERROR(__xludf.DUMMYFUNCTION("""COMPUTED_VALUE"""),11.0)</f>
        <v>11</v>
      </c>
      <c r="F122" s="62" t="str">
        <f>IFERROR(__xludf.DUMMYFUNCTION("""COMPUTED_VALUE"""),"https://www.google.com/maps/search/?api=1&amp;query=-3.0906678637395,-55.5415173134342")</f>
        <v>https://www.google.com/maps/search/?api=1&amp;query=-3.0906678637395,-55.5415173134342</v>
      </c>
      <c r="G122" s="63" t="str">
        <f>IFERROR(__xludf.DUMMYFUNCTION("""COMPUTED_VALUE"""),"https://earth.google.com/web/search/-3.0906678637395,-55.5415173134342")</f>
        <v>https://earth.google.com/web/search/-3.0906678637395,-55.5415173134342</v>
      </c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</row>
    <row r="123">
      <c r="A123" s="65" t="str">
        <f>IFERROR(__xludf.DUMMYFUNCTION("""COMPUTED_VALUE"""),"-30.9066044291266")</f>
        <v>-30.9066044291266</v>
      </c>
      <c r="B123" s="66" t="str">
        <f>IFERROR(__xludf.DUMMYFUNCTION("""COMPUTED_VALUE"""),"-55.5416577539524")</f>
        <v>-55.5416577539524</v>
      </c>
      <c r="C123" s="66">
        <f>IFERROR(__xludf.DUMMYFUNCTION("""COMPUTED_VALUE"""),1.0)</f>
        <v>1</v>
      </c>
      <c r="D123" s="66">
        <f>IFERROR(__xludf.DUMMYFUNCTION("""COMPUTED_VALUE"""),376.0)</f>
        <v>376</v>
      </c>
      <c r="E123" s="66">
        <f>IFERROR(__xludf.DUMMYFUNCTION("""COMPUTED_VALUE"""),12.0)</f>
        <v>12</v>
      </c>
      <c r="F123" s="67" t="str">
        <f>IFERROR(__xludf.DUMMYFUNCTION("""COMPUTED_VALUE"""),"https://www.google.com/maps/search/?api=1&amp;query=-30.9066044291266,-55.5416577539524")</f>
        <v>https://www.google.com/maps/search/?api=1&amp;query=-30.9066044291266,-55.5416577539524</v>
      </c>
      <c r="G123" s="68" t="str">
        <f>IFERROR(__xludf.DUMMYFUNCTION("""COMPUTED_VALUE"""),"https://earth.google.com/web/search/-30.9066044291266,-55.5416577539524")</f>
        <v>https://earth.google.com/web/search/-30.9066044291266,-55.5416577539524</v>
      </c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</row>
    <row r="124">
      <c r="A124" s="69" t="str">
        <f>IFERROR(__xludf.DUMMYFUNCTION("""COMPUTED_VALUE"""),"-30.9065538201557")</f>
        <v>-30.9065538201557</v>
      </c>
      <c r="B124" s="61" t="str">
        <f>IFERROR(__xludf.DUMMYFUNCTION("""COMPUTED_VALUE"""),"-55.5417060258737")</f>
        <v>-55.5417060258737</v>
      </c>
      <c r="C124" s="61">
        <f>IFERROR(__xludf.DUMMYFUNCTION("""COMPUTED_VALUE"""),1.0)</f>
        <v>1</v>
      </c>
      <c r="D124" s="61">
        <f>IFERROR(__xludf.DUMMYFUNCTION("""COMPUTED_VALUE"""),376.0)</f>
        <v>376</v>
      </c>
      <c r="E124" s="61">
        <f>IFERROR(__xludf.DUMMYFUNCTION("""COMPUTED_VALUE"""),13.0)</f>
        <v>13</v>
      </c>
      <c r="F124" s="62" t="str">
        <f>IFERROR(__xludf.DUMMYFUNCTION("""COMPUTED_VALUE"""),"https://www.google.com/maps/search/?api=1&amp;query=-30.9065538201557,-55.5417060258737")</f>
        <v>https://www.google.com/maps/search/?api=1&amp;query=-30.9065538201557,-55.5417060258737</v>
      </c>
      <c r="G124" s="63" t="str">
        <f>IFERROR(__xludf.DUMMYFUNCTION("""COMPUTED_VALUE"""),"https://earth.google.com/web/search/-30.9065538201557,-55.5417060258737")</f>
        <v>https://earth.google.com/web/search/-30.9065538201557,-55.5417060258737</v>
      </c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</row>
    <row r="125">
      <c r="A125" s="65" t="str">
        <f>IFERROR(__xludf.DUMMYFUNCTION("""COMPUTED_VALUE"""),"-30.9065049584438")</f>
        <v>-30.9065049584438</v>
      </c>
      <c r="B125" s="66" t="str">
        <f>IFERROR(__xludf.DUMMYFUNCTION("""COMPUTED_VALUE"""),"-55.5418302601226")</f>
        <v>-55.5418302601226</v>
      </c>
      <c r="C125" s="66">
        <f>IFERROR(__xludf.DUMMYFUNCTION("""COMPUTED_VALUE"""),1.0)</f>
        <v>1</v>
      </c>
      <c r="D125" s="66">
        <f>IFERROR(__xludf.DUMMYFUNCTION("""COMPUTED_VALUE"""),376.0)</f>
        <v>376</v>
      </c>
      <c r="E125" s="66">
        <f>IFERROR(__xludf.DUMMYFUNCTION("""COMPUTED_VALUE"""),14.0)</f>
        <v>14</v>
      </c>
      <c r="F125" s="67" t="str">
        <f>IFERROR(__xludf.DUMMYFUNCTION("""COMPUTED_VALUE"""),"https://www.google.com/maps/search/?api=1&amp;query=-30.9065049584438,-55.5418302601226")</f>
        <v>https://www.google.com/maps/search/?api=1&amp;query=-30.9065049584438,-55.5418302601226</v>
      </c>
      <c r="G125" s="68" t="str">
        <f>IFERROR(__xludf.DUMMYFUNCTION("""COMPUTED_VALUE"""),"https://earth.google.com/web/search/-30.9065049584438,-55.5418302601226")</f>
        <v>https://earth.google.com/web/search/-30.9065049584438,-55.5418302601226</v>
      </c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</row>
    <row r="126">
      <c r="A126" s="69" t="str">
        <f>IFERROR(__xludf.DUMMYFUNCTION("""COMPUTED_VALUE"""),"-30.9065464397735")</f>
        <v>-30.9065464397735</v>
      </c>
      <c r="B126" s="61" t="str">
        <f>IFERROR(__xludf.DUMMYFUNCTION("""COMPUTED_VALUE"""),"-55.5420415066904")</f>
        <v>-55.5420415066904</v>
      </c>
      <c r="C126" s="61">
        <f>IFERROR(__xludf.DUMMYFUNCTION("""COMPUTED_VALUE"""),1.0)</f>
        <v>1</v>
      </c>
      <c r="D126" s="61">
        <f>IFERROR(__xludf.DUMMYFUNCTION("""COMPUTED_VALUE"""),376.0)</f>
        <v>376</v>
      </c>
      <c r="E126" s="61">
        <f>IFERROR(__xludf.DUMMYFUNCTION("""COMPUTED_VALUE"""),16.0)</f>
        <v>16</v>
      </c>
      <c r="F126" s="62" t="str">
        <f>IFERROR(__xludf.DUMMYFUNCTION("""COMPUTED_VALUE"""),"https://www.google.com/maps/search/?api=1&amp;query=-30.9065464397735,-55.5420415066904")</f>
        <v>https://www.google.com/maps/search/?api=1&amp;query=-30.9065464397735,-55.5420415066904</v>
      </c>
      <c r="G126" s="63" t="str">
        <f>IFERROR(__xludf.DUMMYFUNCTION("""COMPUTED_VALUE"""),"https://earth.google.com/web/search/-30.9065464397735,-55.5420415066904")</f>
        <v>https://earth.google.com/web/search/-30.9065464397735,-55.5420415066904</v>
      </c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</row>
    <row r="127">
      <c r="A127" s="65" t="str">
        <f>IFERROR(__xludf.DUMMYFUNCTION("""COMPUTED_VALUE"""),"-30.9066131574446")</f>
        <v>-30.9066131574446</v>
      </c>
      <c r="B127" s="66" t="str">
        <f>IFERROR(__xludf.DUMMYFUNCTION("""COMPUTED_VALUE"""),"-55.5420912896984")</f>
        <v>-55.5420912896984</v>
      </c>
      <c r="C127" s="66">
        <f>IFERROR(__xludf.DUMMYFUNCTION("""COMPUTED_VALUE"""),1.0)</f>
        <v>1</v>
      </c>
      <c r="D127" s="66">
        <f>IFERROR(__xludf.DUMMYFUNCTION("""COMPUTED_VALUE"""),376.0)</f>
        <v>376</v>
      </c>
      <c r="E127" s="66">
        <f>IFERROR(__xludf.DUMMYFUNCTION("""COMPUTED_VALUE"""),17.0)</f>
        <v>17</v>
      </c>
      <c r="F127" s="67" t="str">
        <f>IFERROR(__xludf.DUMMYFUNCTION("""COMPUTED_VALUE"""),"https://www.google.com/maps/search/?api=1&amp;query=-30.9066131574446,-55.5420912896984")</f>
        <v>https://www.google.com/maps/search/?api=1&amp;query=-30.9066131574446,-55.5420912896984</v>
      </c>
      <c r="G127" s="68" t="str">
        <f>IFERROR(__xludf.DUMMYFUNCTION("""COMPUTED_VALUE"""),"https://earth.google.com/web/search/-30.9066131574446,-55.5420912896984")</f>
        <v>https://earth.google.com/web/search/-30.9066131574446,-55.5420912896984</v>
      </c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</row>
    <row r="128">
      <c r="A128" s="69" t="str">
        <f>IFERROR(__xludf.DUMMYFUNCTION("""COMPUTED_VALUE"""),"-30.9066752264756")</f>
        <v>-30.9066752264756</v>
      </c>
      <c r="B128" s="61" t="str">
        <f>IFERROR(__xludf.DUMMYFUNCTION("""COMPUTED_VALUE"""),"-55.5421384867914")</f>
        <v>-55.5421384867914</v>
      </c>
      <c r="C128" s="61">
        <f>IFERROR(__xludf.DUMMYFUNCTION("""COMPUTED_VALUE"""),1.0)</f>
        <v>1</v>
      </c>
      <c r="D128" s="61">
        <f>IFERROR(__xludf.DUMMYFUNCTION("""COMPUTED_VALUE"""),376.0)</f>
        <v>376</v>
      </c>
      <c r="E128" s="61">
        <f>IFERROR(__xludf.DUMMYFUNCTION("""COMPUTED_VALUE"""),18.0)</f>
        <v>18</v>
      </c>
      <c r="F128" s="62" t="str">
        <f>IFERROR(__xludf.DUMMYFUNCTION("""COMPUTED_VALUE"""),"https://www.google.com/maps/search/?api=1&amp;query=-30.9066752264756,-55.5421384867914")</f>
        <v>https://www.google.com/maps/search/?api=1&amp;query=-30.9066752264756,-55.5421384867914</v>
      </c>
      <c r="G128" s="63" t="str">
        <f>IFERROR(__xludf.DUMMYFUNCTION("""COMPUTED_VALUE"""),"https://earth.google.com/web/search/-30.9066752264756,-55.5421384867914")</f>
        <v>https://earth.google.com/web/search/-30.9066752264756,-55.5421384867914</v>
      </c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</row>
    <row r="129">
      <c r="A129" s="65" t="str">
        <f>IFERROR(__xludf.DUMMYFUNCTION("""COMPUTED_VALUE"""),"-3.0906774257639")</f>
        <v>-3.0906774257639</v>
      </c>
      <c r="B129" s="66" t="str">
        <f>IFERROR(__xludf.DUMMYFUNCTION("""COMPUTED_VALUE"""),"-55.5422233551054")</f>
        <v>-55.5422233551054</v>
      </c>
      <c r="C129" s="66">
        <f>IFERROR(__xludf.DUMMYFUNCTION("""COMPUTED_VALUE"""),1.0)</f>
        <v>1</v>
      </c>
      <c r="D129" s="66">
        <f>IFERROR(__xludf.DUMMYFUNCTION("""COMPUTED_VALUE"""),376.0)</f>
        <v>376</v>
      </c>
      <c r="E129" s="66">
        <f>IFERROR(__xludf.DUMMYFUNCTION("""COMPUTED_VALUE"""),19.0)</f>
        <v>19</v>
      </c>
      <c r="F129" s="67" t="str">
        <f>IFERROR(__xludf.DUMMYFUNCTION("""COMPUTED_VALUE"""),"https://www.google.com/maps/search/?api=1&amp;query=-3.0906774257639,-55.5422233551054")</f>
        <v>https://www.google.com/maps/search/?api=1&amp;query=-3.0906774257639,-55.5422233551054</v>
      </c>
      <c r="G129" s="68" t="str">
        <f>IFERROR(__xludf.DUMMYFUNCTION("""COMPUTED_VALUE"""),"https://earth.google.com/web/search/-3.0906774257639,-55.5422233551054")</f>
        <v>https://earth.google.com/web/search/-3.0906774257639,-55.5422233551054</v>
      </c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</row>
    <row r="130">
      <c r="A130" s="69" t="str">
        <f>IFERROR(__xludf.DUMMYFUNCTION("""COMPUTED_VALUE"""),"-3.0906825926326")</f>
        <v>-3.0906825926326</v>
      </c>
      <c r="B130" s="61" t="str">
        <f>IFERROR(__xludf.DUMMYFUNCTION("""COMPUTED_VALUE"""),"-55.5422493168622")</f>
        <v>-55.5422493168622</v>
      </c>
      <c r="C130" s="61">
        <f>IFERROR(__xludf.DUMMYFUNCTION("""COMPUTED_VALUE"""),1.0)</f>
        <v>1</v>
      </c>
      <c r="D130" s="61">
        <f>IFERROR(__xludf.DUMMYFUNCTION("""COMPUTED_VALUE"""),376.0)</f>
        <v>376</v>
      </c>
      <c r="E130" s="61">
        <f>IFERROR(__xludf.DUMMYFUNCTION("""COMPUTED_VALUE"""),20.0)</f>
        <v>20</v>
      </c>
      <c r="F130" s="62" t="str">
        <f>IFERROR(__xludf.DUMMYFUNCTION("""COMPUTED_VALUE"""),"https://www.google.com/maps/search/?api=1&amp;query=-3.0906825926326,-55.5422493168622")</f>
        <v>https://www.google.com/maps/search/?api=1&amp;query=-3.0906825926326,-55.5422493168622</v>
      </c>
      <c r="G130" s="63" t="str">
        <f>IFERROR(__xludf.DUMMYFUNCTION("""COMPUTED_VALUE"""),"https://earth.google.com/web/search/-3.0906825926326,-55.5422493168622")</f>
        <v>https://earth.google.com/web/search/-3.0906825926326,-55.5422493168622</v>
      </c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</row>
    <row r="131">
      <c r="A131" s="65" t="str">
        <f>IFERROR(__xludf.DUMMYFUNCTION("""COMPUTED_VALUE"""),"-30.9069066867295")</f>
        <v>-30.9069066867295</v>
      </c>
      <c r="B131" s="66" t="str">
        <f>IFERROR(__xludf.DUMMYFUNCTION("""COMPUTED_VALUE"""),"-55.5423129691166")</f>
        <v>-55.5423129691166</v>
      </c>
      <c r="C131" s="66">
        <f>IFERROR(__xludf.DUMMYFUNCTION("""COMPUTED_VALUE"""),1.0)</f>
        <v>1</v>
      </c>
      <c r="D131" s="66">
        <f>IFERROR(__xludf.DUMMYFUNCTION("""COMPUTED_VALUE"""),376.0)</f>
        <v>376</v>
      </c>
      <c r="E131" s="66">
        <f>IFERROR(__xludf.DUMMYFUNCTION("""COMPUTED_VALUE"""),21.0)</f>
        <v>21</v>
      </c>
      <c r="F131" s="67" t="str">
        <f>IFERROR(__xludf.DUMMYFUNCTION("""COMPUTED_VALUE"""),"https://www.google.com/maps/search/?api=1&amp;query=-30.9069066867295,-55.5423129691166")</f>
        <v>https://www.google.com/maps/search/?api=1&amp;query=-30.9069066867295,-55.5423129691166</v>
      </c>
      <c r="G131" s="68" t="str">
        <f>IFERROR(__xludf.DUMMYFUNCTION("""COMPUTED_VALUE"""),"https://earth.google.com/web/search/-30.9069066867295,-55.5423129691166")</f>
        <v>https://earth.google.com/web/search/-30.9069066867295,-55.5423129691166</v>
      </c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</row>
    <row r="132">
      <c r="A132" s="69" t="str">
        <f>IFERROR(__xludf.DUMMYFUNCTION("""COMPUTED_VALUE"""),"-30.9069854606946")</f>
        <v>-30.9069854606946</v>
      </c>
      <c r="B132" s="61" t="str">
        <f>IFERROR(__xludf.DUMMYFUNCTION("""COMPUTED_VALUE"""),"-55.5423642718497")</f>
        <v>-55.5423642718497</v>
      </c>
      <c r="C132" s="61">
        <f>IFERROR(__xludf.DUMMYFUNCTION("""COMPUTED_VALUE"""),1.0)</f>
        <v>1</v>
      </c>
      <c r="D132" s="61">
        <f>IFERROR(__xludf.DUMMYFUNCTION("""COMPUTED_VALUE"""),376.0)</f>
        <v>376</v>
      </c>
      <c r="E132" s="61">
        <f>IFERROR(__xludf.DUMMYFUNCTION("""COMPUTED_VALUE"""),22.0)</f>
        <v>22</v>
      </c>
      <c r="F132" s="62" t="str">
        <f>IFERROR(__xludf.DUMMYFUNCTION("""COMPUTED_VALUE"""),"https://www.google.com/maps/search/?api=1&amp;query=-30.9069854606946,-55.5423642718497")</f>
        <v>https://www.google.com/maps/search/?api=1&amp;query=-30.9069854606946,-55.5423642718497</v>
      </c>
      <c r="G132" s="63" t="str">
        <f>IFERROR(__xludf.DUMMYFUNCTION("""COMPUTED_VALUE"""),"https://earth.google.com/web/search/-30.9069854606946,-55.5423642718497")</f>
        <v>https://earth.google.com/web/search/-30.9069854606946,-55.5423642718497</v>
      </c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</row>
    <row r="133">
      <c r="A133" s="65" t="str">
        <f>IFERROR(__xludf.DUMMYFUNCTION("""COMPUTED_VALUE"""),"-30.9070624371477")</f>
        <v>-30.9070624371477</v>
      </c>
      <c r="B133" s="66" t="str">
        <f>IFERROR(__xludf.DUMMYFUNCTION("""COMPUTED_VALUE"""),"-5.5542423514123")</f>
        <v>-5.5542423514123</v>
      </c>
      <c r="C133" s="66">
        <f>IFERROR(__xludf.DUMMYFUNCTION("""COMPUTED_VALUE"""),1.0)</f>
        <v>1</v>
      </c>
      <c r="D133" s="66">
        <f>IFERROR(__xludf.DUMMYFUNCTION("""COMPUTED_VALUE"""),376.0)</f>
        <v>376</v>
      </c>
      <c r="E133" s="66">
        <f>IFERROR(__xludf.DUMMYFUNCTION("""COMPUTED_VALUE"""),23.0)</f>
        <v>23</v>
      </c>
      <c r="F133" s="67" t="str">
        <f>IFERROR(__xludf.DUMMYFUNCTION("""COMPUTED_VALUE"""),"https://www.google.com/maps/search/?api=1&amp;query=-30.9070624371477,-5.5542423514123")</f>
        <v>https://www.google.com/maps/search/?api=1&amp;query=-30.9070624371477,-5.5542423514123</v>
      </c>
      <c r="G133" s="68" t="str">
        <f>IFERROR(__xludf.DUMMYFUNCTION("""COMPUTED_VALUE"""),"https://earth.google.com/web/search/-30.9070624371477,-5.5542423514123")</f>
        <v>https://earth.google.com/web/search/-30.9070624371477,-5.5542423514123</v>
      </c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</row>
    <row r="134">
      <c r="A134" s="69" t="str">
        <f>IFERROR(__xludf.DUMMYFUNCTION("""COMPUTED_VALUE"""),"-30.9066972725002")</f>
        <v>-30.9066972725002</v>
      </c>
      <c r="B134" s="61" t="str">
        <f>IFERROR(__xludf.DUMMYFUNCTION("""COMPUTED_VALUE"""),"-55.5432744856964")</f>
        <v>-55.5432744856964</v>
      </c>
      <c r="C134" s="61">
        <f>IFERROR(__xludf.DUMMYFUNCTION("""COMPUTED_VALUE"""),1.0)</f>
        <v>1</v>
      </c>
      <c r="D134" s="61">
        <f>IFERROR(__xludf.DUMMYFUNCTION("""COMPUTED_VALUE"""),375.0)</f>
        <v>375</v>
      </c>
      <c r="E134" s="61">
        <f>IFERROR(__xludf.DUMMYFUNCTION("""COMPUTED_VALUE"""),1.0)</f>
        <v>1</v>
      </c>
      <c r="F134" s="62" t="str">
        <f>IFERROR(__xludf.DUMMYFUNCTION("""COMPUTED_VALUE"""),"https://www.google.com/maps/search/?api=1&amp;query=-30.9066972725002,-55.5432744856964")</f>
        <v>https://www.google.com/maps/search/?api=1&amp;query=-30.9066972725002,-55.5432744856964</v>
      </c>
      <c r="G134" s="63" t="str">
        <f>IFERROR(__xludf.DUMMYFUNCTION("""COMPUTED_VALUE"""),"https://earth.google.com/web/search/-30.9066972725002,-55.5432744856964")</f>
        <v>https://earth.google.com/web/search/-30.9066972725002,-55.5432744856964</v>
      </c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</row>
    <row r="135">
      <c r="A135" s="65" t="str">
        <f>IFERROR(__xludf.DUMMYFUNCTION("""COMPUTED_VALUE"""),"-30.9068451538416")</f>
        <v>-30.9068451538416</v>
      </c>
      <c r="B135" s="66" t="str">
        <f>IFERROR(__xludf.DUMMYFUNCTION("""COMPUTED_VALUE"""),"-55.5430246772378")</f>
        <v>-55.5430246772378</v>
      </c>
      <c r="C135" s="66">
        <f>IFERROR(__xludf.DUMMYFUNCTION("""COMPUTED_VALUE"""),1.0)</f>
        <v>1</v>
      </c>
      <c r="D135" s="66">
        <f>IFERROR(__xludf.DUMMYFUNCTION("""COMPUTED_VALUE"""),375.0)</f>
        <v>375</v>
      </c>
      <c r="E135" s="66">
        <f>IFERROR(__xludf.DUMMYFUNCTION("""COMPUTED_VALUE"""),2.0)</f>
        <v>2</v>
      </c>
      <c r="F135" s="67" t="str">
        <f>IFERROR(__xludf.DUMMYFUNCTION("""COMPUTED_VALUE"""),"https://www.google.com/maps/search/?api=1&amp;query=-30.9068451538416,-55.5430246772378")</f>
        <v>https://www.google.com/maps/search/?api=1&amp;query=-30.9068451538416,-55.5430246772378</v>
      </c>
      <c r="G135" s="68" t="str">
        <f>IFERROR(__xludf.DUMMYFUNCTION("""COMPUTED_VALUE"""),"https://earth.google.com/web/search/-30.9068451538416,-55.5430246772378")</f>
        <v>https://earth.google.com/web/search/-30.9068451538416,-55.5430246772378</v>
      </c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</row>
    <row r="136">
      <c r="A136" s="69" t="str">
        <f>IFERROR(__xludf.DUMMYFUNCTION("""COMPUTED_VALUE"""),"-30.9069075727804")</f>
        <v>-30.9069075727804</v>
      </c>
      <c r="B136" s="61" t="str">
        <f>IFERROR(__xludf.DUMMYFUNCTION("""COMPUTED_VALUE"""),"-55.5429079592886")</f>
        <v>-55.5429079592886</v>
      </c>
      <c r="C136" s="61">
        <f>IFERROR(__xludf.DUMMYFUNCTION("""COMPUTED_VALUE"""),1.0)</f>
        <v>1</v>
      </c>
      <c r="D136" s="61">
        <f>IFERROR(__xludf.DUMMYFUNCTION("""COMPUTED_VALUE"""),375.0)</f>
        <v>375</v>
      </c>
      <c r="E136" s="61">
        <f>IFERROR(__xludf.DUMMYFUNCTION("""COMPUTED_VALUE"""),3.0)</f>
        <v>3</v>
      </c>
      <c r="F136" s="62" t="str">
        <f>IFERROR(__xludf.DUMMYFUNCTION("""COMPUTED_VALUE"""),"https://www.google.com/maps/search/?api=1&amp;query=-30.9069075727804,-55.5429079592886")</f>
        <v>https://www.google.com/maps/search/?api=1&amp;query=-30.9069075727804,-55.5429079592886</v>
      </c>
      <c r="G136" s="63" t="str">
        <f>IFERROR(__xludf.DUMMYFUNCTION("""COMPUTED_VALUE"""),"https://earth.google.com/web/search/-30.9069075727804,-55.5429079592886")</f>
        <v>https://earth.google.com/web/search/-30.9069075727804,-55.5429079592886</v>
      </c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</row>
    <row r="137">
      <c r="A137" s="65" t="str">
        <f>IFERROR(__xludf.DUMMYFUNCTION("""COMPUTED_VALUE"""),"-30.9069515583664")</f>
        <v>-30.9069515583664</v>
      </c>
      <c r="B137" s="66" t="str">
        <f>IFERROR(__xludf.DUMMYFUNCTION("""COMPUTED_VALUE"""),"-55.5428279564859")</f>
        <v>-55.5428279564859</v>
      </c>
      <c r="C137" s="66">
        <f>IFERROR(__xludf.DUMMYFUNCTION("""COMPUTED_VALUE"""),1.0)</f>
        <v>1</v>
      </c>
      <c r="D137" s="66">
        <f>IFERROR(__xludf.DUMMYFUNCTION("""COMPUTED_VALUE"""),375.0)</f>
        <v>375</v>
      </c>
      <c r="E137" s="66">
        <f>IFERROR(__xludf.DUMMYFUNCTION("""COMPUTED_VALUE"""),4.0)</f>
        <v>4</v>
      </c>
      <c r="F137" s="67" t="str">
        <f>IFERROR(__xludf.DUMMYFUNCTION("""COMPUTED_VALUE"""),"https://www.google.com/maps/search/?api=1&amp;query=-30.9069515583664,-55.5428279564859")</f>
        <v>https://www.google.com/maps/search/?api=1&amp;query=-30.9069515583664,-55.5428279564859</v>
      </c>
      <c r="G137" s="68" t="str">
        <f>IFERROR(__xludf.DUMMYFUNCTION("""COMPUTED_VALUE"""),"https://earth.google.com/web/search/-30.9069515583664,-55.5428279564859")</f>
        <v>https://earth.google.com/web/search/-30.9069515583664,-55.5428279564859</v>
      </c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</row>
    <row r="138">
      <c r="A138" s="69" t="str">
        <f>IFERROR(__xludf.DUMMYFUNCTION("""COMPUTED_VALUE"""),"-3.0907060791779")</f>
        <v>-3.0907060791779</v>
      </c>
      <c r="B138" s="61" t="str">
        <f>IFERROR(__xludf.DUMMYFUNCTION("""COMPUTED_VALUE"""),"-55.5425211239155")</f>
        <v>-55.5425211239155</v>
      </c>
      <c r="C138" s="61">
        <f>IFERROR(__xludf.DUMMYFUNCTION("""COMPUTED_VALUE"""),1.0)</f>
        <v>1</v>
      </c>
      <c r="D138" s="61">
        <f>IFERROR(__xludf.DUMMYFUNCTION("""COMPUTED_VALUE"""),375.0)</f>
        <v>375</v>
      </c>
      <c r="E138" s="61">
        <f>IFERROR(__xludf.DUMMYFUNCTION("""COMPUTED_VALUE"""),6.0)</f>
        <v>6</v>
      </c>
      <c r="F138" s="62" t="str">
        <f>IFERROR(__xludf.DUMMYFUNCTION("""COMPUTED_VALUE"""),"https://www.google.com/maps/search/?api=1&amp;query=-3.0907060791779,-55.5425211239155")</f>
        <v>https://www.google.com/maps/search/?api=1&amp;query=-3.0907060791779,-55.5425211239155</v>
      </c>
      <c r="G138" s="63" t="str">
        <f>IFERROR(__xludf.DUMMYFUNCTION("""COMPUTED_VALUE"""),"https://earth.google.com/web/search/-3.0907060791779,-55.5425211239155")</f>
        <v>https://earth.google.com/web/search/-3.0907060791779,-55.5425211239155</v>
      </c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</row>
    <row r="139">
      <c r="A139" s="65" t="str">
        <f>IFERROR(__xludf.DUMMYFUNCTION("""COMPUTED_VALUE"""),"-30.9069730136566")</f>
        <v>-30.9069730136566</v>
      </c>
      <c r="B139" s="66" t="str">
        <f>IFERROR(__xludf.DUMMYFUNCTION("""COMPUTED_VALUE"""),"-55.5424571140141")</f>
        <v>-55.5424571140141</v>
      </c>
      <c r="C139" s="66">
        <f>IFERROR(__xludf.DUMMYFUNCTION("""COMPUTED_VALUE"""),1.0)</f>
        <v>1</v>
      </c>
      <c r="D139" s="66">
        <f>IFERROR(__xludf.DUMMYFUNCTION("""COMPUTED_VALUE"""),375.0)</f>
        <v>375</v>
      </c>
      <c r="E139" s="66">
        <f>IFERROR(__xludf.DUMMYFUNCTION("""COMPUTED_VALUE"""),7.0)</f>
        <v>7</v>
      </c>
      <c r="F139" s="67" t="str">
        <f>IFERROR(__xludf.DUMMYFUNCTION("""COMPUTED_VALUE"""),"https://www.google.com/maps/search/?api=1&amp;query=-30.9069730136566,-55.5424571140141")</f>
        <v>https://www.google.com/maps/search/?api=1&amp;query=-30.9069730136566,-55.5424571140141</v>
      </c>
      <c r="G139" s="68" t="str">
        <f>IFERROR(__xludf.DUMMYFUNCTION("""COMPUTED_VALUE"""),"https://earth.google.com/web/search/-30.9069730136566,-55.5424571140141")</f>
        <v>https://earth.google.com/web/search/-30.9069730136566,-55.5424571140141</v>
      </c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</row>
    <row r="140">
      <c r="A140" s="69" t="str">
        <f>IFERROR(__xludf.DUMMYFUNCTION("""COMPUTED_VALUE"""),"-30.9068944961302")</f>
        <v>-30.9068944961302</v>
      </c>
      <c r="B140" s="61" t="str">
        <f>IFERROR(__xludf.DUMMYFUNCTION("""COMPUTED_VALUE"""),"-55.5424105986205")</f>
        <v>-55.5424105986205</v>
      </c>
      <c r="C140" s="61">
        <f>IFERROR(__xludf.DUMMYFUNCTION("""COMPUTED_VALUE"""),1.0)</f>
        <v>1</v>
      </c>
      <c r="D140" s="61">
        <f>IFERROR(__xludf.DUMMYFUNCTION("""COMPUTED_VALUE"""),375.0)</f>
        <v>375</v>
      </c>
      <c r="E140" s="61">
        <f>IFERROR(__xludf.DUMMYFUNCTION("""COMPUTED_VALUE"""),8.0)</f>
        <v>8</v>
      </c>
      <c r="F140" s="62" t="str">
        <f>IFERROR(__xludf.DUMMYFUNCTION("""COMPUTED_VALUE"""),"https://www.google.com/maps/search/?api=1&amp;query=-30.9068944961302,-55.5424105986205")</f>
        <v>https://www.google.com/maps/search/?api=1&amp;query=-30.9068944961302,-55.5424105986205</v>
      </c>
      <c r="G140" s="63" t="str">
        <f>IFERROR(__xludf.DUMMYFUNCTION("""COMPUTED_VALUE"""),"https://earth.google.com/web/search/-30.9068944961302,-55.5424105986205")</f>
        <v>https://earth.google.com/web/search/-30.9068944961302,-55.5424105986205</v>
      </c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</row>
    <row r="141">
      <c r="A141" s="65" t="str">
        <f>IFERROR(__xludf.DUMMYFUNCTION("""COMPUTED_VALUE"""),"-30.9068068357037")</f>
        <v>-30.9068068357037</v>
      </c>
      <c r="B141" s="66" t="str">
        <f>IFERROR(__xludf.DUMMYFUNCTION("""COMPUTED_VALUE"""),"-55.5423456649393")</f>
        <v>-55.5423456649393</v>
      </c>
      <c r="C141" s="66">
        <f>IFERROR(__xludf.DUMMYFUNCTION("""COMPUTED_VALUE"""),1.0)</f>
        <v>1</v>
      </c>
      <c r="D141" s="66">
        <f>IFERROR(__xludf.DUMMYFUNCTION("""COMPUTED_VALUE"""),375.0)</f>
        <v>375</v>
      </c>
      <c r="E141" s="66">
        <f>IFERROR(__xludf.DUMMYFUNCTION("""COMPUTED_VALUE"""),9.0)</f>
        <v>9</v>
      </c>
      <c r="F141" s="67" t="str">
        <f>IFERROR(__xludf.DUMMYFUNCTION("""COMPUTED_VALUE"""),"https://www.google.com/maps/search/?api=1&amp;query=-30.9068068357037,-55.5423456649393")</f>
        <v>https://www.google.com/maps/search/?api=1&amp;query=-30.9068068357037,-55.5423456649393</v>
      </c>
      <c r="G141" s="68" t="str">
        <f>IFERROR(__xludf.DUMMYFUNCTION("""COMPUTED_VALUE"""),"https://earth.google.com/web/search/-30.9068068357037,-55.5423456649393")</f>
        <v>https://earth.google.com/web/search/-30.9068068357037,-55.5423456649393</v>
      </c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</row>
    <row r="142">
      <c r="A142" s="69" t="str">
        <f>IFERROR(__xludf.DUMMYFUNCTION("""COMPUTED_VALUE"""),"-30.9067138895122")</f>
        <v>-30.9067138895122</v>
      </c>
      <c r="B142" s="61" t="str">
        <f>IFERROR(__xludf.DUMMYFUNCTION("""COMPUTED_VALUE"""),"-55.5422869801626")</f>
        <v>-55.5422869801626</v>
      </c>
      <c r="C142" s="61">
        <f>IFERROR(__xludf.DUMMYFUNCTION("""COMPUTED_VALUE"""),1.0)</f>
        <v>1</v>
      </c>
      <c r="D142" s="61">
        <f>IFERROR(__xludf.DUMMYFUNCTION("""COMPUTED_VALUE"""),375.0)</f>
        <v>375</v>
      </c>
      <c r="E142" s="61">
        <f>IFERROR(__xludf.DUMMYFUNCTION("""COMPUTED_VALUE"""),10.0)</f>
        <v>10</v>
      </c>
      <c r="F142" s="62" t="str">
        <f>IFERROR(__xludf.DUMMYFUNCTION("""COMPUTED_VALUE"""),"https://www.google.com/maps/search/?api=1&amp;query=-30.9067138895122,-55.5422869801626")</f>
        <v>https://www.google.com/maps/search/?api=1&amp;query=-30.9067138895122,-55.5422869801626</v>
      </c>
      <c r="G142" s="63" t="str">
        <f>IFERROR(__xludf.DUMMYFUNCTION("""COMPUTED_VALUE"""),"https://earth.google.com/web/search/-30.9067138895122,-55.5422869801626")</f>
        <v>https://earth.google.com/web/search/-30.9067138895122,-55.5422869801626</v>
      </c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</row>
    <row r="143">
      <c r="A143" s="65" t="str">
        <f>IFERROR(__xludf.DUMMYFUNCTION("""COMPUTED_VALUE"""),"-30.9065634821413")</f>
        <v>-30.9065634821413</v>
      </c>
      <c r="B143" s="66" t="str">
        <f>IFERROR(__xludf.DUMMYFUNCTION("""COMPUTED_VALUE"""),"-55.5421814218969")</f>
        <v>-55.5421814218969</v>
      </c>
      <c r="C143" s="66">
        <f>IFERROR(__xludf.DUMMYFUNCTION("""COMPUTED_VALUE"""),1.0)</f>
        <v>1</v>
      </c>
      <c r="D143" s="66">
        <f>IFERROR(__xludf.DUMMYFUNCTION("""COMPUTED_VALUE"""),375.0)</f>
        <v>375</v>
      </c>
      <c r="E143" s="66">
        <f>IFERROR(__xludf.DUMMYFUNCTION("""COMPUTED_VALUE"""),11.0)</f>
        <v>11</v>
      </c>
      <c r="F143" s="67" t="str">
        <f>IFERROR(__xludf.DUMMYFUNCTION("""COMPUTED_VALUE"""),"https://www.google.com/maps/search/?api=1&amp;query=-30.9065634821413,-55.5421814218969")</f>
        <v>https://www.google.com/maps/search/?api=1&amp;query=-30.9065634821413,-55.5421814218969</v>
      </c>
      <c r="G143" s="68" t="str">
        <f>IFERROR(__xludf.DUMMYFUNCTION("""COMPUTED_VALUE"""),"https://earth.google.com/web/search/-30.9065634821413,-55.5421814218969")</f>
        <v>https://earth.google.com/web/search/-30.9065634821413,-55.5421814218969</v>
      </c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</row>
    <row r="144">
      <c r="A144" s="69" t="str">
        <f>IFERROR(__xludf.DUMMYFUNCTION("""COMPUTED_VALUE"""),"-30.9062741938428")</f>
        <v>-30.9062741938428</v>
      </c>
      <c r="B144" s="61" t="str">
        <f>IFERROR(__xludf.DUMMYFUNCTION("""COMPUTED_VALUE"""),"-55.5422340665248")</f>
        <v>-55.5422340665248</v>
      </c>
      <c r="C144" s="61">
        <f>IFERROR(__xludf.DUMMYFUNCTION("""COMPUTED_VALUE"""),1.0)</f>
        <v>1</v>
      </c>
      <c r="D144" s="61">
        <f>IFERROR(__xludf.DUMMYFUNCTION("""COMPUTED_VALUE"""),375.0)</f>
        <v>375</v>
      </c>
      <c r="E144" s="61">
        <f>IFERROR(__xludf.DUMMYFUNCTION("""COMPUTED_VALUE"""),12.0)</f>
        <v>12</v>
      </c>
      <c r="F144" s="62" t="str">
        <f>IFERROR(__xludf.DUMMYFUNCTION("""COMPUTED_VALUE"""),"https://www.google.com/maps/search/?api=1&amp;query=-30.9062741938428,-55.5422340665248")</f>
        <v>https://www.google.com/maps/search/?api=1&amp;query=-30.9062741938428,-55.5422340665248</v>
      </c>
      <c r="G144" s="63" t="str">
        <f>IFERROR(__xludf.DUMMYFUNCTION("""COMPUTED_VALUE"""),"https://earth.google.com/web/search/-30.9062741938428,-55.5422340665248")</f>
        <v>https://earth.google.com/web/search/-30.9062741938428,-55.5422340665248</v>
      </c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</row>
    <row r="145">
      <c r="A145" s="65" t="str">
        <f>IFERROR(__xludf.DUMMYFUNCTION("""COMPUTED_VALUE"""),"-30.9062488886759")</f>
        <v>-30.9062488886759</v>
      </c>
      <c r="B145" s="66" t="str">
        <f>IFERROR(__xludf.DUMMYFUNCTION("""COMPUTED_VALUE"""),"-55.5422920924501")</f>
        <v>-55.5422920924501</v>
      </c>
      <c r="C145" s="66">
        <f>IFERROR(__xludf.DUMMYFUNCTION("""COMPUTED_VALUE"""),1.0)</f>
        <v>1</v>
      </c>
      <c r="D145" s="66">
        <f>IFERROR(__xludf.DUMMYFUNCTION("""COMPUTED_VALUE"""),375.0)</f>
        <v>375</v>
      </c>
      <c r="E145" s="66">
        <f>IFERROR(__xludf.DUMMYFUNCTION("""COMPUTED_VALUE"""),13.0)</f>
        <v>13</v>
      </c>
      <c r="F145" s="67" t="str">
        <f>IFERROR(__xludf.DUMMYFUNCTION("""COMPUTED_VALUE"""),"https://www.google.com/maps/search/?api=1&amp;query=-30.9062488886759,-55.5422920924501")</f>
        <v>https://www.google.com/maps/search/?api=1&amp;query=-30.9062488886759,-55.5422920924501</v>
      </c>
      <c r="G145" s="68" t="str">
        <f>IFERROR(__xludf.DUMMYFUNCTION("""COMPUTED_VALUE"""),"https://earth.google.com/web/search/-30.9062488886759,-55.5422920924501")</f>
        <v>https://earth.google.com/web/search/-30.9062488886759,-55.5422920924501</v>
      </c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</row>
    <row r="146">
      <c r="A146" s="69" t="str">
        <f>IFERROR(__xludf.DUMMYFUNCTION("""COMPUTED_VALUE"""),"-3.0906222260404")</f>
        <v>-3.0906222260404</v>
      </c>
      <c r="B146" s="61" t="str">
        <f>IFERROR(__xludf.DUMMYFUNCTION("""COMPUTED_VALUE"""),"-5.5542351918879")</f>
        <v>-5.5542351918879</v>
      </c>
      <c r="C146" s="61">
        <f>IFERROR(__xludf.DUMMYFUNCTION("""COMPUTED_VALUE"""),1.0)</f>
        <v>1</v>
      </c>
      <c r="D146" s="61">
        <f>IFERROR(__xludf.DUMMYFUNCTION("""COMPUTED_VALUE"""),375.0)</f>
        <v>375</v>
      </c>
      <c r="E146" s="61">
        <f>IFERROR(__xludf.DUMMYFUNCTION("""COMPUTED_VALUE"""),14.0)</f>
        <v>14</v>
      </c>
      <c r="F146" s="62" t="str">
        <f>IFERROR(__xludf.DUMMYFUNCTION("""COMPUTED_VALUE"""),"https://www.google.com/maps/search/?api=1&amp;query=-3.0906222260404,-5.5542351918879")</f>
        <v>https://www.google.com/maps/search/?api=1&amp;query=-3.0906222260404,-5.5542351918879</v>
      </c>
      <c r="G146" s="63" t="str">
        <f>IFERROR(__xludf.DUMMYFUNCTION("""COMPUTED_VALUE"""),"https://earth.google.com/web/search/-3.0906222260404,-5.5542351918879")</f>
        <v>https://earth.google.com/web/search/-3.0906222260404,-5.5542351918879</v>
      </c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</row>
    <row r="147">
      <c r="A147" s="65" t="str">
        <f>IFERROR(__xludf.DUMMYFUNCTION("""COMPUTED_VALUE"""),"-30.9061916057822")</f>
        <v>-30.9061916057822</v>
      </c>
      <c r="B147" s="66" t="str">
        <f>IFERROR(__xludf.DUMMYFUNCTION("""COMPUTED_VALUE"""),"-55.5424262647073")</f>
        <v>-55.5424262647073</v>
      </c>
      <c r="C147" s="66">
        <f>IFERROR(__xludf.DUMMYFUNCTION("""COMPUTED_VALUE"""),1.0)</f>
        <v>1</v>
      </c>
      <c r="D147" s="66">
        <f>IFERROR(__xludf.DUMMYFUNCTION("""COMPUTED_VALUE"""),375.0)</f>
        <v>375</v>
      </c>
      <c r="E147" s="66">
        <f>IFERROR(__xludf.DUMMYFUNCTION("""COMPUTED_VALUE"""),15.0)</f>
        <v>15</v>
      </c>
      <c r="F147" s="67" t="str">
        <f>IFERROR(__xludf.DUMMYFUNCTION("""COMPUTED_VALUE"""),"https://www.google.com/maps/search/?api=1&amp;query=-30.9061916057822,-55.5424262647073")</f>
        <v>https://www.google.com/maps/search/?api=1&amp;query=-30.9061916057822,-55.5424262647073</v>
      </c>
      <c r="G147" s="68" t="str">
        <f>IFERROR(__xludf.DUMMYFUNCTION("""COMPUTED_VALUE"""),"https://earth.google.com/web/search/-30.9061916057822,-55.5424262647073")</f>
        <v>https://earth.google.com/web/search/-30.9061916057822,-55.5424262647073</v>
      </c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</row>
    <row r="148">
      <c r="A148" s="69" t="str">
        <f>IFERROR(__xludf.DUMMYFUNCTION("""COMPUTED_VALUE"""),"-30.9061099390615")</f>
        <v>-30.9061099390615</v>
      </c>
      <c r="B148" s="61" t="str">
        <f>IFERROR(__xludf.DUMMYFUNCTION("""COMPUTED_VALUE"""),"-55.5425574511662")</f>
        <v>-55.5425574511662</v>
      </c>
      <c r="C148" s="61">
        <f>IFERROR(__xludf.DUMMYFUNCTION("""COMPUTED_VALUE"""),1.0)</f>
        <v>1</v>
      </c>
      <c r="D148" s="61">
        <f>IFERROR(__xludf.DUMMYFUNCTION("""COMPUTED_VALUE"""),375.0)</f>
        <v>375</v>
      </c>
      <c r="E148" s="61">
        <f>IFERROR(__xludf.DUMMYFUNCTION("""COMPUTED_VALUE"""),16.0)</f>
        <v>16</v>
      </c>
      <c r="F148" s="62" t="str">
        <f>IFERROR(__xludf.DUMMYFUNCTION("""COMPUTED_VALUE"""),"https://www.google.com/maps/search/?api=1&amp;query=-30.9061099390615,-55.5425574511662")</f>
        <v>https://www.google.com/maps/search/?api=1&amp;query=-30.9061099390615,-55.5425574511662</v>
      </c>
      <c r="G148" s="63" t="str">
        <f>IFERROR(__xludf.DUMMYFUNCTION("""COMPUTED_VALUE"""),"https://earth.google.com/web/search/-30.9061099390615,-55.5425574511662")</f>
        <v>https://earth.google.com/web/search/-30.9061099390615,-55.5425574511662</v>
      </c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</row>
    <row r="149">
      <c r="A149" s="65" t="str">
        <f>IFERROR(__xludf.DUMMYFUNCTION("""COMPUTED_VALUE"""),"-30.9061427824322")</f>
        <v>-30.9061427824322</v>
      </c>
      <c r="B149" s="66" t="str">
        <f>IFERROR(__xludf.DUMMYFUNCTION("""COMPUTED_VALUE"""),"-55.5429807612145")</f>
        <v>-55.5429807612145</v>
      </c>
      <c r="C149" s="66">
        <f>IFERROR(__xludf.DUMMYFUNCTION("""COMPUTED_VALUE"""),1.0)</f>
        <v>1</v>
      </c>
      <c r="D149" s="66">
        <f>IFERROR(__xludf.DUMMYFUNCTION("""COMPUTED_VALUE"""),375.0)</f>
        <v>375</v>
      </c>
      <c r="E149" s="66">
        <f>IFERROR(__xludf.DUMMYFUNCTION("""COMPUTED_VALUE"""),16.0)</f>
        <v>16</v>
      </c>
      <c r="F149" s="67" t="str">
        <f>IFERROR(__xludf.DUMMYFUNCTION("""COMPUTED_VALUE"""),"https://www.google.com/maps/search/?api=1&amp;query=-30.9061427824322,-55.5429807612145")</f>
        <v>https://www.google.com/maps/search/?api=1&amp;query=-30.9061427824322,-55.5429807612145</v>
      </c>
      <c r="G149" s="68" t="str">
        <f>IFERROR(__xludf.DUMMYFUNCTION("""COMPUTED_VALUE"""),"https://earth.google.com/web/search/-30.9061427824322,-55.5429807612145")</f>
        <v>https://earth.google.com/web/search/-30.9061427824322,-55.5429807612145</v>
      </c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</row>
    <row r="150">
      <c r="A150" s="69" t="str">
        <f>IFERROR(__xludf.DUMMYFUNCTION("""COMPUTED_VALUE"""),"-30.9062478628464")</f>
        <v>-30.9062478628464</v>
      </c>
      <c r="B150" s="61" t="str">
        <f>IFERROR(__xludf.DUMMYFUNCTION("""COMPUTED_VALUE"""),"-55.5430561847217")</f>
        <v>-55.5430561847217</v>
      </c>
      <c r="C150" s="61">
        <f>IFERROR(__xludf.DUMMYFUNCTION("""COMPUTED_VALUE"""),1.0)</f>
        <v>1</v>
      </c>
      <c r="D150" s="61">
        <f>IFERROR(__xludf.DUMMYFUNCTION("""COMPUTED_VALUE"""),375.0)</f>
        <v>375</v>
      </c>
      <c r="E150" s="61">
        <f>IFERROR(__xludf.DUMMYFUNCTION("""COMPUTED_VALUE"""),17.0)</f>
        <v>17</v>
      </c>
      <c r="F150" s="62" t="str">
        <f>IFERROR(__xludf.DUMMYFUNCTION("""COMPUTED_VALUE"""),"https://www.google.com/maps/search/?api=1&amp;query=-30.9062478628464,-55.5430561847217")</f>
        <v>https://www.google.com/maps/search/?api=1&amp;query=-30.9062478628464,-55.5430561847217</v>
      </c>
      <c r="G150" s="63" t="str">
        <f>IFERROR(__xludf.DUMMYFUNCTION("""COMPUTED_VALUE"""),"https://earth.google.com/web/search/-30.9062478628464,-55.5430561847217")</f>
        <v>https://earth.google.com/web/search/-30.9062478628464,-55.5430561847217</v>
      </c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</row>
    <row r="151">
      <c r="A151" s="65" t="str">
        <f>IFERROR(__xludf.DUMMYFUNCTION("""COMPUTED_VALUE"""),"-30.9063571395208")</f>
        <v>-30.9063571395208</v>
      </c>
      <c r="B151" s="66" t="str">
        <f>IFERROR(__xludf.DUMMYFUNCTION("""COMPUTED_VALUE"""),"-55.5431326798814")</f>
        <v>-55.5431326798814</v>
      </c>
      <c r="C151" s="66">
        <f>IFERROR(__xludf.DUMMYFUNCTION("""COMPUTED_VALUE"""),1.0)</f>
        <v>1</v>
      </c>
      <c r="D151" s="66">
        <f>IFERROR(__xludf.DUMMYFUNCTION("""COMPUTED_VALUE"""),375.0)</f>
        <v>375</v>
      </c>
      <c r="E151" s="66">
        <f>IFERROR(__xludf.DUMMYFUNCTION("""COMPUTED_VALUE"""),18.0)</f>
        <v>18</v>
      </c>
      <c r="F151" s="67" t="str">
        <f>IFERROR(__xludf.DUMMYFUNCTION("""COMPUTED_VALUE"""),"https://www.google.com/maps/search/?api=1&amp;query=-30.9063571395208,-55.5431326798814")</f>
        <v>https://www.google.com/maps/search/?api=1&amp;query=-30.9063571395208,-55.5431326798814</v>
      </c>
      <c r="G151" s="68" t="str">
        <f>IFERROR(__xludf.DUMMYFUNCTION("""COMPUTED_VALUE"""),"https://earth.google.com/web/search/-30.9063571395208,-55.5431326798814")</f>
        <v>https://earth.google.com/web/search/-30.9063571395208,-55.5431326798814</v>
      </c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</row>
    <row r="152">
      <c r="A152" s="69" t="str">
        <f>IFERROR(__xludf.DUMMYFUNCTION("""COMPUTED_VALUE"""),"-3.0906502635596")</f>
        <v>-3.0906502635596</v>
      </c>
      <c r="B152" s="61" t="str">
        <f>IFERROR(__xludf.DUMMYFUNCTION("""COMPUTED_VALUE"""),"-55.5432631813071")</f>
        <v>-55.5432631813071</v>
      </c>
      <c r="C152" s="61">
        <f>IFERROR(__xludf.DUMMYFUNCTION("""COMPUTED_VALUE"""),1.0)</f>
        <v>1</v>
      </c>
      <c r="D152" s="61">
        <f>IFERROR(__xludf.DUMMYFUNCTION("""COMPUTED_VALUE"""),375.0)</f>
        <v>375</v>
      </c>
      <c r="E152" s="61">
        <f>IFERROR(__xludf.DUMMYFUNCTION("""COMPUTED_VALUE"""),19.0)</f>
        <v>19</v>
      </c>
      <c r="F152" s="62" t="str">
        <f>IFERROR(__xludf.DUMMYFUNCTION("""COMPUTED_VALUE"""),"https://www.google.com/maps/search/?api=1&amp;query=-3.0906502635596,-55.5432631813071")</f>
        <v>https://www.google.com/maps/search/?api=1&amp;query=-3.0906502635596,-55.5432631813071</v>
      </c>
      <c r="G152" s="63" t="str">
        <f>IFERROR(__xludf.DUMMYFUNCTION("""COMPUTED_VALUE"""),"https://earth.google.com/web/search/-3.0906502635596,-55.5432631813071")</f>
        <v>https://earth.google.com/web/search/-3.0906502635596,-55.5432631813071</v>
      </c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</row>
    <row r="153">
      <c r="A153" s="65" t="str">
        <f>IFERROR(__xludf.DUMMYFUNCTION("""COMPUTED_VALUE"""),"-30.9062791545662")</f>
        <v>-30.9062791545662</v>
      </c>
      <c r="B153" s="66" t="str">
        <f>IFERROR(__xludf.DUMMYFUNCTION("""COMPUTED_VALUE"""),"-55.5440271803468")</f>
        <v>-55.5440271803468</v>
      </c>
      <c r="C153" s="66">
        <f>IFERROR(__xludf.DUMMYFUNCTION("""COMPUTED_VALUE"""),1.0)</f>
        <v>1</v>
      </c>
      <c r="D153" s="66">
        <f>IFERROR(__xludf.DUMMYFUNCTION("""COMPUTED_VALUE"""),374.0)</f>
        <v>374</v>
      </c>
      <c r="E153" s="66">
        <f>IFERROR(__xludf.DUMMYFUNCTION("""COMPUTED_VALUE"""),1.0)</f>
        <v>1</v>
      </c>
      <c r="F153" s="67" t="str">
        <f>IFERROR(__xludf.DUMMYFUNCTION("""COMPUTED_VALUE"""),"https://www.google.com/maps/search/?api=1&amp;query=-30.9062791545662,-55.5440271803468")</f>
        <v>https://www.google.com/maps/search/?api=1&amp;query=-30.9062791545662,-55.5440271803468</v>
      </c>
      <c r="G153" s="68" t="str">
        <f>IFERROR(__xludf.DUMMYFUNCTION("""COMPUTED_VALUE"""),"https://earth.google.com/web/search/-30.9062791545662,-55.5440271803468")</f>
        <v>https://earth.google.com/web/search/-30.9062791545662,-55.5440271803468</v>
      </c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</row>
    <row r="154">
      <c r="A154" s="69" t="str">
        <f>IFERROR(__xludf.DUMMYFUNCTION("""COMPUTED_VALUE"""),"-30.9063855035837")</f>
        <v>-30.9063855035837</v>
      </c>
      <c r="B154" s="61" t="str">
        <f>IFERROR(__xludf.DUMMYFUNCTION("""COMPUTED_VALUE"""),"-55.5438481546002")</f>
        <v>-55.5438481546002</v>
      </c>
      <c r="C154" s="61">
        <f>IFERROR(__xludf.DUMMYFUNCTION("""COMPUTED_VALUE"""),1.0)</f>
        <v>1</v>
      </c>
      <c r="D154" s="61">
        <f>IFERROR(__xludf.DUMMYFUNCTION("""COMPUTED_VALUE"""),374.0)</f>
        <v>374</v>
      </c>
      <c r="E154" s="61">
        <f>IFERROR(__xludf.DUMMYFUNCTION("""COMPUTED_VALUE"""),2.0)</f>
        <v>2</v>
      </c>
      <c r="F154" s="62" t="str">
        <f>IFERROR(__xludf.DUMMYFUNCTION("""COMPUTED_VALUE"""),"https://www.google.com/maps/search/?api=1&amp;query=-30.9063855035837,-55.5438481546002")</f>
        <v>https://www.google.com/maps/search/?api=1&amp;query=-30.9063855035837,-55.5438481546002</v>
      </c>
      <c r="G154" s="63" t="str">
        <f>IFERROR(__xludf.DUMMYFUNCTION("""COMPUTED_VALUE"""),"https://earth.google.com/web/search/-30.9063855035837,-55.5438481546002")</f>
        <v>https://earth.google.com/web/search/-30.9063855035837,-55.5438481546002</v>
      </c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</row>
    <row r="155">
      <c r="A155" s="65" t="str">
        <f>IFERROR(__xludf.DUMMYFUNCTION("""COMPUTED_VALUE"""),"-30.9064973823536")</f>
        <v>-30.9064973823536</v>
      </c>
      <c r="B155" s="66" t="str">
        <f>IFERROR(__xludf.DUMMYFUNCTION("""COMPUTED_VALUE"""),"-5.5543394060849")</f>
        <v>-5.5543394060849</v>
      </c>
      <c r="C155" s="66">
        <f>IFERROR(__xludf.DUMMYFUNCTION("""COMPUTED_VALUE"""),1.0)</f>
        <v>1</v>
      </c>
      <c r="D155" s="66">
        <f>IFERROR(__xludf.DUMMYFUNCTION("""COMPUTED_VALUE"""),374.0)</f>
        <v>374</v>
      </c>
      <c r="E155" s="66">
        <f>IFERROR(__xludf.DUMMYFUNCTION("""COMPUTED_VALUE"""),3.0)</f>
        <v>3</v>
      </c>
      <c r="F155" s="67" t="str">
        <f>IFERROR(__xludf.DUMMYFUNCTION("""COMPUTED_VALUE"""),"https://www.google.com/maps/search/?api=1&amp;query=-30.9064973823536,-5.5543394060849")</f>
        <v>https://www.google.com/maps/search/?api=1&amp;query=-30.9064973823536,-5.5543394060849</v>
      </c>
      <c r="G155" s="68" t="str">
        <f>IFERROR(__xludf.DUMMYFUNCTION("""COMPUTED_VALUE"""),"https://earth.google.com/web/search/-30.9064973823536,-5.5543394060849")</f>
        <v>https://earth.google.com/web/search/-30.9064973823536,-5.5543394060849</v>
      </c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</row>
    <row r="156">
      <c r="A156" s="69" t="str">
        <f>IFERROR(__xludf.DUMMYFUNCTION("""COMPUTED_VALUE"""),"-30.9062358465223")</f>
        <v>-30.9062358465223</v>
      </c>
      <c r="B156" s="61" t="str">
        <f>IFERROR(__xludf.DUMMYFUNCTION("""COMPUTED_VALUE"""),"-5.5543182364987")</f>
        <v>-5.5543182364987</v>
      </c>
      <c r="C156" s="61">
        <f>IFERROR(__xludf.DUMMYFUNCTION("""COMPUTED_VALUE"""),1.0)</f>
        <v>1</v>
      </c>
      <c r="D156" s="61">
        <f>IFERROR(__xludf.DUMMYFUNCTION("""COMPUTED_VALUE"""),374.0)</f>
        <v>374</v>
      </c>
      <c r="E156" s="61">
        <f>IFERROR(__xludf.DUMMYFUNCTION("""COMPUTED_VALUE"""),4.0)</f>
        <v>4</v>
      </c>
      <c r="F156" s="62" t="str">
        <f>IFERROR(__xludf.DUMMYFUNCTION("""COMPUTED_VALUE"""),"https://www.google.com/maps/search/?api=1&amp;query=-30.9062358465223,-5.5543182364987")</f>
        <v>https://www.google.com/maps/search/?api=1&amp;query=-30.9062358465223,-5.5543182364987</v>
      </c>
      <c r="G156" s="63" t="str">
        <f>IFERROR(__xludf.DUMMYFUNCTION("""COMPUTED_VALUE"""),"https://earth.google.com/web/search/-30.9062358465223,-5.5543182364987")</f>
        <v>https://earth.google.com/web/search/-30.9062358465223,-5.5543182364987</v>
      </c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</row>
    <row r="157">
      <c r="A157" s="65" t="str">
        <f>IFERROR(__xludf.DUMMYFUNCTION("""COMPUTED_VALUE"""),"-30.9060929634433")</f>
        <v>-30.9060929634433</v>
      </c>
      <c r="B157" s="66" t="str">
        <f>IFERROR(__xludf.DUMMYFUNCTION("""COMPUTED_VALUE"""),"-55.5430848493164")</f>
        <v>-55.5430848493164</v>
      </c>
      <c r="C157" s="66">
        <f>IFERROR(__xludf.DUMMYFUNCTION("""COMPUTED_VALUE"""),1.0)</f>
        <v>1</v>
      </c>
      <c r="D157" s="66">
        <f>IFERROR(__xludf.DUMMYFUNCTION("""COMPUTED_VALUE"""),374.0)</f>
        <v>374</v>
      </c>
      <c r="E157" s="66">
        <f>IFERROR(__xludf.DUMMYFUNCTION("""COMPUTED_VALUE"""),5.0)</f>
        <v>5</v>
      </c>
      <c r="F157" s="67" t="str">
        <f>IFERROR(__xludf.DUMMYFUNCTION("""COMPUTED_VALUE"""),"https://www.google.com/maps/search/?api=1&amp;query=-30.9060929634433,-55.5430848493164")</f>
        <v>https://www.google.com/maps/search/?api=1&amp;query=-30.9060929634433,-55.5430848493164</v>
      </c>
      <c r="G157" s="68" t="str">
        <f>IFERROR(__xludf.DUMMYFUNCTION("""COMPUTED_VALUE"""),"https://earth.google.com/web/search/-30.9060929634433,-55.5430848493164")</f>
        <v>https://earth.google.com/web/search/-30.9060929634433,-55.5430848493164</v>
      </c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</row>
    <row r="158">
      <c r="A158" s="69" t="str">
        <f>IFERROR(__xludf.DUMMYFUNCTION("""COMPUTED_VALUE"""),"-30.9060332990143")</f>
        <v>-30.9060332990143</v>
      </c>
      <c r="B158" s="61" t="str">
        <f>IFERROR(__xludf.DUMMYFUNCTION("""COMPUTED_VALUE"""),"-55.5430300433685")</f>
        <v>-55.5430300433685</v>
      </c>
      <c r="C158" s="61">
        <f>IFERROR(__xludf.DUMMYFUNCTION("""COMPUTED_VALUE"""),1.0)</f>
        <v>1</v>
      </c>
      <c r="D158" s="61">
        <f>IFERROR(__xludf.DUMMYFUNCTION("""COMPUTED_VALUE"""),374.0)</f>
        <v>374</v>
      </c>
      <c r="E158" s="61">
        <f>IFERROR(__xludf.DUMMYFUNCTION("""COMPUTED_VALUE"""),6.0)</f>
        <v>6</v>
      </c>
      <c r="F158" s="62" t="str">
        <f>IFERROR(__xludf.DUMMYFUNCTION("""COMPUTED_VALUE"""),"https://www.google.com/maps/search/?api=1&amp;query=-30.9060332990143,-55.5430300433685")</f>
        <v>https://www.google.com/maps/search/?api=1&amp;query=-30.9060332990143,-55.5430300433685</v>
      </c>
      <c r="G158" s="63" t="str">
        <f>IFERROR(__xludf.DUMMYFUNCTION("""COMPUTED_VALUE"""),"https://earth.google.com/web/search/-30.9060332990143,-55.5430300433685")</f>
        <v>https://earth.google.com/web/search/-30.9060332990143,-55.5430300433685</v>
      </c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</row>
    <row r="159">
      <c r="A159" s="65" t="str">
        <f>IFERROR(__xludf.DUMMYFUNCTION("""COMPUTED_VALUE"""),"-30.9058092595023")</f>
        <v>-30.9058092595023</v>
      </c>
      <c r="B159" s="66" t="str">
        <f>IFERROR(__xludf.DUMMYFUNCTION("""COMPUTED_VALUE"""),"-55.5431276934193")</f>
        <v>-55.5431276934193</v>
      </c>
      <c r="C159" s="66">
        <f>IFERROR(__xludf.DUMMYFUNCTION("""COMPUTED_VALUE"""),1.0)</f>
        <v>1</v>
      </c>
      <c r="D159" s="66">
        <f>IFERROR(__xludf.DUMMYFUNCTION("""COMPUTED_VALUE"""),374.0)</f>
        <v>374</v>
      </c>
      <c r="E159" s="66">
        <f>IFERROR(__xludf.DUMMYFUNCTION("""COMPUTED_VALUE"""),7.0)</f>
        <v>7</v>
      </c>
      <c r="F159" s="67" t="str">
        <f>IFERROR(__xludf.DUMMYFUNCTION("""COMPUTED_VALUE"""),"https://www.google.com/maps/search/?api=1&amp;query=-30.9058092595023,-55.5431276934193")</f>
        <v>https://www.google.com/maps/search/?api=1&amp;query=-30.9058092595023,-55.5431276934193</v>
      </c>
      <c r="G159" s="68" t="str">
        <f>IFERROR(__xludf.DUMMYFUNCTION("""COMPUTED_VALUE"""),"https://earth.google.com/web/search/-30.9058092595023,-55.5431276934193")</f>
        <v>https://earth.google.com/web/search/-30.9058092595023,-55.5431276934193</v>
      </c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</row>
    <row r="160">
      <c r="A160" s="69" t="str">
        <f>IFERROR(__xludf.DUMMYFUNCTION("""COMPUTED_VALUE"""),"-30.9057532104055")</f>
        <v>-30.9057532104055</v>
      </c>
      <c r="B160" s="61" t="str">
        <f>IFERROR(__xludf.DUMMYFUNCTION("""COMPUTED_VALUE"""),"-55.5432493121191")</f>
        <v>-55.5432493121191</v>
      </c>
      <c r="C160" s="61">
        <f>IFERROR(__xludf.DUMMYFUNCTION("""COMPUTED_VALUE"""),1.0)</f>
        <v>1</v>
      </c>
      <c r="D160" s="61">
        <f>IFERROR(__xludf.DUMMYFUNCTION("""COMPUTED_VALUE"""),374.0)</f>
        <v>374</v>
      </c>
      <c r="E160" s="61">
        <f>IFERROR(__xludf.DUMMYFUNCTION("""COMPUTED_VALUE"""),8.0)</f>
        <v>8</v>
      </c>
      <c r="F160" s="62" t="str">
        <f>IFERROR(__xludf.DUMMYFUNCTION("""COMPUTED_VALUE"""),"https://www.google.com/maps/search/?api=1&amp;query=-30.9057532104055,-55.5432493121191")</f>
        <v>https://www.google.com/maps/search/?api=1&amp;query=-30.9057532104055,-55.5432493121191</v>
      </c>
      <c r="G160" s="63" t="str">
        <f>IFERROR(__xludf.DUMMYFUNCTION("""COMPUTED_VALUE"""),"https://earth.google.com/web/search/-30.9057532104055,-55.5432493121191")</f>
        <v>https://earth.google.com/web/search/-30.9057532104055,-55.5432493121191</v>
      </c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</row>
    <row r="161">
      <c r="A161" s="65" t="str">
        <f>IFERROR(__xludf.DUMMYFUNCTION("""COMPUTED_VALUE"""),"-30.9056373320574")</f>
        <v>-30.9056373320574</v>
      </c>
      <c r="B161" s="66" t="str">
        <f>IFERROR(__xludf.DUMMYFUNCTION("""COMPUTED_VALUE"""),"-55.5434485610865")</f>
        <v>-55.5434485610865</v>
      </c>
      <c r="C161" s="66">
        <f>IFERROR(__xludf.DUMMYFUNCTION("""COMPUTED_VALUE"""),1.0)</f>
        <v>1</v>
      </c>
      <c r="D161" s="66">
        <f>IFERROR(__xludf.DUMMYFUNCTION("""COMPUTED_VALUE"""),374.0)</f>
        <v>374</v>
      </c>
      <c r="E161" s="66">
        <f>IFERROR(__xludf.DUMMYFUNCTION("""COMPUTED_VALUE"""),9.0)</f>
        <v>9</v>
      </c>
      <c r="F161" s="67" t="str">
        <f>IFERROR(__xludf.DUMMYFUNCTION("""COMPUTED_VALUE"""),"https://www.google.com/maps/search/?api=1&amp;query=-30.9056373320574,-55.5434485610865")</f>
        <v>https://www.google.com/maps/search/?api=1&amp;query=-30.9056373320574,-55.5434485610865</v>
      </c>
      <c r="G161" s="68" t="str">
        <f>IFERROR(__xludf.DUMMYFUNCTION("""COMPUTED_VALUE"""),"https://earth.google.com/web/search/-30.9056373320574,-55.5434485610865")</f>
        <v>https://earth.google.com/web/search/-30.9056373320574,-55.5434485610865</v>
      </c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</row>
    <row r="162">
      <c r="A162" s="69" t="str">
        <f>IFERROR(__xludf.DUMMYFUNCTION("""COMPUTED_VALUE"""),"-30.9055332556947")</f>
        <v>-30.9055332556947</v>
      </c>
      <c r="B162" s="61" t="str">
        <f>IFERROR(__xludf.DUMMYFUNCTION("""COMPUTED_VALUE"""),"-55.5438083408984")</f>
        <v>-55.5438083408984</v>
      </c>
      <c r="C162" s="61">
        <f>IFERROR(__xludf.DUMMYFUNCTION("""COMPUTED_VALUE"""),1.0)</f>
        <v>1</v>
      </c>
      <c r="D162" s="61">
        <f>IFERROR(__xludf.DUMMYFUNCTION("""COMPUTED_VALUE"""),374.0)</f>
        <v>374</v>
      </c>
      <c r="E162" s="61">
        <f>IFERROR(__xludf.DUMMYFUNCTION("""COMPUTED_VALUE"""),10.0)</f>
        <v>10</v>
      </c>
      <c r="F162" s="62" t="str">
        <f>IFERROR(__xludf.DUMMYFUNCTION("""COMPUTED_VALUE"""),"https://www.google.com/maps/search/?api=1&amp;query=-30.9055332556947,-55.5438083408984")</f>
        <v>https://www.google.com/maps/search/?api=1&amp;query=-30.9055332556947,-55.5438083408984</v>
      </c>
      <c r="G162" s="63" t="str">
        <f>IFERROR(__xludf.DUMMYFUNCTION("""COMPUTED_VALUE"""),"https://earth.google.com/web/search/-30.9055332556947,-55.5438083408984")</f>
        <v>https://earth.google.com/web/search/-30.9055332556947,-55.5438083408984</v>
      </c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</row>
    <row r="163">
      <c r="A163" s="65" t="str">
        <f>IFERROR(__xludf.DUMMYFUNCTION("""COMPUTED_VALUE"""),"-30.9056768389922")</f>
        <v>-30.9056768389922</v>
      </c>
      <c r="B163" s="66" t="str">
        <f>IFERROR(__xludf.DUMMYFUNCTION("""COMPUTED_VALUE"""),"-55.5439027069254")</f>
        <v>-55.5439027069254</v>
      </c>
      <c r="C163" s="66">
        <f>IFERROR(__xludf.DUMMYFUNCTION("""COMPUTED_VALUE"""),1.0)</f>
        <v>1</v>
      </c>
      <c r="D163" s="66">
        <f>IFERROR(__xludf.DUMMYFUNCTION("""COMPUTED_VALUE"""),374.0)</f>
        <v>374</v>
      </c>
      <c r="E163" s="66">
        <f>IFERROR(__xludf.DUMMYFUNCTION("""COMPUTED_VALUE"""),11.0)</f>
        <v>11</v>
      </c>
      <c r="F163" s="67" t="str">
        <f>IFERROR(__xludf.DUMMYFUNCTION("""COMPUTED_VALUE"""),"https://www.google.com/maps/search/?api=1&amp;query=-30.9056768389922,-55.5439027069254")</f>
        <v>https://www.google.com/maps/search/?api=1&amp;query=-30.9056768389922,-55.5439027069254</v>
      </c>
      <c r="G163" s="68" t="str">
        <f>IFERROR(__xludf.DUMMYFUNCTION("""COMPUTED_VALUE"""),"https://earth.google.com/web/search/-30.9056768389922,-55.5439027069254")</f>
        <v>https://earth.google.com/web/search/-30.9056768389922,-55.5439027069254</v>
      </c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</row>
    <row r="164">
      <c r="A164" s="69" t="str">
        <f>IFERROR(__xludf.DUMMYFUNCTION("""COMPUTED_VALUE"""),"-3.0905723104062")</f>
        <v>-3.0905723104062</v>
      </c>
      <c r="B164" s="61" t="str">
        <f>IFERROR(__xludf.DUMMYFUNCTION("""COMPUTED_VALUE"""),"-55.5439273525261")</f>
        <v>-55.5439273525261</v>
      </c>
      <c r="C164" s="61">
        <f>IFERROR(__xludf.DUMMYFUNCTION("""COMPUTED_VALUE"""),1.0)</f>
        <v>1</v>
      </c>
      <c r="D164" s="61">
        <f>IFERROR(__xludf.DUMMYFUNCTION("""COMPUTED_VALUE"""),374.0)</f>
        <v>374</v>
      </c>
      <c r="E164" s="61">
        <f>IFERROR(__xludf.DUMMYFUNCTION("""COMPUTED_VALUE"""),12.0)</f>
        <v>12</v>
      </c>
      <c r="F164" s="62" t="str">
        <f>IFERROR(__xludf.DUMMYFUNCTION("""COMPUTED_VALUE"""),"https://www.google.com/maps/search/?api=1&amp;query=-3.0905723104062,-55.5439273525261")</f>
        <v>https://www.google.com/maps/search/?api=1&amp;query=-3.0905723104062,-55.5439273525261</v>
      </c>
      <c r="G164" s="63" t="str">
        <f>IFERROR(__xludf.DUMMYFUNCTION("""COMPUTED_VALUE"""),"https://earth.google.com/web/search/-3.0905723104062,-55.5439273525261")</f>
        <v>https://earth.google.com/web/search/-3.0905723104062,-55.5439273525261</v>
      </c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</row>
    <row r="165">
      <c r="A165" s="65" t="str">
        <f>IFERROR(__xludf.DUMMYFUNCTION("""COMPUTED_VALUE"""),"-30.9057621334676")</f>
        <v>-30.9057621334676</v>
      </c>
      <c r="B165" s="66" t="str">
        <f>IFERROR(__xludf.DUMMYFUNCTION("""COMPUTED_VALUE"""),"-55.5439631009108")</f>
        <v>-55.5439631009108</v>
      </c>
      <c r="C165" s="66">
        <f>IFERROR(__xludf.DUMMYFUNCTION("""COMPUTED_VALUE"""),1.0)</f>
        <v>1</v>
      </c>
      <c r="D165" s="66">
        <f>IFERROR(__xludf.DUMMYFUNCTION("""COMPUTED_VALUE"""),374.0)</f>
        <v>374</v>
      </c>
      <c r="E165" s="66">
        <f>IFERROR(__xludf.DUMMYFUNCTION("""COMPUTED_VALUE"""),13.0)</f>
        <v>13</v>
      </c>
      <c r="F165" s="67" t="str">
        <f>IFERROR(__xludf.DUMMYFUNCTION("""COMPUTED_VALUE"""),"https://www.google.com/maps/search/?api=1&amp;query=-30.9057621334676,-55.5439631009108")</f>
        <v>https://www.google.com/maps/search/?api=1&amp;query=-30.9057621334676,-55.5439631009108</v>
      </c>
      <c r="G165" s="68" t="str">
        <f>IFERROR(__xludf.DUMMYFUNCTION("""COMPUTED_VALUE"""),"https://earth.google.com/web/search/-30.9057621334676,-55.5439631009108")</f>
        <v>https://earth.google.com/web/search/-30.9057621334676,-55.5439631009108</v>
      </c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</row>
    <row r="166">
      <c r="A166" s="69" t="str">
        <f>IFERROR(__xludf.DUMMYFUNCTION("""COMPUTED_VALUE"""),"-30.9060066983428")</f>
        <v>-30.9060066983428</v>
      </c>
      <c r="B166" s="61" t="str">
        <f>IFERROR(__xludf.DUMMYFUNCTION("""COMPUTED_VALUE"""),"-55.5441361676045")</f>
        <v>-55.5441361676045</v>
      </c>
      <c r="C166" s="61">
        <f>IFERROR(__xludf.DUMMYFUNCTION("""COMPUTED_VALUE"""),1.0)</f>
        <v>1</v>
      </c>
      <c r="D166" s="61">
        <f>IFERROR(__xludf.DUMMYFUNCTION("""COMPUTED_VALUE"""),374.0)</f>
        <v>374</v>
      </c>
      <c r="E166" s="61">
        <f>IFERROR(__xludf.DUMMYFUNCTION("""COMPUTED_VALUE"""),14.0)</f>
        <v>14</v>
      </c>
      <c r="F166" s="62" t="str">
        <f>IFERROR(__xludf.DUMMYFUNCTION("""COMPUTED_VALUE"""),"https://www.google.com/maps/search/?api=1&amp;query=-30.9060066983428,-55.5441361676045")</f>
        <v>https://www.google.com/maps/search/?api=1&amp;query=-30.9060066983428,-55.5441361676045</v>
      </c>
      <c r="G166" s="63" t="str">
        <f>IFERROR(__xludf.DUMMYFUNCTION("""COMPUTED_VALUE"""),"https://earth.google.com/web/search/-30.9060066983428,-55.5441361676045")</f>
        <v>https://earth.google.com/web/search/-30.9060066983428,-55.5441361676045</v>
      </c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</row>
    <row r="167">
      <c r="A167" s="65" t="str">
        <f>IFERROR(__xludf.DUMMYFUNCTION("""COMPUTED_VALUE"""),"-30.9060694593091")</f>
        <v>-30.9060694593091</v>
      </c>
      <c r="B167" s="66" t="str">
        <f>IFERROR(__xludf.DUMMYFUNCTION("""COMPUTED_VALUE"""),"-55.5441853026489")</f>
        <v>-55.5441853026489</v>
      </c>
      <c r="C167" s="66">
        <f>IFERROR(__xludf.DUMMYFUNCTION("""COMPUTED_VALUE"""),1.0)</f>
        <v>1</v>
      </c>
      <c r="D167" s="66">
        <f>IFERROR(__xludf.DUMMYFUNCTION("""COMPUTED_VALUE"""),374.0)</f>
        <v>374</v>
      </c>
      <c r="E167" s="66">
        <f>IFERROR(__xludf.DUMMYFUNCTION("""COMPUTED_VALUE"""),15.0)</f>
        <v>15</v>
      </c>
      <c r="F167" s="67" t="str">
        <f>IFERROR(__xludf.DUMMYFUNCTION("""COMPUTED_VALUE"""),"https://www.google.com/maps/search/?api=1&amp;query=-30.9060694593091,-55.5441853026489")</f>
        <v>https://www.google.com/maps/search/?api=1&amp;query=-30.9060694593091,-55.5441853026489</v>
      </c>
      <c r="G167" s="68" t="str">
        <f>IFERROR(__xludf.DUMMYFUNCTION("""COMPUTED_VALUE"""),"https://earth.google.com/web/search/-30.9060694593091,-55.5441853026489")</f>
        <v>https://earth.google.com/web/search/-30.9060694593091,-55.5441853026489</v>
      </c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</row>
    <row r="168">
      <c r="A168" s="69" t="str">
        <f>IFERROR(__xludf.DUMMYFUNCTION("""COMPUTED_VALUE"""),"-3.0906136959424")</f>
        <v>-3.0906136959424</v>
      </c>
      <c r="B168" s="61" t="str">
        <f>IFERROR(__xludf.DUMMYFUNCTION("""COMPUTED_VALUE"""),"-55.5442297461175")</f>
        <v>-55.5442297461175</v>
      </c>
      <c r="C168" s="61">
        <f>IFERROR(__xludf.DUMMYFUNCTION("""COMPUTED_VALUE"""),1.0)</f>
        <v>1</v>
      </c>
      <c r="D168" s="61">
        <f>IFERROR(__xludf.DUMMYFUNCTION("""COMPUTED_VALUE"""),374.0)</f>
        <v>374</v>
      </c>
      <c r="E168" s="61">
        <f>IFERROR(__xludf.DUMMYFUNCTION("""COMPUTED_VALUE"""),16.0)</f>
        <v>16</v>
      </c>
      <c r="F168" s="62" t="str">
        <f>IFERROR(__xludf.DUMMYFUNCTION("""COMPUTED_VALUE"""),"https://www.google.com/maps/search/?api=1&amp;query=-3.0906136959424,-55.5442297461175")</f>
        <v>https://www.google.com/maps/search/?api=1&amp;query=-3.0906136959424,-55.5442297461175</v>
      </c>
      <c r="G168" s="63" t="str">
        <f>IFERROR(__xludf.DUMMYFUNCTION("""COMPUTED_VALUE"""),"https://earth.google.com/web/search/-3.0906136959424,-55.5442297461175")</f>
        <v>https://earth.google.com/web/search/-3.0906136959424,-55.5442297461175</v>
      </c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</row>
    <row r="169">
      <c r="A169" s="65" t="str">
        <f>IFERROR(__xludf.DUMMYFUNCTION("""COMPUTED_VALUE"""),"-30.9050505203466")</f>
        <v>-30.9050505203466</v>
      </c>
      <c r="B169" s="66" t="str">
        <f>IFERROR(__xludf.DUMMYFUNCTION("""COMPUTED_VALUE"""),"-55.5447826368956")</f>
        <v>-55.5447826368956</v>
      </c>
      <c r="C169" s="66">
        <f>IFERROR(__xludf.DUMMYFUNCTION("""COMPUTED_VALUE"""),1.0)</f>
        <v>1</v>
      </c>
      <c r="D169" s="66">
        <f>IFERROR(__xludf.DUMMYFUNCTION("""COMPUTED_VALUE"""),373.0)</f>
        <v>373</v>
      </c>
      <c r="E169" s="66">
        <f>IFERROR(__xludf.DUMMYFUNCTION("""COMPUTED_VALUE"""),1.0)</f>
        <v>1</v>
      </c>
      <c r="F169" s="67" t="str">
        <f>IFERROR(__xludf.DUMMYFUNCTION("""COMPUTED_VALUE"""),"https://www.google.com/maps/search/?api=1&amp;query=-30.9050505203466,-55.5447826368956")</f>
        <v>https://www.google.com/maps/search/?api=1&amp;query=-30.9050505203466,-55.5447826368956</v>
      </c>
      <c r="G169" s="68" t="str">
        <f>IFERROR(__xludf.DUMMYFUNCTION("""COMPUTED_VALUE"""),"https://earth.google.com/web/search/-30.9050505203466,-55.5447826368956")</f>
        <v>https://earth.google.com/web/search/-30.9050505203466,-55.5447826368956</v>
      </c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</row>
    <row r="170">
      <c r="A170" s="69" t="str">
        <f>IFERROR(__xludf.DUMMYFUNCTION("""COMPUTED_VALUE"""),"-30.9051037288871")</f>
        <v>-30.9051037288871</v>
      </c>
      <c r="B170" s="61" t="str">
        <f>IFERROR(__xludf.DUMMYFUNCTION("""COMPUTED_VALUE"""),"-55.5448195276637")</f>
        <v>-55.5448195276637</v>
      </c>
      <c r="C170" s="61">
        <f>IFERROR(__xludf.DUMMYFUNCTION("""COMPUTED_VALUE"""),1.0)</f>
        <v>1</v>
      </c>
      <c r="D170" s="61">
        <f>IFERROR(__xludf.DUMMYFUNCTION("""COMPUTED_VALUE"""),373.0)</f>
        <v>373</v>
      </c>
      <c r="E170" s="61">
        <f>IFERROR(__xludf.DUMMYFUNCTION("""COMPUTED_VALUE"""),2.0)</f>
        <v>2</v>
      </c>
      <c r="F170" s="62" t="str">
        <f>IFERROR(__xludf.DUMMYFUNCTION("""COMPUTED_VALUE"""),"https://www.google.com/maps/search/?api=1&amp;query=-30.9051037288871,-55.5448195276637")</f>
        <v>https://www.google.com/maps/search/?api=1&amp;query=-30.9051037288871,-55.5448195276637</v>
      </c>
      <c r="G170" s="63" t="str">
        <f>IFERROR(__xludf.DUMMYFUNCTION("""COMPUTED_VALUE"""),"https://earth.google.com/web/search/-30.9051037288871,-55.5448195276637")</f>
        <v>https://earth.google.com/web/search/-30.9051037288871,-55.5448195276637</v>
      </c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</row>
    <row r="171">
      <c r="A171" s="65" t="str">
        <f>IFERROR(__xludf.DUMMYFUNCTION("""COMPUTED_VALUE"""),"-30.9051553348284")</f>
        <v>-30.9051553348284</v>
      </c>
      <c r="B171" s="66" t="str">
        <f>IFERROR(__xludf.DUMMYFUNCTION("""COMPUTED_VALUE"""),"-55.5448564741357")</f>
        <v>-55.5448564741357</v>
      </c>
      <c r="C171" s="66">
        <f>IFERROR(__xludf.DUMMYFUNCTION("""COMPUTED_VALUE"""),1.0)</f>
        <v>1</v>
      </c>
      <c r="D171" s="66">
        <f>IFERROR(__xludf.DUMMYFUNCTION("""COMPUTED_VALUE"""),373.0)</f>
        <v>373</v>
      </c>
      <c r="E171" s="66">
        <f>IFERROR(__xludf.DUMMYFUNCTION("""COMPUTED_VALUE"""),3.0)</f>
        <v>3</v>
      </c>
      <c r="F171" s="67" t="str">
        <f>IFERROR(__xludf.DUMMYFUNCTION("""COMPUTED_VALUE"""),"https://www.google.com/maps/search/?api=1&amp;query=-30.9051553348284,-55.5448564741357")</f>
        <v>https://www.google.com/maps/search/?api=1&amp;query=-30.9051553348284,-55.5448564741357</v>
      </c>
      <c r="G171" s="68" t="str">
        <f>IFERROR(__xludf.DUMMYFUNCTION("""COMPUTED_VALUE"""),"https://earth.google.com/web/search/-30.9051553348284,-55.5448564741357")</f>
        <v>https://earth.google.com/web/search/-30.9051553348284,-55.5448564741357</v>
      </c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</row>
    <row r="172">
      <c r="A172" s="69" t="str">
        <f>IFERROR(__xludf.DUMMYFUNCTION("""COMPUTED_VALUE"""),"-30.9052832738456")</f>
        <v>-30.9052832738456</v>
      </c>
      <c r="B172" s="61" t="str">
        <f>IFERROR(__xludf.DUMMYFUNCTION("""COMPUTED_VALUE"""),"-5.5544935647806")</f>
        <v>-5.5544935647806</v>
      </c>
      <c r="C172" s="61">
        <f>IFERROR(__xludf.DUMMYFUNCTION("""COMPUTED_VALUE"""),1.0)</f>
        <v>1</v>
      </c>
      <c r="D172" s="61">
        <f>IFERROR(__xludf.DUMMYFUNCTION("""COMPUTED_VALUE"""),373.0)</f>
        <v>373</v>
      </c>
      <c r="E172" s="61">
        <f>IFERROR(__xludf.DUMMYFUNCTION("""COMPUTED_VALUE"""),4.0)</f>
        <v>4</v>
      </c>
      <c r="F172" s="62" t="str">
        <f>IFERROR(__xludf.DUMMYFUNCTION("""COMPUTED_VALUE"""),"https://www.google.com/maps/search/?api=1&amp;query=-30.9052832738456,-5.5544935647806")</f>
        <v>https://www.google.com/maps/search/?api=1&amp;query=-30.9052832738456,-5.5544935647806</v>
      </c>
      <c r="G172" s="63" t="str">
        <f>IFERROR(__xludf.DUMMYFUNCTION("""COMPUTED_VALUE"""),"https://earth.google.com/web/search/-30.9052832738456,-5.5544935647806")</f>
        <v>https://earth.google.com/web/search/-30.9052832738456,-5.5544935647806</v>
      </c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</row>
    <row r="173">
      <c r="A173" s="65" t="str">
        <f>IFERROR(__xludf.DUMMYFUNCTION("""COMPUTED_VALUE"""),"-30.9054673432448")</f>
        <v>-30.9054673432448</v>
      </c>
      <c r="B173" s="66" t="str">
        <f>IFERROR(__xludf.DUMMYFUNCTION("""COMPUTED_VALUE"""),"-55.5450605678712")</f>
        <v>-55.5450605678712</v>
      </c>
      <c r="C173" s="66">
        <f>IFERROR(__xludf.DUMMYFUNCTION("""COMPUTED_VALUE"""),1.0)</f>
        <v>1</v>
      </c>
      <c r="D173" s="66">
        <f>IFERROR(__xludf.DUMMYFUNCTION("""COMPUTED_VALUE"""),373.0)</f>
        <v>373</v>
      </c>
      <c r="E173" s="66">
        <f>IFERROR(__xludf.DUMMYFUNCTION("""COMPUTED_VALUE"""),5.0)</f>
        <v>5</v>
      </c>
      <c r="F173" s="67" t="str">
        <f>IFERROR(__xludf.DUMMYFUNCTION("""COMPUTED_VALUE"""),"https://www.google.com/maps/search/?api=1&amp;query=-30.9054673432448,-55.5450605678712")</f>
        <v>https://www.google.com/maps/search/?api=1&amp;query=-30.9054673432448,-55.5450605678712</v>
      </c>
      <c r="G173" s="68" t="str">
        <f>IFERROR(__xludf.DUMMYFUNCTION("""COMPUTED_VALUE"""),"https://earth.google.com/web/search/-30.9054673432448,-55.5450605678712")</f>
        <v>https://earth.google.com/web/search/-30.9054673432448,-55.5450605678712</v>
      </c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</row>
    <row r="174">
      <c r="A174" s="69" t="str">
        <f>IFERROR(__xludf.DUMMYFUNCTION("""COMPUTED_VALUE"""),"-30.9055298359688")</f>
        <v>-30.9055298359688</v>
      </c>
      <c r="B174" s="61" t="str">
        <f>IFERROR(__xludf.DUMMYFUNCTION("""COMPUTED_VALUE"""),"-55.5450986597358")</f>
        <v>-55.5450986597358</v>
      </c>
      <c r="C174" s="61">
        <f>IFERROR(__xludf.DUMMYFUNCTION("""COMPUTED_VALUE"""),1.0)</f>
        <v>1</v>
      </c>
      <c r="D174" s="61">
        <f>IFERROR(__xludf.DUMMYFUNCTION("""COMPUTED_VALUE"""),373.0)</f>
        <v>373</v>
      </c>
      <c r="E174" s="61">
        <f>IFERROR(__xludf.DUMMYFUNCTION("""COMPUTED_VALUE"""),6.0)</f>
        <v>6</v>
      </c>
      <c r="F174" s="62" t="str">
        <f>IFERROR(__xludf.DUMMYFUNCTION("""COMPUTED_VALUE"""),"https://www.google.com/maps/search/?api=1&amp;query=-30.9055298359688,-55.5450986597358")</f>
        <v>https://www.google.com/maps/search/?api=1&amp;query=-30.9055298359688,-55.5450986597358</v>
      </c>
      <c r="G174" s="63" t="str">
        <f>IFERROR(__xludf.DUMMYFUNCTION("""COMPUTED_VALUE"""),"https://earth.google.com/web/search/-30.9055298359688,-55.5450986597358")</f>
        <v>https://earth.google.com/web/search/-30.9055298359688,-55.5450986597358</v>
      </c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</row>
    <row r="175">
      <c r="A175" s="65" t="str">
        <f>IFERROR(__xludf.DUMMYFUNCTION("""COMPUTED_VALUE"""),"-30.9055910588519")</f>
        <v>-30.9055910588519</v>
      </c>
      <c r="B175" s="66" t="str">
        <f>IFERROR(__xludf.DUMMYFUNCTION("""COMPUTED_VALUE"""),"-55.5451470137842")</f>
        <v>-55.5451470137842</v>
      </c>
      <c r="C175" s="66">
        <f>IFERROR(__xludf.DUMMYFUNCTION("""COMPUTED_VALUE"""),1.0)</f>
        <v>1</v>
      </c>
      <c r="D175" s="66">
        <f>IFERROR(__xludf.DUMMYFUNCTION("""COMPUTED_VALUE"""),373.0)</f>
        <v>373</v>
      </c>
      <c r="E175" s="66">
        <f>IFERROR(__xludf.DUMMYFUNCTION("""COMPUTED_VALUE"""),7.0)</f>
        <v>7</v>
      </c>
      <c r="F175" s="67" t="str">
        <f>IFERROR(__xludf.DUMMYFUNCTION("""COMPUTED_VALUE"""),"https://www.google.com/maps/search/?api=1&amp;query=-30.9055910588519,-55.5451470137842")</f>
        <v>https://www.google.com/maps/search/?api=1&amp;query=-30.9055910588519,-55.5451470137842</v>
      </c>
      <c r="G175" s="68" t="str">
        <f>IFERROR(__xludf.DUMMYFUNCTION("""COMPUTED_VALUE"""),"https://earth.google.com/web/search/-30.9055910588519,-55.5451470137842")</f>
        <v>https://earth.google.com/web/search/-30.9055910588519,-55.5451470137842</v>
      </c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</row>
    <row r="176">
      <c r="A176" s="69" t="str">
        <f>IFERROR(__xludf.DUMMYFUNCTION("""COMPUTED_VALUE"""),"-30.9057475728556")</f>
        <v>-30.9057475728556</v>
      </c>
      <c r="B176" s="61" t="str">
        <f>IFERROR(__xludf.DUMMYFUNCTION("""COMPUTED_VALUE"""),"-55.5450855139851")</f>
        <v>-55.5450855139851</v>
      </c>
      <c r="C176" s="61">
        <f>IFERROR(__xludf.DUMMYFUNCTION("""COMPUTED_VALUE"""),1.0)</f>
        <v>1</v>
      </c>
      <c r="D176" s="61">
        <f>IFERROR(__xludf.DUMMYFUNCTION("""COMPUTED_VALUE"""),373.0)</f>
        <v>373</v>
      </c>
      <c r="E176" s="61">
        <f>IFERROR(__xludf.DUMMYFUNCTION("""COMPUTED_VALUE"""),8.0)</f>
        <v>8</v>
      </c>
      <c r="F176" s="62" t="str">
        <f>IFERROR(__xludf.DUMMYFUNCTION("""COMPUTED_VALUE"""),"https://www.google.com/maps/search/?api=1&amp;query=-30.9057475728556,-55.5450855139851")</f>
        <v>https://www.google.com/maps/search/?api=1&amp;query=-30.9057475728556,-55.5450855139851</v>
      </c>
      <c r="G176" s="63" t="str">
        <f>IFERROR(__xludf.DUMMYFUNCTION("""COMPUTED_VALUE"""),"https://earth.google.com/web/search/-30.9057475728556,-55.5450855139851")</f>
        <v>https://earth.google.com/web/search/-30.9057475728556,-55.5450855139851</v>
      </c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</row>
    <row r="177">
      <c r="A177" s="65" t="str">
        <f>IFERROR(__xludf.DUMMYFUNCTION("""COMPUTED_VALUE"""),"-30.9057885428456")</f>
        <v>-30.9057885428456</v>
      </c>
      <c r="B177" s="66" t="str">
        <f>IFERROR(__xludf.DUMMYFUNCTION("""COMPUTED_VALUE"""),"-55.5449993209547")</f>
        <v>-55.5449993209547</v>
      </c>
      <c r="C177" s="66">
        <f>IFERROR(__xludf.DUMMYFUNCTION("""COMPUTED_VALUE"""),1.0)</f>
        <v>1</v>
      </c>
      <c r="D177" s="66">
        <f>IFERROR(__xludf.DUMMYFUNCTION("""COMPUTED_VALUE"""),373.0)</f>
        <v>373</v>
      </c>
      <c r="E177" s="66">
        <f>IFERROR(__xludf.DUMMYFUNCTION("""COMPUTED_VALUE"""),9.0)</f>
        <v>9</v>
      </c>
      <c r="F177" s="67" t="str">
        <f>IFERROR(__xludf.DUMMYFUNCTION("""COMPUTED_VALUE"""),"https://www.google.com/maps/search/?api=1&amp;query=-30.9057885428456,-55.5449993209547")</f>
        <v>https://www.google.com/maps/search/?api=1&amp;query=-30.9057885428456,-55.5449993209547</v>
      </c>
      <c r="G177" s="68" t="str">
        <f>IFERROR(__xludf.DUMMYFUNCTION("""COMPUTED_VALUE"""),"https://earth.google.com/web/search/-30.9057885428456,-55.5449993209547")</f>
        <v>https://earth.google.com/web/search/-30.9057885428456,-55.5449993209547</v>
      </c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</row>
    <row r="178">
      <c r="A178" s="69" t="str">
        <f>IFERROR(__xludf.DUMMYFUNCTION("""COMPUTED_VALUE"""),"-30.9058751963081")</f>
        <v>-30.9058751963081</v>
      </c>
      <c r="B178" s="61" t="str">
        <f>IFERROR(__xludf.DUMMYFUNCTION("""COMPUTED_VALUE"""),"-55.5448722736586")</f>
        <v>-55.5448722736586</v>
      </c>
      <c r="C178" s="61">
        <f>IFERROR(__xludf.DUMMYFUNCTION("""COMPUTED_VALUE"""),1.0)</f>
        <v>1</v>
      </c>
      <c r="D178" s="61">
        <f>IFERROR(__xludf.DUMMYFUNCTION("""COMPUTED_VALUE"""),373.0)</f>
        <v>373</v>
      </c>
      <c r="E178" s="61">
        <f>IFERROR(__xludf.DUMMYFUNCTION("""COMPUTED_VALUE"""),10.0)</f>
        <v>10</v>
      </c>
      <c r="F178" s="62" t="str">
        <f>IFERROR(__xludf.DUMMYFUNCTION("""COMPUTED_VALUE"""),"https://www.google.com/maps/search/?api=1&amp;query=-30.9058751963081,-55.5448722736586")</f>
        <v>https://www.google.com/maps/search/?api=1&amp;query=-30.9058751963081,-55.5448722736586</v>
      </c>
      <c r="G178" s="63" t="str">
        <f>IFERROR(__xludf.DUMMYFUNCTION("""COMPUTED_VALUE"""),"https://earth.google.com/web/search/-30.9058751963081,-55.5448722736586")</f>
        <v>https://earth.google.com/web/search/-30.9058751963081,-55.5448722736586</v>
      </c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</row>
    <row r="179">
      <c r="A179" s="65" t="str">
        <f>IFERROR(__xludf.DUMMYFUNCTION("""COMPUTED_VALUE"""),"-30.9059111444821")</f>
        <v>-30.9059111444821</v>
      </c>
      <c r="B179" s="66" t="str">
        <f>IFERROR(__xludf.DUMMYFUNCTION("""COMPUTED_VALUE"""),"-55.5447990532352")</f>
        <v>-55.5447990532352</v>
      </c>
      <c r="C179" s="66">
        <f>IFERROR(__xludf.DUMMYFUNCTION("""COMPUTED_VALUE"""),1.0)</f>
        <v>1</v>
      </c>
      <c r="D179" s="66">
        <f>IFERROR(__xludf.DUMMYFUNCTION("""COMPUTED_VALUE"""),373.0)</f>
        <v>373</v>
      </c>
      <c r="E179" s="66">
        <f>IFERROR(__xludf.DUMMYFUNCTION("""COMPUTED_VALUE"""),11.0)</f>
        <v>11</v>
      </c>
      <c r="F179" s="67" t="str">
        <f>IFERROR(__xludf.DUMMYFUNCTION("""COMPUTED_VALUE"""),"https://www.google.com/maps/search/?api=1&amp;query=-30.9059111444821,-55.5447990532352")</f>
        <v>https://www.google.com/maps/search/?api=1&amp;query=-30.9059111444821,-55.5447990532352</v>
      </c>
      <c r="G179" s="68" t="str">
        <f>IFERROR(__xludf.DUMMYFUNCTION("""COMPUTED_VALUE"""),"https://earth.google.com/web/search/-30.9059111444821,-55.5447990532352")</f>
        <v>https://earth.google.com/web/search/-30.9059111444821,-55.5447990532352</v>
      </c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</row>
    <row r="180">
      <c r="A180" s="69" t="str">
        <f>IFERROR(__xludf.DUMMYFUNCTION("""COMPUTED_VALUE"""),"-30.9059471000542")</f>
        <v>-30.9059471000542</v>
      </c>
      <c r="B180" s="61" t="str">
        <f>IFERROR(__xludf.DUMMYFUNCTION("""COMPUTED_VALUE"""),"-5.5544735023191")</f>
        <v>-5.5544735023191</v>
      </c>
      <c r="C180" s="61">
        <f>IFERROR(__xludf.DUMMYFUNCTION("""COMPUTED_VALUE"""),1.0)</f>
        <v>1</v>
      </c>
      <c r="D180" s="61">
        <f>IFERROR(__xludf.DUMMYFUNCTION("""COMPUTED_VALUE"""),373.0)</f>
        <v>373</v>
      </c>
      <c r="E180" s="61">
        <f>IFERROR(__xludf.DUMMYFUNCTION("""COMPUTED_VALUE"""),12.0)</f>
        <v>12</v>
      </c>
      <c r="F180" s="62" t="str">
        <f>IFERROR(__xludf.DUMMYFUNCTION("""COMPUTED_VALUE"""),"https://www.google.com/maps/search/?api=1&amp;query=-30.9059471000542,-5.5544735023191")</f>
        <v>https://www.google.com/maps/search/?api=1&amp;query=-30.9059471000542,-5.5544735023191</v>
      </c>
      <c r="G180" s="63" t="str">
        <f>IFERROR(__xludf.DUMMYFUNCTION("""COMPUTED_VALUE"""),"https://earth.google.com/web/search/-30.9059471000542,-5.5544735023191")</f>
        <v>https://earth.google.com/web/search/-30.9059471000542,-5.5544735023191</v>
      </c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</row>
    <row r="181">
      <c r="A181" s="65" t="str">
        <f>IFERROR(__xludf.DUMMYFUNCTION("""COMPUTED_VALUE"""),"-30.9059764569029")</f>
        <v>-30.9059764569029</v>
      </c>
      <c r="B181" s="66" t="str">
        <f>IFERROR(__xludf.DUMMYFUNCTION("""COMPUTED_VALUE"""),"-55.5446720567796")</f>
        <v>-55.5446720567796</v>
      </c>
      <c r="C181" s="66">
        <f>IFERROR(__xludf.DUMMYFUNCTION("""COMPUTED_VALUE"""),1.0)</f>
        <v>1</v>
      </c>
      <c r="D181" s="66">
        <f>IFERROR(__xludf.DUMMYFUNCTION("""COMPUTED_VALUE"""),373.0)</f>
        <v>373</v>
      </c>
      <c r="E181" s="66">
        <f>IFERROR(__xludf.DUMMYFUNCTION("""COMPUTED_VALUE"""),13.0)</f>
        <v>13</v>
      </c>
      <c r="F181" s="67" t="str">
        <f>IFERROR(__xludf.DUMMYFUNCTION("""COMPUTED_VALUE"""),"https://www.google.com/maps/search/?api=1&amp;query=-30.9059764569029,-55.5446720567796")</f>
        <v>https://www.google.com/maps/search/?api=1&amp;query=-30.9059764569029,-55.5446720567796</v>
      </c>
      <c r="G181" s="68" t="str">
        <f>IFERROR(__xludf.DUMMYFUNCTION("""COMPUTED_VALUE"""),"https://earth.google.com/web/search/-30.9059764569029,-55.5446720567796")</f>
        <v>https://earth.google.com/web/search/-30.9059764569029,-55.5446720567796</v>
      </c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</row>
    <row r="182">
      <c r="A182" s="69" t="str">
        <f>IFERROR(__xludf.DUMMYFUNCTION("""COMPUTED_VALUE"""),"-30.9060390469646")</f>
        <v>-30.9060390469646</v>
      </c>
      <c r="B182" s="61" t="str">
        <f>IFERROR(__xludf.DUMMYFUNCTION("""COMPUTED_VALUE"""),"-5.5544562985648")</f>
        <v>-5.5544562985648</v>
      </c>
      <c r="C182" s="61">
        <f>IFERROR(__xludf.DUMMYFUNCTION("""COMPUTED_VALUE"""),1.0)</f>
        <v>1</v>
      </c>
      <c r="D182" s="61">
        <f>IFERROR(__xludf.DUMMYFUNCTION("""COMPUTED_VALUE"""),373.0)</f>
        <v>373</v>
      </c>
      <c r="E182" s="61">
        <f>IFERROR(__xludf.DUMMYFUNCTION("""COMPUTED_VALUE"""),14.0)</f>
        <v>14</v>
      </c>
      <c r="F182" s="62" t="str">
        <f>IFERROR(__xludf.DUMMYFUNCTION("""COMPUTED_VALUE"""),"https://www.google.com/maps/search/?api=1&amp;query=-30.9060390469646,-5.5544562985648")</f>
        <v>https://www.google.com/maps/search/?api=1&amp;query=-30.9060390469646,-5.5544562985648</v>
      </c>
      <c r="G182" s="63" t="str">
        <f>IFERROR(__xludf.DUMMYFUNCTION("""COMPUTED_VALUE"""),"https://earth.google.com/web/search/-30.9060390469646,-5.5544562985648")</f>
        <v>https://earth.google.com/web/search/-30.9060390469646,-5.5544562985648</v>
      </c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</row>
    <row r="183">
      <c r="A183" s="65" t="str">
        <f>IFERROR(__xludf.DUMMYFUNCTION("""COMPUTED_VALUE"""),"-30.9060643952479")</f>
        <v>-30.9060643952479</v>
      </c>
      <c r="B183" s="66" t="str">
        <f>IFERROR(__xludf.DUMMYFUNCTION("""COMPUTED_VALUE"""),"-55.5445204255835")</f>
        <v>-55.5445204255835</v>
      </c>
      <c r="C183" s="66">
        <f>IFERROR(__xludf.DUMMYFUNCTION("""COMPUTED_VALUE"""),1.0)</f>
        <v>1</v>
      </c>
      <c r="D183" s="66">
        <f>IFERROR(__xludf.DUMMYFUNCTION("""COMPUTED_VALUE"""),373.0)</f>
        <v>373</v>
      </c>
      <c r="E183" s="66">
        <f>IFERROR(__xludf.DUMMYFUNCTION("""COMPUTED_VALUE"""),15.0)</f>
        <v>15</v>
      </c>
      <c r="F183" s="67" t="str">
        <f>IFERROR(__xludf.DUMMYFUNCTION("""COMPUTED_VALUE"""),"https://www.google.com/maps/search/?api=1&amp;query=-30.9060643952479,-55.5445204255835")</f>
        <v>https://www.google.com/maps/search/?api=1&amp;query=-30.9060643952479,-55.5445204255835</v>
      </c>
      <c r="G183" s="68" t="str">
        <f>IFERROR(__xludf.DUMMYFUNCTION("""COMPUTED_VALUE"""),"https://earth.google.com/web/search/-30.9060643952479,-55.5445204255835")</f>
        <v>https://earth.google.com/web/search/-30.9060643952479,-55.5445204255835</v>
      </c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</row>
    <row r="184">
      <c r="A184" s="69" t="str">
        <f>IFERROR(__xludf.DUMMYFUNCTION("""COMPUTED_VALUE"""),"-30.9055661528126")</f>
        <v>-30.9055661528126</v>
      </c>
      <c r="B184" s="61" t="str">
        <f>IFERROR(__xludf.DUMMYFUNCTION("""COMPUTED_VALUE"""),"-55.5439665158217")</f>
        <v>-55.5439665158217</v>
      </c>
      <c r="C184" s="61">
        <f>IFERROR(__xludf.DUMMYFUNCTION("""COMPUTED_VALUE"""),1.0)</f>
        <v>1</v>
      </c>
      <c r="D184" s="61">
        <f>IFERROR(__xludf.DUMMYFUNCTION("""COMPUTED_VALUE"""),373.0)</f>
        <v>373</v>
      </c>
      <c r="E184" s="61">
        <f>IFERROR(__xludf.DUMMYFUNCTION("""COMPUTED_VALUE"""),16.0)</f>
        <v>16</v>
      </c>
      <c r="F184" s="62" t="str">
        <f>IFERROR(__xludf.DUMMYFUNCTION("""COMPUTED_VALUE"""),"https://www.google.com/maps/search/?api=1&amp;query=-30.9055661528126,-55.5439665158217")</f>
        <v>https://www.google.com/maps/search/?api=1&amp;query=-30.9055661528126,-55.5439665158217</v>
      </c>
      <c r="G184" s="63" t="str">
        <f>IFERROR(__xludf.DUMMYFUNCTION("""COMPUTED_VALUE"""),"https://earth.google.com/web/search/-30.9055661528126,-55.5439665158217")</f>
        <v>https://earth.google.com/web/search/-30.9055661528126,-55.5439665158217</v>
      </c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</row>
    <row r="185">
      <c r="A185" s="65" t="str">
        <f>IFERROR(__xludf.DUMMYFUNCTION("""COMPUTED_VALUE"""),"-30.9055200123711")</f>
        <v>-30.9055200123711</v>
      </c>
      <c r="B185" s="66" t="str">
        <f>IFERROR(__xludf.DUMMYFUNCTION("""COMPUTED_VALUE"""),"-55.5439260499274")</f>
        <v>-55.5439260499274</v>
      </c>
      <c r="C185" s="66">
        <f>IFERROR(__xludf.DUMMYFUNCTION("""COMPUTED_VALUE"""),1.0)</f>
        <v>1</v>
      </c>
      <c r="D185" s="66">
        <f>IFERROR(__xludf.DUMMYFUNCTION("""COMPUTED_VALUE"""),373.0)</f>
        <v>373</v>
      </c>
      <c r="E185" s="66">
        <f>IFERROR(__xludf.DUMMYFUNCTION("""COMPUTED_VALUE"""),17.0)</f>
        <v>17</v>
      </c>
      <c r="F185" s="67" t="str">
        <f>IFERROR(__xludf.DUMMYFUNCTION("""COMPUTED_VALUE"""),"https://www.google.com/maps/search/?api=1&amp;query=-30.9055200123711,-55.5439260499274")</f>
        <v>https://www.google.com/maps/search/?api=1&amp;query=-30.9055200123711,-55.5439260499274</v>
      </c>
      <c r="G185" s="68" t="str">
        <f>IFERROR(__xludf.DUMMYFUNCTION("""COMPUTED_VALUE"""),"https://earth.google.com/web/search/-30.9055200123711,-55.5439260499274")</f>
        <v>https://earth.google.com/web/search/-30.9055200123711,-55.5439260499274</v>
      </c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</row>
    <row r="186">
      <c r="A186" s="69" t="str">
        <f>IFERROR(__xludf.DUMMYFUNCTION("""COMPUTED_VALUE"""),"-30.9052892459124")</f>
        <v>-30.9052892459124</v>
      </c>
      <c r="B186" s="61" t="str">
        <f>IFERROR(__xludf.DUMMYFUNCTION("""COMPUTED_VALUE"""),"-55.5440852369797")</f>
        <v>-55.5440852369797</v>
      </c>
      <c r="C186" s="61">
        <f>IFERROR(__xludf.DUMMYFUNCTION("""COMPUTED_VALUE"""),1.0)</f>
        <v>1</v>
      </c>
      <c r="D186" s="61">
        <f>IFERROR(__xludf.DUMMYFUNCTION("""COMPUTED_VALUE"""),373.0)</f>
        <v>373</v>
      </c>
      <c r="E186" s="61">
        <f>IFERROR(__xludf.DUMMYFUNCTION("""COMPUTED_VALUE"""),18.0)</f>
        <v>18</v>
      </c>
      <c r="F186" s="62" t="str">
        <f>IFERROR(__xludf.DUMMYFUNCTION("""COMPUTED_VALUE"""),"https://www.google.com/maps/search/?api=1&amp;query=-30.9052892459124,-55.5440852369797")</f>
        <v>https://www.google.com/maps/search/?api=1&amp;query=-30.9052892459124,-55.5440852369797</v>
      </c>
      <c r="G186" s="63" t="str">
        <f>IFERROR(__xludf.DUMMYFUNCTION("""COMPUTED_VALUE"""),"https://earth.google.com/web/search/-30.9052892459124,-55.5440852369797")</f>
        <v>https://earth.google.com/web/search/-30.9052892459124,-55.5440852369797</v>
      </c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</row>
    <row r="187">
      <c r="A187" s="65" t="str">
        <f>IFERROR(__xludf.DUMMYFUNCTION("""COMPUTED_VALUE"""),"-3.0905233952046")</f>
        <v>-3.0905233952046</v>
      </c>
      <c r="B187" s="66" t="str">
        <f>IFERROR(__xludf.DUMMYFUNCTION("""COMPUTED_VALUE"""),"-55.5442267669496")</f>
        <v>-55.5442267669496</v>
      </c>
      <c r="C187" s="66">
        <f>IFERROR(__xludf.DUMMYFUNCTION("""COMPUTED_VALUE"""),1.0)</f>
        <v>1</v>
      </c>
      <c r="D187" s="66">
        <f>IFERROR(__xludf.DUMMYFUNCTION("""COMPUTED_VALUE"""),373.0)</f>
        <v>373</v>
      </c>
      <c r="E187" s="66">
        <f>IFERROR(__xludf.DUMMYFUNCTION("""COMPUTED_VALUE"""),19.0)</f>
        <v>19</v>
      </c>
      <c r="F187" s="67" t="str">
        <f>IFERROR(__xludf.DUMMYFUNCTION("""COMPUTED_VALUE"""),"https://www.google.com/maps/search/?api=1&amp;query=-3.0905233952046,-55.5442267669496")</f>
        <v>https://www.google.com/maps/search/?api=1&amp;query=-3.0905233952046,-55.5442267669496</v>
      </c>
      <c r="G187" s="68" t="str">
        <f>IFERROR(__xludf.DUMMYFUNCTION("""COMPUTED_VALUE"""),"https://earth.google.com/web/search/-3.0905233952046,-55.5442267669496")</f>
        <v>https://earth.google.com/web/search/-3.0905233952046,-55.5442267669496</v>
      </c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</row>
    <row r="188">
      <c r="A188" s="69" t="str">
        <f>IFERROR(__xludf.DUMMYFUNCTION("""COMPUTED_VALUE"""),"-3.0905168034248")</f>
        <v>-3.0905168034248</v>
      </c>
      <c r="B188" s="61" t="str">
        <f>IFERROR(__xludf.DUMMYFUNCTION("""COMPUTED_VALUE"""),"-55.5443403066076")</f>
        <v>-55.5443403066076</v>
      </c>
      <c r="C188" s="61">
        <f>IFERROR(__xludf.DUMMYFUNCTION("""COMPUTED_VALUE"""),1.0)</f>
        <v>1</v>
      </c>
      <c r="D188" s="61">
        <f>IFERROR(__xludf.DUMMYFUNCTION("""COMPUTED_VALUE"""),373.0)</f>
        <v>373</v>
      </c>
      <c r="E188" s="61">
        <f>IFERROR(__xludf.DUMMYFUNCTION("""COMPUTED_VALUE"""),20.0)</f>
        <v>20</v>
      </c>
      <c r="F188" s="62" t="str">
        <f>IFERROR(__xludf.DUMMYFUNCTION("""COMPUTED_VALUE"""),"https://www.google.com/maps/search/?api=1&amp;query=-3.0905168034248,-55.5443403066076")</f>
        <v>https://www.google.com/maps/search/?api=1&amp;query=-3.0905168034248,-55.5443403066076</v>
      </c>
      <c r="G188" s="63" t="str">
        <f>IFERROR(__xludf.DUMMYFUNCTION("""COMPUTED_VALUE"""),"https://earth.google.com/web/search/-3.0905168034248,-55.5443403066076")</f>
        <v>https://earth.google.com/web/search/-3.0905168034248,-55.5443403066076</v>
      </c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</row>
    <row r="189">
      <c r="A189" s="65" t="str">
        <f>IFERROR(__xludf.DUMMYFUNCTION("""COMPUTED_VALUE"""),"-30.9051339981951")</f>
        <v>-30.9051339981951</v>
      </c>
      <c r="B189" s="66" t="str">
        <f>IFERROR(__xludf.DUMMYFUNCTION("""COMPUTED_VALUE"""),"-55.5444047065325")</f>
        <v>-55.5444047065325</v>
      </c>
      <c r="C189" s="66">
        <f>IFERROR(__xludf.DUMMYFUNCTION("""COMPUTED_VALUE"""),1.0)</f>
        <v>1</v>
      </c>
      <c r="D189" s="66">
        <f>IFERROR(__xludf.DUMMYFUNCTION("""COMPUTED_VALUE"""),373.0)</f>
        <v>373</v>
      </c>
      <c r="E189" s="66">
        <f>IFERROR(__xludf.DUMMYFUNCTION("""COMPUTED_VALUE"""),21.0)</f>
        <v>21</v>
      </c>
      <c r="F189" s="67" t="str">
        <f>IFERROR(__xludf.DUMMYFUNCTION("""COMPUTED_VALUE"""),"https://www.google.com/maps/search/?api=1&amp;query=-30.9051339981951,-55.5444047065325")</f>
        <v>https://www.google.com/maps/search/?api=1&amp;query=-30.9051339981951,-55.5444047065325</v>
      </c>
      <c r="G189" s="68" t="str">
        <f>IFERROR(__xludf.DUMMYFUNCTION("""COMPUTED_VALUE"""),"https://earth.google.com/web/search/-30.9051339981951,-55.5444047065325")</f>
        <v>https://earth.google.com/web/search/-30.9051339981951,-55.5444047065325</v>
      </c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</row>
    <row r="190">
      <c r="A190" s="69" t="str">
        <f>IFERROR(__xludf.DUMMYFUNCTION("""COMPUTED_VALUE"""),"-30.9050944125149")</f>
        <v>-30.9050944125149</v>
      </c>
      <c r="B190" s="61" t="str">
        <f>IFERROR(__xludf.DUMMYFUNCTION("""COMPUTED_VALUE"""),"-55.5444698178377")</f>
        <v>-55.5444698178377</v>
      </c>
      <c r="C190" s="61">
        <f>IFERROR(__xludf.DUMMYFUNCTION("""COMPUTED_VALUE"""),1.0)</f>
        <v>1</v>
      </c>
      <c r="D190" s="61">
        <f>IFERROR(__xludf.DUMMYFUNCTION("""COMPUTED_VALUE"""),373.0)</f>
        <v>373</v>
      </c>
      <c r="E190" s="61">
        <f>IFERROR(__xludf.DUMMYFUNCTION("""COMPUTED_VALUE"""),22.0)</f>
        <v>22</v>
      </c>
      <c r="F190" s="62" t="str">
        <f>IFERROR(__xludf.DUMMYFUNCTION("""COMPUTED_VALUE"""),"https://www.google.com/maps/search/?api=1&amp;query=-30.9050944125149,-55.5444698178377")</f>
        <v>https://www.google.com/maps/search/?api=1&amp;query=-30.9050944125149,-55.5444698178377</v>
      </c>
      <c r="G190" s="63" t="str">
        <f>IFERROR(__xludf.DUMMYFUNCTION("""COMPUTED_VALUE"""),"https://earth.google.com/web/search/-30.9050944125149,-55.5444698178377")</f>
        <v>https://earth.google.com/web/search/-30.9050944125149,-55.5444698178377</v>
      </c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</row>
    <row r="191">
      <c r="A191" s="65" t="str">
        <f>IFERROR(__xludf.DUMMYFUNCTION("""COMPUTED_VALUE"""),"-30.9050330444944")</f>
        <v>-30.9050330444944</v>
      </c>
      <c r="B191" s="66" t="str">
        <f>IFERROR(__xludf.DUMMYFUNCTION("""COMPUTED_VALUE"""),"-55.5445903268797")</f>
        <v>-55.5445903268797</v>
      </c>
      <c r="C191" s="66">
        <f>IFERROR(__xludf.DUMMYFUNCTION("""COMPUTED_VALUE"""),1.0)</f>
        <v>1</v>
      </c>
      <c r="D191" s="66">
        <f>IFERROR(__xludf.DUMMYFUNCTION("""COMPUTED_VALUE"""),373.0)</f>
        <v>373</v>
      </c>
      <c r="E191" s="66">
        <f>IFERROR(__xludf.DUMMYFUNCTION("""COMPUTED_VALUE"""),23.0)</f>
        <v>23</v>
      </c>
      <c r="F191" s="67" t="str">
        <f>IFERROR(__xludf.DUMMYFUNCTION("""COMPUTED_VALUE"""),"https://www.google.com/maps/search/?api=1&amp;query=-30.9050330444944,-55.5445903268797")</f>
        <v>https://www.google.com/maps/search/?api=1&amp;query=-30.9050330444944,-55.5445903268797</v>
      </c>
      <c r="G191" s="68" t="str">
        <f>IFERROR(__xludf.DUMMYFUNCTION("""COMPUTED_VALUE"""),"https://earth.google.com/web/search/-30.9050330444944,-55.5445903268797")</f>
        <v>https://earth.google.com/web/search/-30.9050330444944,-55.5445903268797</v>
      </c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</row>
    <row r="192">
      <c r="A192" s="69" t="str">
        <f>IFERROR(__xludf.DUMMYFUNCTION("""COMPUTED_VALUE"""),"-30.9051087478662")</f>
        <v>-30.9051087478662</v>
      </c>
      <c r="B192" s="61" t="str">
        <f>IFERROR(__xludf.DUMMYFUNCTION("""COMPUTED_VALUE"""),"-55.5449413417364")</f>
        <v>-55.5449413417364</v>
      </c>
      <c r="C192" s="61">
        <f>IFERROR(__xludf.DUMMYFUNCTION("""COMPUTED_VALUE"""),1.0)</f>
        <v>1</v>
      </c>
      <c r="D192" s="61">
        <f>IFERROR(__xludf.DUMMYFUNCTION("""COMPUTED_VALUE"""),372.0)</f>
        <v>372</v>
      </c>
      <c r="E192" s="61">
        <f>IFERROR(__xludf.DUMMYFUNCTION("""COMPUTED_VALUE"""),1.0)</f>
        <v>1</v>
      </c>
      <c r="F192" s="62" t="str">
        <f>IFERROR(__xludf.DUMMYFUNCTION("""COMPUTED_VALUE"""),"https://www.google.com/maps/search/?api=1&amp;query=-30.9051087478662,-55.5449413417364")</f>
        <v>https://www.google.com/maps/search/?api=1&amp;query=-30.9051087478662,-55.5449413417364</v>
      </c>
      <c r="G192" s="63" t="str">
        <f>IFERROR(__xludf.DUMMYFUNCTION("""COMPUTED_VALUE"""),"https://earth.google.com/web/search/-30.9051087478662,-55.5449413417364")</f>
        <v>https://earth.google.com/web/search/-30.9051087478662,-55.5449413417364</v>
      </c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</row>
    <row r="193">
      <c r="A193" s="65" t="str">
        <f>IFERROR(__xludf.DUMMYFUNCTION("""COMPUTED_VALUE"""),"-30.9051747474747")</f>
        <v>-30.9051747474747</v>
      </c>
      <c r="B193" s="66" t="str">
        <f>IFERROR(__xludf.DUMMYFUNCTION("""COMPUTED_VALUE"""),"-55.5449922094491")</f>
        <v>-55.5449922094491</v>
      </c>
      <c r="C193" s="66">
        <f>IFERROR(__xludf.DUMMYFUNCTION("""COMPUTED_VALUE"""),1.0)</f>
        <v>1</v>
      </c>
      <c r="D193" s="66">
        <f>IFERROR(__xludf.DUMMYFUNCTION("""COMPUTED_VALUE"""),372.0)</f>
        <v>372</v>
      </c>
      <c r="E193" s="66">
        <f>IFERROR(__xludf.DUMMYFUNCTION("""COMPUTED_VALUE"""),2.0)</f>
        <v>2</v>
      </c>
      <c r="F193" s="67" t="str">
        <f>IFERROR(__xludf.DUMMYFUNCTION("""COMPUTED_VALUE"""),"https://www.google.com/maps/search/?api=1&amp;query=-30.9051747474747,-55.5449922094491")</f>
        <v>https://www.google.com/maps/search/?api=1&amp;query=-30.9051747474747,-55.5449922094491</v>
      </c>
      <c r="G193" s="68" t="str">
        <f>IFERROR(__xludf.DUMMYFUNCTION("""COMPUTED_VALUE"""),"https://earth.google.com/web/search/-30.9051747474747,-55.5449922094491")</f>
        <v>https://earth.google.com/web/search/-30.9051747474747,-55.5449922094491</v>
      </c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</row>
    <row r="194">
      <c r="A194" s="69" t="str">
        <f>IFERROR(__xludf.DUMMYFUNCTION("""COMPUTED_VALUE"""),"-30.9053827699247")</f>
        <v>-30.9053827699247</v>
      </c>
      <c r="B194" s="61" t="str">
        <f>IFERROR(__xludf.DUMMYFUNCTION("""COMPUTED_VALUE"""),"-55.5451064876404")</f>
        <v>-55.5451064876404</v>
      </c>
      <c r="C194" s="61">
        <f>IFERROR(__xludf.DUMMYFUNCTION("""COMPUTED_VALUE"""),1.0)</f>
        <v>1</v>
      </c>
      <c r="D194" s="61">
        <f>IFERROR(__xludf.DUMMYFUNCTION("""COMPUTED_VALUE"""),372.0)</f>
        <v>372</v>
      </c>
      <c r="E194" s="61">
        <f>IFERROR(__xludf.DUMMYFUNCTION("""COMPUTED_VALUE"""),3.0)</f>
        <v>3</v>
      </c>
      <c r="F194" s="62" t="str">
        <f>IFERROR(__xludf.DUMMYFUNCTION("""COMPUTED_VALUE"""),"https://www.google.com/maps/search/?api=1&amp;query=-30.9053827699247,-55.5451064876404")</f>
        <v>https://www.google.com/maps/search/?api=1&amp;query=-30.9053827699247,-55.5451064876404</v>
      </c>
      <c r="G194" s="63" t="str">
        <f>IFERROR(__xludf.DUMMYFUNCTION("""COMPUTED_VALUE"""),"https://earth.google.com/web/search/-30.9053827699247,-55.5451064876404")</f>
        <v>https://earth.google.com/web/search/-30.9053827699247,-55.5451064876404</v>
      </c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</row>
    <row r="195">
      <c r="A195" s="65" t="str">
        <f>IFERROR(__xludf.DUMMYFUNCTION("""COMPUTED_VALUE"""),"-30.9054256892652")</f>
        <v>-30.9054256892652</v>
      </c>
      <c r="B195" s="66" t="str">
        <f>IFERROR(__xludf.DUMMYFUNCTION("""COMPUTED_VALUE"""),"-55.5451422184561")</f>
        <v>-55.5451422184561</v>
      </c>
      <c r="C195" s="66">
        <f>IFERROR(__xludf.DUMMYFUNCTION("""COMPUTED_VALUE"""),1.0)</f>
        <v>1</v>
      </c>
      <c r="D195" s="66">
        <f>IFERROR(__xludf.DUMMYFUNCTION("""COMPUTED_VALUE"""),372.0)</f>
        <v>372</v>
      </c>
      <c r="E195" s="66">
        <f>IFERROR(__xludf.DUMMYFUNCTION("""COMPUTED_VALUE"""),4.0)</f>
        <v>4</v>
      </c>
      <c r="F195" s="67" t="str">
        <f>IFERROR(__xludf.DUMMYFUNCTION("""COMPUTED_VALUE"""),"https://www.google.com/maps/search/?api=1&amp;query=-30.9054256892652,-55.5451422184561")</f>
        <v>https://www.google.com/maps/search/?api=1&amp;query=-30.9054256892652,-55.5451422184561</v>
      </c>
      <c r="G195" s="68" t="str">
        <f>IFERROR(__xludf.DUMMYFUNCTION("""COMPUTED_VALUE"""),"https://earth.google.com/web/search/-30.9054256892652,-55.5451422184561")</f>
        <v>https://earth.google.com/web/search/-30.9054256892652,-55.5451422184561</v>
      </c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</row>
    <row r="196">
      <c r="A196" s="69" t="str">
        <f>IFERROR(__xludf.DUMMYFUNCTION("""COMPUTED_VALUE"""),"-30.9055322670694")</f>
        <v>-30.9055322670694</v>
      </c>
      <c r="B196" s="61" t="str">
        <f>IFERROR(__xludf.DUMMYFUNCTION("""COMPUTED_VALUE"""),"-55.5454667316567")</f>
        <v>-55.5454667316567</v>
      </c>
      <c r="C196" s="61">
        <f>IFERROR(__xludf.DUMMYFUNCTION("""COMPUTED_VALUE"""),1.0)</f>
        <v>1</v>
      </c>
      <c r="D196" s="61">
        <f>IFERROR(__xludf.DUMMYFUNCTION("""COMPUTED_VALUE"""),372.0)</f>
        <v>372</v>
      </c>
      <c r="E196" s="61">
        <f>IFERROR(__xludf.DUMMYFUNCTION("""COMPUTED_VALUE"""),5.0)</f>
        <v>5</v>
      </c>
      <c r="F196" s="62" t="str">
        <f>IFERROR(__xludf.DUMMYFUNCTION("""COMPUTED_VALUE"""),"https://www.google.com/maps/search/?api=1&amp;query=-30.9055322670694,-55.5454667316567")</f>
        <v>https://www.google.com/maps/search/?api=1&amp;query=-30.9055322670694,-55.5454667316567</v>
      </c>
      <c r="G196" s="63" t="str">
        <f>IFERROR(__xludf.DUMMYFUNCTION("""COMPUTED_VALUE"""),"https://earth.google.com/web/search/-30.9055322670694,-55.5454667316567")</f>
        <v>https://earth.google.com/web/search/-30.9055322670694,-55.5454667316567</v>
      </c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</row>
    <row r="197">
      <c r="A197" s="65" t="str">
        <f>IFERROR(__xludf.DUMMYFUNCTION("""COMPUTED_VALUE"""),"-30.9055060741693")</f>
        <v>-30.9055060741693</v>
      </c>
      <c r="B197" s="66" t="str">
        <f>IFERROR(__xludf.DUMMYFUNCTION("""COMPUTED_VALUE"""),"-55.5455062195995")</f>
        <v>-55.5455062195995</v>
      </c>
      <c r="C197" s="66">
        <f>IFERROR(__xludf.DUMMYFUNCTION("""COMPUTED_VALUE"""),1.0)</f>
        <v>1</v>
      </c>
      <c r="D197" s="66">
        <f>IFERROR(__xludf.DUMMYFUNCTION("""COMPUTED_VALUE"""),372.0)</f>
        <v>372</v>
      </c>
      <c r="E197" s="66">
        <f>IFERROR(__xludf.DUMMYFUNCTION("""COMPUTED_VALUE"""),6.0)</f>
        <v>6</v>
      </c>
      <c r="F197" s="67" t="str">
        <f>IFERROR(__xludf.DUMMYFUNCTION("""COMPUTED_VALUE"""),"https://www.google.com/maps/search/?api=1&amp;query=-30.9055060741693,-55.5455062195995")</f>
        <v>https://www.google.com/maps/search/?api=1&amp;query=-30.9055060741693,-55.5455062195995</v>
      </c>
      <c r="G197" s="68" t="str">
        <f>IFERROR(__xludf.DUMMYFUNCTION("""COMPUTED_VALUE"""),"https://earth.google.com/web/search/-30.9055060741693,-55.5455062195995")</f>
        <v>https://earth.google.com/web/search/-30.9055060741693,-55.5455062195995</v>
      </c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</row>
    <row r="198">
      <c r="A198" s="69" t="str">
        <f>IFERROR(__xludf.DUMMYFUNCTION("""COMPUTED_VALUE"""),"-30.9069224168798")</f>
        <v>-30.9069224168798</v>
      </c>
      <c r="B198" s="61" t="str">
        <f>IFERROR(__xludf.DUMMYFUNCTION("""COMPUTED_VALUE"""),"-55.5408510259735")</f>
        <v>-55.5408510259735</v>
      </c>
      <c r="C198" s="61">
        <f>IFERROR(__xludf.DUMMYFUNCTION("""COMPUTED_VALUE"""),1.0)</f>
        <v>1</v>
      </c>
      <c r="D198" s="61">
        <f>IFERROR(__xludf.DUMMYFUNCTION("""COMPUTED_VALUE"""),335.0)</f>
        <v>335</v>
      </c>
      <c r="E198" s="61">
        <f>IFERROR(__xludf.DUMMYFUNCTION("""COMPUTED_VALUE"""),1.0)</f>
        <v>1</v>
      </c>
      <c r="F198" s="62" t="str">
        <f>IFERROR(__xludf.DUMMYFUNCTION("""COMPUTED_VALUE"""),"https://www.google.com/maps/search/?api=1&amp;query=-30.9069224168798,-55.5408510259735")</f>
        <v>https://www.google.com/maps/search/?api=1&amp;query=-30.9069224168798,-55.5408510259735</v>
      </c>
      <c r="G198" s="63" t="str">
        <f>IFERROR(__xludf.DUMMYFUNCTION("""COMPUTED_VALUE"""),"https://earth.google.com/web/search/-30.9069224168798,-55.5408510259735")</f>
        <v>https://earth.google.com/web/search/-30.9069224168798,-55.5408510259735</v>
      </c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</row>
    <row r="199">
      <c r="A199" s="65" t="str">
        <f>IFERROR(__xludf.DUMMYFUNCTION("""COMPUTED_VALUE"""),"-0.3090714757785")</f>
        <v>-0.3090714757785</v>
      </c>
      <c r="B199" s="66" t="str">
        <f>IFERROR(__xludf.DUMMYFUNCTION("""COMPUTED_VALUE"""),"-55.5404144039185")</f>
        <v>-55.5404144039185</v>
      </c>
      <c r="C199" s="66">
        <f>IFERROR(__xludf.DUMMYFUNCTION("""COMPUTED_VALUE"""),1.0)</f>
        <v>1</v>
      </c>
      <c r="D199" s="66">
        <f>IFERROR(__xludf.DUMMYFUNCTION("""COMPUTED_VALUE"""),335.0)</f>
        <v>335</v>
      </c>
      <c r="E199" s="66">
        <f>IFERROR(__xludf.DUMMYFUNCTION("""COMPUTED_VALUE"""),2.0)</f>
        <v>2</v>
      </c>
      <c r="F199" s="67" t="str">
        <f>IFERROR(__xludf.DUMMYFUNCTION("""COMPUTED_VALUE"""),"https://www.google.com/maps/search/?api=1&amp;query=-0.3090714757785,-55.5404144039185")</f>
        <v>https://www.google.com/maps/search/?api=1&amp;query=-0.3090714757785,-55.5404144039185</v>
      </c>
      <c r="G199" s="68" t="str">
        <f>IFERROR(__xludf.DUMMYFUNCTION("""COMPUTED_VALUE"""),"https://earth.google.com/web/search/-0.3090714757785,-55.5404144039185")</f>
        <v>https://earth.google.com/web/search/-0.3090714757785,-55.5404144039185</v>
      </c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</row>
    <row r="200">
      <c r="A200" s="69" t="str">
        <f>IFERROR(__xludf.DUMMYFUNCTION("""COMPUTED_VALUE"""),"-30.9071969273133")</f>
        <v>-30.9071969273133</v>
      </c>
      <c r="B200" s="61" t="str">
        <f>IFERROR(__xludf.DUMMYFUNCTION("""COMPUTED_VALUE"""),"-55.5403312928597")</f>
        <v>-55.5403312928597</v>
      </c>
      <c r="C200" s="61">
        <f>IFERROR(__xludf.DUMMYFUNCTION("""COMPUTED_VALUE"""),1.0)</f>
        <v>1</v>
      </c>
      <c r="D200" s="61">
        <f>IFERROR(__xludf.DUMMYFUNCTION("""COMPUTED_VALUE"""),335.0)</f>
        <v>335</v>
      </c>
      <c r="E200" s="61">
        <f>IFERROR(__xludf.DUMMYFUNCTION("""COMPUTED_VALUE"""),3.0)</f>
        <v>3</v>
      </c>
      <c r="F200" s="62" t="str">
        <f>IFERROR(__xludf.DUMMYFUNCTION("""COMPUTED_VALUE"""),"https://www.google.com/maps/search/?api=1&amp;query=-30.9071969273133,-55.5403312928597")</f>
        <v>https://www.google.com/maps/search/?api=1&amp;query=-30.9071969273133,-55.5403312928597</v>
      </c>
      <c r="G200" s="63" t="str">
        <f>IFERROR(__xludf.DUMMYFUNCTION("""COMPUTED_VALUE"""),"https://earth.google.com/web/search/-30.9071969273133,-55.5403312928597")</f>
        <v>https://earth.google.com/web/search/-30.9071969273133,-55.5403312928597</v>
      </c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</row>
    <row r="201">
      <c r="A201" s="65" t="str">
        <f>IFERROR(__xludf.DUMMYFUNCTION("""COMPUTED_VALUE"""),"-30.9071638755838")</f>
        <v>-30.9071638755838</v>
      </c>
      <c r="B201" s="66" t="str">
        <f>IFERROR(__xludf.DUMMYFUNCTION("""COMPUTED_VALUE"""),"-55.5401024041676")</f>
        <v>-55.5401024041676</v>
      </c>
      <c r="C201" s="66">
        <f>IFERROR(__xludf.DUMMYFUNCTION("""COMPUTED_VALUE"""),1.0)</f>
        <v>1</v>
      </c>
      <c r="D201" s="66">
        <f>IFERROR(__xludf.DUMMYFUNCTION("""COMPUTED_VALUE"""),335.0)</f>
        <v>335</v>
      </c>
      <c r="E201" s="66">
        <f>IFERROR(__xludf.DUMMYFUNCTION("""COMPUTED_VALUE"""),4.0)</f>
        <v>4</v>
      </c>
      <c r="F201" s="67" t="str">
        <f>IFERROR(__xludf.DUMMYFUNCTION("""COMPUTED_VALUE"""),"https://www.google.com/maps/search/?api=1&amp;query=-30.9071638755838,-55.5401024041676")</f>
        <v>https://www.google.com/maps/search/?api=1&amp;query=-30.9071638755838,-55.5401024041676</v>
      </c>
      <c r="G201" s="68" t="str">
        <f>IFERROR(__xludf.DUMMYFUNCTION("""COMPUTED_VALUE"""),"https://earth.google.com/web/search/-30.9071638755838,-55.5401024041676")</f>
        <v>https://earth.google.com/web/search/-30.9071638755838,-55.5401024041676</v>
      </c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</row>
    <row r="202">
      <c r="A202" s="69" t="str">
        <f>IFERROR(__xludf.DUMMYFUNCTION("""COMPUTED_VALUE"""),"-30.9070876316905")</f>
        <v>-30.9070876316905</v>
      </c>
      <c r="B202" s="61" t="str">
        <f>IFERROR(__xludf.DUMMYFUNCTION("""COMPUTED_VALUE"""),"-55.5400351815124")</f>
        <v>-55.5400351815124</v>
      </c>
      <c r="C202" s="61">
        <f>IFERROR(__xludf.DUMMYFUNCTION("""COMPUTED_VALUE"""),1.0)</f>
        <v>1</v>
      </c>
      <c r="D202" s="61">
        <f>IFERROR(__xludf.DUMMYFUNCTION("""COMPUTED_VALUE"""),335.0)</f>
        <v>335</v>
      </c>
      <c r="E202" s="61">
        <f>IFERROR(__xludf.DUMMYFUNCTION("""COMPUTED_VALUE"""),5.0)</f>
        <v>5</v>
      </c>
      <c r="F202" s="62" t="str">
        <f>IFERROR(__xludf.DUMMYFUNCTION("""COMPUTED_VALUE"""),"https://www.google.com/maps/search/?api=1&amp;query=-30.9070876316905,-55.5400351815124")</f>
        <v>https://www.google.com/maps/search/?api=1&amp;query=-30.9070876316905,-55.5400351815124</v>
      </c>
      <c r="G202" s="63" t="str">
        <f>IFERROR(__xludf.DUMMYFUNCTION("""COMPUTED_VALUE"""),"https://earth.google.com/web/search/-30.9070876316905,-55.5400351815124")</f>
        <v>https://earth.google.com/web/search/-30.9070876316905,-55.5400351815124</v>
      </c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</row>
    <row r="203">
      <c r="A203" s="65" t="str">
        <f>IFERROR(__xludf.DUMMYFUNCTION("""COMPUTED_VALUE"""),"-30.9068307839872")</f>
        <v>-30.9068307839872</v>
      </c>
      <c r="B203" s="66" t="str">
        <f>IFERROR(__xludf.DUMMYFUNCTION("""COMPUTED_VALUE"""),"-55.5398599696736")</f>
        <v>-55.5398599696736</v>
      </c>
      <c r="C203" s="66">
        <f>IFERROR(__xludf.DUMMYFUNCTION("""COMPUTED_VALUE"""),1.0)</f>
        <v>1</v>
      </c>
      <c r="D203" s="66">
        <f>IFERROR(__xludf.DUMMYFUNCTION("""COMPUTED_VALUE"""),335.0)</f>
        <v>335</v>
      </c>
      <c r="E203" s="66">
        <f>IFERROR(__xludf.DUMMYFUNCTION("""COMPUTED_VALUE"""),6.0)</f>
        <v>6</v>
      </c>
      <c r="F203" s="67" t="str">
        <f>IFERROR(__xludf.DUMMYFUNCTION("""COMPUTED_VALUE"""),"https://www.google.com/maps/search/?api=1&amp;query=-30.9068307839872,-55.5398599696736")</f>
        <v>https://www.google.com/maps/search/?api=1&amp;query=-30.9068307839872,-55.5398599696736</v>
      </c>
      <c r="G203" s="68" t="str">
        <f>IFERROR(__xludf.DUMMYFUNCTION("""COMPUTED_VALUE"""),"https://earth.google.com/web/search/-30.9068307839872,-55.5398599696736")</f>
        <v>https://earth.google.com/web/search/-30.9068307839872,-55.5398599696736</v>
      </c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</row>
    <row r="204">
      <c r="A204" s="69" t="str">
        <f>IFERROR(__xludf.DUMMYFUNCTION("""COMPUTED_VALUE"""),"-30.9067627967378")</f>
        <v>-30.9067627967378</v>
      </c>
      <c r="B204" s="61" t="str">
        <f>IFERROR(__xludf.DUMMYFUNCTION("""COMPUTED_VALUE"""),"-55.5398179506156")</f>
        <v>-55.5398179506156</v>
      </c>
      <c r="C204" s="61">
        <f>IFERROR(__xludf.DUMMYFUNCTION("""COMPUTED_VALUE"""),1.0)</f>
        <v>1</v>
      </c>
      <c r="D204" s="61">
        <f>IFERROR(__xludf.DUMMYFUNCTION("""COMPUTED_VALUE"""),335.0)</f>
        <v>335</v>
      </c>
      <c r="E204" s="61">
        <f>IFERROR(__xludf.DUMMYFUNCTION("""COMPUTED_VALUE"""),7.0)</f>
        <v>7</v>
      </c>
      <c r="F204" s="62" t="str">
        <f>IFERROR(__xludf.DUMMYFUNCTION("""COMPUTED_VALUE"""),"https://www.google.com/maps/search/?api=1&amp;query=-30.9067627967378,-55.5398179506156")</f>
        <v>https://www.google.com/maps/search/?api=1&amp;query=-30.9067627967378,-55.5398179506156</v>
      </c>
      <c r="G204" s="63" t="str">
        <f>IFERROR(__xludf.DUMMYFUNCTION("""COMPUTED_VALUE"""),"https://earth.google.com/web/search/-30.9067627967378,-55.5398179506156")</f>
        <v>https://earth.google.com/web/search/-30.9067627967378,-55.5398179506156</v>
      </c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</row>
    <row r="205">
      <c r="A205" s="65" t="str">
        <f>IFERROR(__xludf.DUMMYFUNCTION("""COMPUTED_VALUE"""),"-30.9064873396353")</f>
        <v>-30.9064873396353</v>
      </c>
      <c r="B205" s="66" t="str">
        <f>IFERROR(__xludf.DUMMYFUNCTION("""COMPUTED_VALUE"""),"-55.5398317984674")</f>
        <v>-55.5398317984674</v>
      </c>
      <c r="C205" s="66">
        <f>IFERROR(__xludf.DUMMYFUNCTION("""COMPUTED_VALUE"""),1.0)</f>
        <v>1</v>
      </c>
      <c r="D205" s="66">
        <f>IFERROR(__xludf.DUMMYFUNCTION("""COMPUTED_VALUE"""),335.0)</f>
        <v>335</v>
      </c>
      <c r="E205" s="66">
        <f>IFERROR(__xludf.DUMMYFUNCTION("""COMPUTED_VALUE"""),8.0)</f>
        <v>8</v>
      </c>
      <c r="F205" s="67" t="str">
        <f>IFERROR(__xludf.DUMMYFUNCTION("""COMPUTED_VALUE"""),"https://www.google.com/maps/search/?api=1&amp;query=-30.9064873396353,-55.5398317984674")</f>
        <v>https://www.google.com/maps/search/?api=1&amp;query=-30.9064873396353,-55.5398317984674</v>
      </c>
      <c r="G205" s="68" t="str">
        <f>IFERROR(__xludf.DUMMYFUNCTION("""COMPUTED_VALUE"""),"https://earth.google.com/web/search/-30.9064873396353,-55.5398317984674")</f>
        <v>https://earth.google.com/web/search/-30.9064873396353,-55.5398317984674</v>
      </c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</row>
    <row r="206">
      <c r="A206" s="69" t="str">
        <f>IFERROR(__xludf.DUMMYFUNCTION("""COMPUTED_VALUE"""),"-3.0906374373242")</f>
        <v>-3.0906374373242</v>
      </c>
      <c r="B206" s="61" t="str">
        <f>IFERROR(__xludf.DUMMYFUNCTION("""COMPUTED_VALUE"""),"-55.5400419615494")</f>
        <v>-55.5400419615494</v>
      </c>
      <c r="C206" s="61">
        <f>IFERROR(__xludf.DUMMYFUNCTION("""COMPUTED_VALUE"""),1.0)</f>
        <v>1</v>
      </c>
      <c r="D206" s="61">
        <f>IFERROR(__xludf.DUMMYFUNCTION("""COMPUTED_VALUE"""),335.0)</f>
        <v>335</v>
      </c>
      <c r="E206" s="61">
        <f>IFERROR(__xludf.DUMMYFUNCTION("""COMPUTED_VALUE"""),8.0)</f>
        <v>8</v>
      </c>
      <c r="F206" s="62" t="str">
        <f>IFERROR(__xludf.DUMMYFUNCTION("""COMPUTED_VALUE"""),"https://www.google.com/maps/search/?api=1&amp;query=-3.0906374373242,-55.5400419615494")</f>
        <v>https://www.google.com/maps/search/?api=1&amp;query=-3.0906374373242,-55.5400419615494</v>
      </c>
      <c r="G206" s="63" t="str">
        <f>IFERROR(__xludf.DUMMYFUNCTION("""COMPUTED_VALUE"""),"https://earth.google.com/web/search/-3.0906374373242,-55.5400419615494")</f>
        <v>https://earth.google.com/web/search/-3.0906374373242,-55.5400419615494</v>
      </c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</row>
    <row r="207">
      <c r="A207" s="65" t="str">
        <f>IFERROR(__xludf.DUMMYFUNCTION("""COMPUTED_VALUE"""),"-30.9063210321238")</f>
        <v>-30.9063210321238</v>
      </c>
      <c r="B207" s="66" t="str">
        <f>IFERROR(__xludf.DUMMYFUNCTION("""COMPUTED_VALUE"""),"-55.5401355203231")</f>
        <v>-55.5401355203231</v>
      </c>
      <c r="C207" s="66">
        <f>IFERROR(__xludf.DUMMYFUNCTION("""COMPUTED_VALUE"""),1.0)</f>
        <v>1</v>
      </c>
      <c r="D207" s="66">
        <f>IFERROR(__xludf.DUMMYFUNCTION("""COMPUTED_VALUE"""),335.0)</f>
        <v>335</v>
      </c>
      <c r="E207" s="66">
        <f>IFERROR(__xludf.DUMMYFUNCTION("""COMPUTED_VALUE"""),9.0)</f>
        <v>9</v>
      </c>
      <c r="F207" s="67" t="str">
        <f>IFERROR(__xludf.DUMMYFUNCTION("""COMPUTED_VALUE"""),"https://www.google.com/maps/search/?api=1&amp;query=-30.9063210321238,-55.5401355203231")</f>
        <v>https://www.google.com/maps/search/?api=1&amp;query=-30.9063210321238,-55.5401355203231</v>
      </c>
      <c r="G207" s="68" t="str">
        <f>IFERROR(__xludf.DUMMYFUNCTION("""COMPUTED_VALUE"""),"https://earth.google.com/web/search/-30.9063210321238,-55.5401355203231")</f>
        <v>https://earth.google.com/web/search/-30.9063210321238,-55.5401355203231</v>
      </c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</row>
    <row r="208">
      <c r="A208" s="69" t="str">
        <f>IFERROR(__xludf.DUMMYFUNCTION("""COMPUTED_VALUE"""),"-30.9062510894431")</f>
        <v>-30.9062510894431</v>
      </c>
      <c r="B208" s="61" t="str">
        <f>IFERROR(__xludf.DUMMYFUNCTION("""COMPUTED_VALUE"""),"-55.5402706522377")</f>
        <v>-55.5402706522377</v>
      </c>
      <c r="C208" s="61">
        <f>IFERROR(__xludf.DUMMYFUNCTION("""COMPUTED_VALUE"""),1.0)</f>
        <v>1</v>
      </c>
      <c r="D208" s="61">
        <f>IFERROR(__xludf.DUMMYFUNCTION("""COMPUTED_VALUE"""),335.0)</f>
        <v>335</v>
      </c>
      <c r="E208" s="61">
        <f>IFERROR(__xludf.DUMMYFUNCTION("""COMPUTED_VALUE"""),10.0)</f>
        <v>10</v>
      </c>
      <c r="F208" s="62" t="str">
        <f>IFERROR(__xludf.DUMMYFUNCTION("""COMPUTED_VALUE"""),"https://www.google.com/maps/search/?api=1&amp;query=-30.9062510894431,-55.5402706522377")</f>
        <v>https://www.google.com/maps/search/?api=1&amp;query=-30.9062510894431,-55.5402706522377</v>
      </c>
      <c r="G208" s="63" t="str">
        <f>IFERROR(__xludf.DUMMYFUNCTION("""COMPUTED_VALUE"""),"https://earth.google.com/web/search/-30.9062510894431,-55.5402706522377")</f>
        <v>https://earth.google.com/web/search/-30.9062510894431,-55.5402706522377</v>
      </c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</row>
    <row r="209">
      <c r="A209" s="65" t="str">
        <f>IFERROR(__xludf.DUMMYFUNCTION("""COMPUTED_VALUE"""),"-30.9061868316596")</f>
        <v>-30.9061868316596</v>
      </c>
      <c r="B209" s="66" t="str">
        <f>IFERROR(__xludf.DUMMYFUNCTION("""COMPUTED_VALUE"""),"-55.5403574261216")</f>
        <v>-55.5403574261216</v>
      </c>
      <c r="C209" s="66">
        <f>IFERROR(__xludf.DUMMYFUNCTION("""COMPUTED_VALUE"""),1.0)</f>
        <v>1</v>
      </c>
      <c r="D209" s="66">
        <f>IFERROR(__xludf.DUMMYFUNCTION("""COMPUTED_VALUE"""),335.0)</f>
        <v>335</v>
      </c>
      <c r="E209" s="66">
        <f>IFERROR(__xludf.DUMMYFUNCTION("""COMPUTED_VALUE"""),11.0)</f>
        <v>11</v>
      </c>
      <c r="F209" s="67" t="str">
        <f>IFERROR(__xludf.DUMMYFUNCTION("""COMPUTED_VALUE"""),"https://www.google.com/maps/search/?api=1&amp;query=-30.9061868316596,-55.5403574261216")</f>
        <v>https://www.google.com/maps/search/?api=1&amp;query=-30.9061868316596,-55.5403574261216</v>
      </c>
      <c r="G209" s="68" t="str">
        <f>IFERROR(__xludf.DUMMYFUNCTION("""COMPUTED_VALUE"""),"https://earth.google.com/web/search/-30.9061868316596,-55.5403574261216")</f>
        <v>https://earth.google.com/web/search/-30.9061868316596,-55.5403574261216</v>
      </c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</row>
    <row r="210">
      <c r="A210" s="69" t="str">
        <f>IFERROR(__xludf.DUMMYFUNCTION("""COMPUTED_VALUE"""),"-30.9062899415339")</f>
        <v>-30.9062899415339</v>
      </c>
      <c r="B210" s="61" t="str">
        <f>IFERROR(__xludf.DUMMYFUNCTION("""COMPUTED_VALUE"""),"-55.5405821610872")</f>
        <v>-55.5405821610872</v>
      </c>
      <c r="C210" s="61">
        <f>IFERROR(__xludf.DUMMYFUNCTION("""COMPUTED_VALUE"""),1.0)</f>
        <v>1</v>
      </c>
      <c r="D210" s="61">
        <f>IFERROR(__xludf.DUMMYFUNCTION("""COMPUTED_VALUE"""),335.0)</f>
        <v>335</v>
      </c>
      <c r="E210" s="61">
        <f>IFERROR(__xludf.DUMMYFUNCTION("""COMPUTED_VALUE"""),12.0)</f>
        <v>12</v>
      </c>
      <c r="F210" s="62" t="str">
        <f>IFERROR(__xludf.DUMMYFUNCTION("""COMPUTED_VALUE"""),"https://www.google.com/maps/search/?api=1&amp;query=-30.9062899415339,-55.5405821610872")</f>
        <v>https://www.google.com/maps/search/?api=1&amp;query=-30.9062899415339,-55.5405821610872</v>
      </c>
      <c r="G210" s="63" t="str">
        <f>IFERROR(__xludf.DUMMYFUNCTION("""COMPUTED_VALUE"""),"https://earth.google.com/web/search/-30.9062899415339,-55.5405821610872")</f>
        <v>https://earth.google.com/web/search/-30.9062899415339,-55.5405821610872</v>
      </c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</row>
    <row r="211">
      <c r="A211" s="65" t="str">
        <f>IFERROR(__xludf.DUMMYFUNCTION("""COMPUTED_VALUE"""),"-30.9063479021584")</f>
        <v>-30.9063479021584</v>
      </c>
      <c r="B211" s="66" t="str">
        <f>IFERROR(__xludf.DUMMYFUNCTION("""COMPUTED_VALUE"""),"-55.5406281698954")</f>
        <v>-55.5406281698954</v>
      </c>
      <c r="C211" s="66">
        <f>IFERROR(__xludf.DUMMYFUNCTION("""COMPUTED_VALUE"""),1.0)</f>
        <v>1</v>
      </c>
      <c r="D211" s="66">
        <f>IFERROR(__xludf.DUMMYFUNCTION("""COMPUTED_VALUE"""),335.0)</f>
        <v>335</v>
      </c>
      <c r="E211" s="66">
        <f>IFERROR(__xludf.DUMMYFUNCTION("""COMPUTED_VALUE"""),13.0)</f>
        <v>13</v>
      </c>
      <c r="F211" s="67" t="str">
        <f>IFERROR(__xludf.DUMMYFUNCTION("""COMPUTED_VALUE"""),"https://www.google.com/maps/search/?api=1&amp;query=-30.9063479021584,-55.5406281698954")</f>
        <v>https://www.google.com/maps/search/?api=1&amp;query=-30.9063479021584,-55.5406281698954</v>
      </c>
      <c r="G211" s="68" t="str">
        <f>IFERROR(__xludf.DUMMYFUNCTION("""COMPUTED_VALUE"""),"https://earth.google.com/web/search/-30.9063479021584,-55.5406281698954")</f>
        <v>https://earth.google.com/web/search/-30.9063479021584,-55.5406281698954</v>
      </c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</row>
    <row r="212">
      <c r="A212" s="69" t="str">
        <f>IFERROR(__xludf.DUMMYFUNCTION("""COMPUTED_VALUE"""),"-30.9068081343182")</f>
        <v>-30.9068081343182</v>
      </c>
      <c r="B212" s="61" t="str">
        <f>IFERROR(__xludf.DUMMYFUNCTION("""COMPUTED_VALUE"""),"-55.5409725691468")</f>
        <v>-55.5409725691468</v>
      </c>
      <c r="C212" s="61">
        <f>IFERROR(__xludf.DUMMYFUNCTION("""COMPUTED_VALUE"""),1.0)</f>
        <v>1</v>
      </c>
      <c r="D212" s="61">
        <f>IFERROR(__xludf.DUMMYFUNCTION("""COMPUTED_VALUE"""),335.0)</f>
        <v>335</v>
      </c>
      <c r="E212" s="61">
        <f>IFERROR(__xludf.DUMMYFUNCTION("""COMPUTED_VALUE"""),14.0)</f>
        <v>14</v>
      </c>
      <c r="F212" s="62" t="str">
        <f>IFERROR(__xludf.DUMMYFUNCTION("""COMPUTED_VALUE"""),"https://www.google.com/maps/search/?api=1&amp;query=-30.9068081343182,-55.5409725691468")</f>
        <v>https://www.google.com/maps/search/?api=1&amp;query=-30.9068081343182,-55.5409725691468</v>
      </c>
      <c r="G212" s="63" t="str">
        <f>IFERROR(__xludf.DUMMYFUNCTION("""COMPUTED_VALUE"""),"https://earth.google.com/web/search/-30.9068081343182,-55.5409725691468")</f>
        <v>https://earth.google.com/web/search/-30.9068081343182,-55.5409725691468</v>
      </c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</row>
    <row r="213">
      <c r="A213" s="65" t="str">
        <f>IFERROR(__xludf.DUMMYFUNCTION("""COMPUTED_VALUE"""),"-30.9064341534845")</f>
        <v>-30.9064341534845</v>
      </c>
      <c r="B213" s="66" t="str">
        <f>IFERROR(__xludf.DUMMYFUNCTION("""COMPUTED_VALUE"""),"-55.5417419842569")</f>
        <v>-55.5417419842569</v>
      </c>
      <c r="C213" s="66">
        <f>IFERROR(__xludf.DUMMYFUNCTION("""COMPUTED_VALUE"""),1.0)</f>
        <v>1</v>
      </c>
      <c r="D213" s="66">
        <f>IFERROR(__xludf.DUMMYFUNCTION("""COMPUTED_VALUE"""),336.0)</f>
        <v>336</v>
      </c>
      <c r="E213" s="66">
        <f>IFERROR(__xludf.DUMMYFUNCTION("""COMPUTED_VALUE"""),1.0)</f>
        <v>1</v>
      </c>
      <c r="F213" s="67" t="str">
        <f>IFERROR(__xludf.DUMMYFUNCTION("""COMPUTED_VALUE"""),"https://www.google.com/maps/search/?api=1&amp;query=-30.9064341534845,-55.5417419842569")</f>
        <v>https://www.google.com/maps/search/?api=1&amp;query=-30.9064341534845,-55.5417419842569</v>
      </c>
      <c r="G213" s="68" t="str">
        <f>IFERROR(__xludf.DUMMYFUNCTION("""COMPUTED_VALUE"""),"https://earth.google.com/web/search/-30.9064341534845,-55.5417419842569")</f>
        <v>https://earth.google.com/web/search/-30.9064341534845,-55.5417419842569</v>
      </c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</row>
    <row r="214">
      <c r="A214" s="69" t="str">
        <f>IFERROR(__xludf.DUMMYFUNCTION("""COMPUTED_VALUE"""),"-30.9065442669551")</f>
        <v>-30.9065442669551</v>
      </c>
      <c r="B214" s="61" t="str">
        <f>IFERROR(__xludf.DUMMYFUNCTION("""COMPUTED_VALUE"""),"-55.5415307333633")</f>
        <v>-55.5415307333633</v>
      </c>
      <c r="C214" s="61">
        <f>IFERROR(__xludf.DUMMYFUNCTION("""COMPUTED_VALUE"""),1.0)</f>
        <v>1</v>
      </c>
      <c r="D214" s="61">
        <f>IFERROR(__xludf.DUMMYFUNCTION("""COMPUTED_VALUE"""),336.0)</f>
        <v>336</v>
      </c>
      <c r="E214" s="61">
        <f>IFERROR(__xludf.DUMMYFUNCTION("""COMPUTED_VALUE"""),2.0)</f>
        <v>2</v>
      </c>
      <c r="F214" s="62" t="str">
        <f>IFERROR(__xludf.DUMMYFUNCTION("""COMPUTED_VALUE"""),"https://www.google.com/maps/search/?api=1&amp;query=-30.9065442669551,-55.5415307333633")</f>
        <v>https://www.google.com/maps/search/?api=1&amp;query=-30.9065442669551,-55.5415307333633</v>
      </c>
      <c r="G214" s="63" t="str">
        <f>IFERROR(__xludf.DUMMYFUNCTION("""COMPUTED_VALUE"""),"https://earth.google.com/web/search/-30.9065442669551,-55.5415307333633")</f>
        <v>https://earth.google.com/web/search/-30.9065442669551,-55.5415307333633</v>
      </c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</row>
    <row r="215">
      <c r="A215" s="65" t="str">
        <f>IFERROR(__xludf.DUMMYFUNCTION("""COMPUTED_VALUE"""),"-30.9066041576293")</f>
        <v>-30.9066041576293</v>
      </c>
      <c r="B215" s="66" t="str">
        <f>IFERROR(__xludf.DUMMYFUNCTION("""COMPUTED_VALUE"""),"-55.5414236681312")</f>
        <v>-55.5414236681312</v>
      </c>
      <c r="C215" s="66">
        <f>IFERROR(__xludf.DUMMYFUNCTION("""COMPUTED_VALUE"""),1.0)</f>
        <v>1</v>
      </c>
      <c r="D215" s="66">
        <f>IFERROR(__xludf.DUMMYFUNCTION("""COMPUTED_VALUE"""),336.0)</f>
        <v>336</v>
      </c>
      <c r="E215" s="66">
        <f>IFERROR(__xludf.DUMMYFUNCTION("""COMPUTED_VALUE"""),3.0)</f>
        <v>3</v>
      </c>
      <c r="F215" s="67" t="str">
        <f>IFERROR(__xludf.DUMMYFUNCTION("""COMPUTED_VALUE"""),"https://www.google.com/maps/search/?api=1&amp;query=-30.9066041576293,-55.5414236681312")</f>
        <v>https://www.google.com/maps/search/?api=1&amp;query=-30.9066041576293,-55.5414236681312</v>
      </c>
      <c r="G215" s="68" t="str">
        <f>IFERROR(__xludf.DUMMYFUNCTION("""COMPUTED_VALUE"""),"https://earth.google.com/web/search/-30.9066041576293,-55.5414236681312")</f>
        <v>https://earth.google.com/web/search/-30.9066041576293,-55.5414236681312</v>
      </c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</row>
    <row r="216">
      <c r="A216" s="69" t="str">
        <f>IFERROR(__xludf.DUMMYFUNCTION("""COMPUTED_VALUE"""),"-30.9066277911094")</f>
        <v>-30.9066277911094</v>
      </c>
      <c r="B216" s="61" t="str">
        <f>IFERROR(__xludf.DUMMYFUNCTION("""COMPUTED_VALUE"""),"-55.5413632830472")</f>
        <v>-55.5413632830472</v>
      </c>
      <c r="C216" s="61">
        <f>IFERROR(__xludf.DUMMYFUNCTION("""COMPUTED_VALUE"""),1.0)</f>
        <v>1</v>
      </c>
      <c r="D216" s="61">
        <f>IFERROR(__xludf.DUMMYFUNCTION("""COMPUTED_VALUE"""),336.0)</f>
        <v>336</v>
      </c>
      <c r="E216" s="61">
        <f>IFERROR(__xludf.DUMMYFUNCTION("""COMPUTED_VALUE"""),4.0)</f>
        <v>4</v>
      </c>
      <c r="F216" s="62" t="str">
        <f>IFERROR(__xludf.DUMMYFUNCTION("""COMPUTED_VALUE"""),"https://www.google.com/maps/search/?api=1&amp;query=-30.9066277911094,-55.5413632830472")</f>
        <v>https://www.google.com/maps/search/?api=1&amp;query=-30.9066277911094,-55.5413632830472</v>
      </c>
      <c r="G216" s="63" t="str">
        <f>IFERROR(__xludf.DUMMYFUNCTION("""COMPUTED_VALUE"""),"https://earth.google.com/web/search/-30.9066277911094,-55.5413632830472")</f>
        <v>https://earth.google.com/web/search/-30.9066277911094,-55.5413632830472</v>
      </c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</row>
    <row r="217">
      <c r="A217" s="65" t="str">
        <f>IFERROR(__xludf.DUMMYFUNCTION("""COMPUTED_VALUE"""),"-30.9066954284352")</f>
        <v>-30.9066954284352</v>
      </c>
      <c r="B217" s="66" t="str">
        <f>IFERROR(__xludf.DUMMYFUNCTION("""COMPUTED_VALUE"""),"-55.5412219505367")</f>
        <v>-55.5412219505367</v>
      </c>
      <c r="C217" s="66">
        <f>IFERROR(__xludf.DUMMYFUNCTION("""COMPUTED_VALUE"""),1.0)</f>
        <v>1</v>
      </c>
      <c r="D217" s="66">
        <f>IFERROR(__xludf.DUMMYFUNCTION("""COMPUTED_VALUE"""),336.0)</f>
        <v>336</v>
      </c>
      <c r="E217" s="66">
        <f>IFERROR(__xludf.DUMMYFUNCTION("""COMPUTED_VALUE"""),5.0)</f>
        <v>5</v>
      </c>
      <c r="F217" s="67" t="str">
        <f>IFERROR(__xludf.DUMMYFUNCTION("""COMPUTED_VALUE"""),"https://www.google.com/maps/search/?api=1&amp;query=-30.9066954284352,-55.5412219505367")</f>
        <v>https://www.google.com/maps/search/?api=1&amp;query=-30.9066954284352,-55.5412219505367</v>
      </c>
      <c r="G217" s="68" t="str">
        <f>IFERROR(__xludf.DUMMYFUNCTION("""COMPUTED_VALUE"""),"https://earth.google.com/web/search/-30.9066954284352,-55.5412219505367")</f>
        <v>https://earth.google.com/web/search/-30.9066954284352,-55.5412219505367</v>
      </c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</row>
    <row r="218">
      <c r="A218" s="69" t="str">
        <f>IFERROR(__xludf.DUMMYFUNCTION("""COMPUTED_VALUE"""),"-30.9067524330098")</f>
        <v>-30.9067524330098</v>
      </c>
      <c r="B218" s="61" t="str">
        <f>IFERROR(__xludf.DUMMYFUNCTION("""COMPUTED_VALUE"""),"-55.5411485747382")</f>
        <v>-55.5411485747382</v>
      </c>
      <c r="C218" s="61">
        <f>IFERROR(__xludf.DUMMYFUNCTION("""COMPUTED_VALUE"""),1.0)</f>
        <v>1</v>
      </c>
      <c r="D218" s="61">
        <f>IFERROR(__xludf.DUMMYFUNCTION("""COMPUTED_VALUE"""),336.0)</f>
        <v>336</v>
      </c>
      <c r="E218" s="61">
        <f>IFERROR(__xludf.DUMMYFUNCTION("""COMPUTED_VALUE"""),6.0)</f>
        <v>6</v>
      </c>
      <c r="F218" s="62" t="str">
        <f>IFERROR(__xludf.DUMMYFUNCTION("""COMPUTED_VALUE"""),"https://www.google.com/maps/search/?api=1&amp;query=-30.9067524330098,-55.5411485747382")</f>
        <v>https://www.google.com/maps/search/?api=1&amp;query=-30.9067524330098,-55.5411485747382</v>
      </c>
      <c r="G218" s="63" t="str">
        <f>IFERROR(__xludf.DUMMYFUNCTION("""COMPUTED_VALUE"""),"https://earth.google.com/web/search/-30.9067524330098,-55.5411485747382")</f>
        <v>https://earth.google.com/web/search/-30.9067524330098,-55.5411485747382</v>
      </c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</row>
    <row r="219">
      <c r="A219" s="65" t="str">
        <f>IFERROR(__xludf.DUMMYFUNCTION("""COMPUTED_VALUE"""),"-30.9067261993937")</f>
        <v>-30.9067261993937</v>
      </c>
      <c r="B219" s="66" t="str">
        <f>IFERROR(__xludf.DUMMYFUNCTION("""COMPUTED_VALUE"""),"-55.5410303231378")</f>
        <v>-55.5410303231378</v>
      </c>
      <c r="C219" s="66">
        <f>IFERROR(__xludf.DUMMYFUNCTION("""COMPUTED_VALUE"""),1.0)</f>
        <v>1</v>
      </c>
      <c r="D219" s="66">
        <f>IFERROR(__xludf.DUMMYFUNCTION("""COMPUTED_VALUE"""),336.0)</f>
        <v>336</v>
      </c>
      <c r="E219" s="66">
        <f>IFERROR(__xludf.DUMMYFUNCTION("""COMPUTED_VALUE"""),7.0)</f>
        <v>7</v>
      </c>
      <c r="F219" s="67" t="str">
        <f>IFERROR(__xludf.DUMMYFUNCTION("""COMPUTED_VALUE"""),"https://www.google.com/maps/search/?api=1&amp;query=-30.9067261993937,-55.5410303231378")</f>
        <v>https://www.google.com/maps/search/?api=1&amp;query=-30.9067261993937,-55.5410303231378</v>
      </c>
      <c r="G219" s="68" t="str">
        <f>IFERROR(__xludf.DUMMYFUNCTION("""COMPUTED_VALUE"""),"https://earth.google.com/web/search/-30.9067261993937,-55.5410303231378")</f>
        <v>https://earth.google.com/web/search/-30.9067261993937,-55.5410303231378</v>
      </c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</row>
    <row r="220">
      <c r="A220" s="69" t="str">
        <f>IFERROR(__xludf.DUMMYFUNCTION("""COMPUTED_VALUE"""),"-30.9066703620544")</f>
        <v>-30.9066703620544</v>
      </c>
      <c r="B220" s="61" t="str">
        <f>IFERROR(__xludf.DUMMYFUNCTION("""COMPUTED_VALUE"""),"-55.5410002271298")</f>
        <v>-55.5410002271298</v>
      </c>
      <c r="C220" s="61">
        <f>IFERROR(__xludf.DUMMYFUNCTION("""COMPUTED_VALUE"""),1.0)</f>
        <v>1</v>
      </c>
      <c r="D220" s="61">
        <f>IFERROR(__xludf.DUMMYFUNCTION("""COMPUTED_VALUE"""),336.0)</f>
        <v>336</v>
      </c>
      <c r="E220" s="61">
        <f>IFERROR(__xludf.DUMMYFUNCTION("""COMPUTED_VALUE"""),8.0)</f>
        <v>8</v>
      </c>
      <c r="F220" s="62" t="str">
        <f>IFERROR(__xludf.DUMMYFUNCTION("""COMPUTED_VALUE"""),"https://www.google.com/maps/search/?api=1&amp;query=-30.9066703620544,-55.5410002271298")</f>
        <v>https://www.google.com/maps/search/?api=1&amp;query=-30.9066703620544,-55.5410002271298</v>
      </c>
      <c r="G220" s="63" t="str">
        <f>IFERROR(__xludf.DUMMYFUNCTION("""COMPUTED_VALUE"""),"https://earth.google.com/web/search/-30.9066703620544,-55.5410002271298")</f>
        <v>https://earth.google.com/web/search/-30.9066703620544,-55.5410002271298</v>
      </c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</row>
    <row r="221">
      <c r="A221" s="65" t="str">
        <f>IFERROR(__xludf.DUMMYFUNCTION("""COMPUTED_VALUE"""),"-30.9065880950757")</f>
        <v>-30.9065880950757</v>
      </c>
      <c r="B221" s="66" t="str">
        <f>IFERROR(__xludf.DUMMYFUNCTION("""COMPUTED_VALUE"""),"-55.5409500323479")</f>
        <v>-55.5409500323479</v>
      </c>
      <c r="C221" s="66">
        <f>IFERROR(__xludf.DUMMYFUNCTION("""COMPUTED_VALUE"""),1.0)</f>
        <v>1</v>
      </c>
      <c r="D221" s="66">
        <f>IFERROR(__xludf.DUMMYFUNCTION("""COMPUTED_VALUE"""),336.0)</f>
        <v>336</v>
      </c>
      <c r="E221" s="66">
        <f>IFERROR(__xludf.DUMMYFUNCTION("""COMPUTED_VALUE"""),9.0)</f>
        <v>9</v>
      </c>
      <c r="F221" s="67" t="str">
        <f>IFERROR(__xludf.DUMMYFUNCTION("""COMPUTED_VALUE"""),"https://www.google.com/maps/search/?api=1&amp;query=-30.9065880950757,-55.5409500323479")</f>
        <v>https://www.google.com/maps/search/?api=1&amp;query=-30.9065880950757,-55.5409500323479</v>
      </c>
      <c r="G221" s="68" t="str">
        <f>IFERROR(__xludf.DUMMYFUNCTION("""COMPUTED_VALUE"""),"https://earth.google.com/web/search/-30.9065880950757,-55.5409500323479")</f>
        <v>https://earth.google.com/web/search/-30.9065880950757,-55.5409500323479</v>
      </c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</row>
    <row r="222">
      <c r="A222" s="69" t="str">
        <f>IFERROR(__xludf.DUMMYFUNCTION("""COMPUTED_VALUE"""),"-30.9065039354715")</f>
        <v>-30.9065039354715</v>
      </c>
      <c r="B222" s="61" t="str">
        <f>IFERROR(__xludf.DUMMYFUNCTION("""COMPUTED_VALUE"""),"-55.5408848467456")</f>
        <v>-55.5408848467456</v>
      </c>
      <c r="C222" s="61">
        <f>IFERROR(__xludf.DUMMYFUNCTION("""COMPUTED_VALUE"""),1.0)</f>
        <v>1</v>
      </c>
      <c r="D222" s="61">
        <f>IFERROR(__xludf.DUMMYFUNCTION("""COMPUTED_VALUE"""),336.0)</f>
        <v>336</v>
      </c>
      <c r="E222" s="61">
        <f>IFERROR(__xludf.DUMMYFUNCTION("""COMPUTED_VALUE"""),10.0)</f>
        <v>10</v>
      </c>
      <c r="F222" s="62" t="str">
        <f>IFERROR(__xludf.DUMMYFUNCTION("""COMPUTED_VALUE"""),"https://www.google.com/maps/search/?api=1&amp;query=-30.9065039354715,-55.5408848467456")</f>
        <v>https://www.google.com/maps/search/?api=1&amp;query=-30.9065039354715,-55.5408848467456</v>
      </c>
      <c r="G222" s="63" t="str">
        <f>IFERROR(__xludf.DUMMYFUNCTION("""COMPUTED_VALUE"""),"https://earth.google.com/web/search/-30.9065039354715,-55.5408848467456")</f>
        <v>https://earth.google.com/web/search/-30.9065039354715,-55.5408848467456</v>
      </c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</row>
    <row r="223">
      <c r="A223" s="65" t="str">
        <f>IFERROR(__xludf.DUMMYFUNCTION("""COMPUTED_VALUE"""),"-30.9064227630845")</f>
        <v>-30.9064227630845</v>
      </c>
      <c r="B223" s="66" t="str">
        <f>IFERROR(__xludf.DUMMYFUNCTION("""COMPUTED_VALUE"""),"-55.5408223386003")</f>
        <v>-55.5408223386003</v>
      </c>
      <c r="C223" s="66">
        <f>IFERROR(__xludf.DUMMYFUNCTION("""COMPUTED_VALUE"""),1.0)</f>
        <v>1</v>
      </c>
      <c r="D223" s="66">
        <f>IFERROR(__xludf.DUMMYFUNCTION("""COMPUTED_VALUE"""),336.0)</f>
        <v>336</v>
      </c>
      <c r="E223" s="66">
        <f>IFERROR(__xludf.DUMMYFUNCTION("""COMPUTED_VALUE"""),11.0)</f>
        <v>11</v>
      </c>
      <c r="F223" s="67" t="str">
        <f>IFERROR(__xludf.DUMMYFUNCTION("""COMPUTED_VALUE"""),"https://www.google.com/maps/search/?api=1&amp;query=-30.9064227630845,-55.5408223386003")</f>
        <v>https://www.google.com/maps/search/?api=1&amp;query=-30.9064227630845,-55.5408223386003</v>
      </c>
      <c r="G223" s="68" t="str">
        <f>IFERROR(__xludf.DUMMYFUNCTION("""COMPUTED_VALUE"""),"https://earth.google.com/web/search/-30.9064227630845,-55.5408223386003")</f>
        <v>https://earth.google.com/web/search/-30.9064227630845,-55.5408223386003</v>
      </c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</row>
    <row r="224">
      <c r="A224" s="69" t="str">
        <f>IFERROR(__xludf.DUMMYFUNCTION("""COMPUTED_VALUE"""),"-30.9063513528304")</f>
        <v>-30.9063513528304</v>
      </c>
      <c r="B224" s="61" t="str">
        <f>IFERROR(__xludf.DUMMYFUNCTION("""COMPUTED_VALUE"""),"-55.5407593947535")</f>
        <v>-55.5407593947535</v>
      </c>
      <c r="C224" s="61">
        <f>IFERROR(__xludf.DUMMYFUNCTION("""COMPUTED_VALUE"""),1.0)</f>
        <v>1</v>
      </c>
      <c r="D224" s="61">
        <f>IFERROR(__xludf.DUMMYFUNCTION("""COMPUTED_VALUE"""),336.0)</f>
        <v>336</v>
      </c>
      <c r="E224" s="61">
        <f>IFERROR(__xludf.DUMMYFUNCTION("""COMPUTED_VALUE"""),12.0)</f>
        <v>12</v>
      </c>
      <c r="F224" s="62" t="str">
        <f>IFERROR(__xludf.DUMMYFUNCTION("""COMPUTED_VALUE"""),"https://www.google.com/maps/search/?api=1&amp;query=-30.9063513528304,-55.5407593947535")</f>
        <v>https://www.google.com/maps/search/?api=1&amp;query=-30.9063513528304,-55.5407593947535</v>
      </c>
      <c r="G224" s="63" t="str">
        <f>IFERROR(__xludf.DUMMYFUNCTION("""COMPUTED_VALUE"""),"https://earth.google.com/web/search/-30.9063513528304,-55.5407593947535")</f>
        <v>https://earth.google.com/web/search/-30.9063513528304,-55.5407593947535</v>
      </c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</row>
    <row r="225">
      <c r="A225" s="65" t="str">
        <f>IFERROR(__xludf.DUMMYFUNCTION("""COMPUTED_VALUE"""),"-30.9062731321728")</f>
        <v>-30.9062731321728</v>
      </c>
      <c r="B225" s="66" t="str">
        <f>IFERROR(__xludf.DUMMYFUNCTION("""COMPUTED_VALUE"""),"-55.5407171335977")</f>
        <v>-55.5407171335977</v>
      </c>
      <c r="C225" s="66">
        <f>IFERROR(__xludf.DUMMYFUNCTION("""COMPUTED_VALUE"""),1.0)</f>
        <v>1</v>
      </c>
      <c r="D225" s="66">
        <f>IFERROR(__xludf.DUMMYFUNCTION("""COMPUTED_VALUE"""),336.0)</f>
        <v>336</v>
      </c>
      <c r="E225" s="66">
        <f>IFERROR(__xludf.DUMMYFUNCTION("""COMPUTED_VALUE"""),13.0)</f>
        <v>13</v>
      </c>
      <c r="F225" s="67" t="str">
        <f>IFERROR(__xludf.DUMMYFUNCTION("""COMPUTED_VALUE"""),"https://www.google.com/maps/search/?api=1&amp;query=-30.9062731321728,-55.5407171335977")</f>
        <v>https://www.google.com/maps/search/?api=1&amp;query=-30.9062731321728,-55.5407171335977</v>
      </c>
      <c r="G225" s="68" t="str">
        <f>IFERROR(__xludf.DUMMYFUNCTION("""COMPUTED_VALUE"""),"https://earth.google.com/web/search/-30.9062731321728,-55.5407171335977")</f>
        <v>https://earth.google.com/web/search/-30.9062731321728,-55.5407171335977</v>
      </c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</row>
    <row r="226">
      <c r="A226" s="69" t="str">
        <f>IFERROR(__xludf.DUMMYFUNCTION("""COMPUTED_VALUE"""),"-30.9061173409309")</f>
        <v>-30.9061173409309</v>
      </c>
      <c r="B226" s="61" t="str">
        <f>IFERROR(__xludf.DUMMYFUNCTION("""COMPUTED_VALUE"""),"-55.5405819509031")</f>
        <v>-55.5405819509031</v>
      </c>
      <c r="C226" s="61">
        <f>IFERROR(__xludf.DUMMYFUNCTION("""COMPUTED_VALUE"""),1.0)</f>
        <v>1</v>
      </c>
      <c r="D226" s="61">
        <f>IFERROR(__xludf.DUMMYFUNCTION("""COMPUTED_VALUE"""),336.0)</f>
        <v>336</v>
      </c>
      <c r="E226" s="61">
        <f>IFERROR(__xludf.DUMMYFUNCTION("""COMPUTED_VALUE"""),14.0)</f>
        <v>14</v>
      </c>
      <c r="F226" s="62" t="str">
        <f>IFERROR(__xludf.DUMMYFUNCTION("""COMPUTED_VALUE"""),"https://www.google.com/maps/search/?api=1&amp;query=-30.9061173409309,-55.5405819509031")</f>
        <v>https://www.google.com/maps/search/?api=1&amp;query=-30.9061173409309,-55.5405819509031</v>
      </c>
      <c r="G226" s="63" t="str">
        <f>IFERROR(__xludf.DUMMYFUNCTION("""COMPUTED_VALUE"""),"https://earth.google.com/web/search/-30.9061173409309,-55.5405819509031")</f>
        <v>https://earth.google.com/web/search/-30.9061173409309,-55.5405819509031</v>
      </c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</row>
    <row r="227">
      <c r="A227" s="65" t="str">
        <f>IFERROR(__xludf.DUMMYFUNCTION("""COMPUTED_VALUE"""),"-3.0906050129764")</f>
        <v>-3.0906050129764</v>
      </c>
      <c r="B227" s="66" t="str">
        <f>IFERROR(__xludf.DUMMYFUNCTION("""COMPUTED_VALUE"""),"-55.5406336892631")</f>
        <v>-55.5406336892631</v>
      </c>
      <c r="C227" s="66">
        <f>IFERROR(__xludf.DUMMYFUNCTION("""COMPUTED_VALUE"""),1.0)</f>
        <v>1</v>
      </c>
      <c r="D227" s="66">
        <f>IFERROR(__xludf.DUMMYFUNCTION("""COMPUTED_VALUE"""),336.0)</f>
        <v>336</v>
      </c>
      <c r="E227" s="66">
        <f>IFERROR(__xludf.DUMMYFUNCTION("""COMPUTED_VALUE"""),15.0)</f>
        <v>15</v>
      </c>
      <c r="F227" s="67" t="str">
        <f>IFERROR(__xludf.DUMMYFUNCTION("""COMPUTED_VALUE"""),"https://www.google.com/maps/search/?api=1&amp;query=-3.0906050129764,-55.5406336892631")</f>
        <v>https://www.google.com/maps/search/?api=1&amp;query=-3.0906050129764,-55.5406336892631</v>
      </c>
      <c r="G227" s="68" t="str">
        <f>IFERROR(__xludf.DUMMYFUNCTION("""COMPUTED_VALUE"""),"https://earth.google.com/web/search/-3.0906050129764,-55.5406336892631")</f>
        <v>https://earth.google.com/web/search/-3.0906050129764,-55.5406336892631</v>
      </c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</row>
    <row r="228">
      <c r="A228" s="69" t="str">
        <f>IFERROR(__xludf.DUMMYFUNCTION("""COMPUTED_VALUE"""),"-30.9060086360089")</f>
        <v>-30.9060086360089</v>
      </c>
      <c r="B228" s="61" t="str">
        <f>IFERROR(__xludf.DUMMYFUNCTION("""COMPUTED_VALUE"""),"-55.5407128187484")</f>
        <v>-55.5407128187484</v>
      </c>
      <c r="C228" s="61">
        <f>IFERROR(__xludf.DUMMYFUNCTION("""COMPUTED_VALUE"""),1.0)</f>
        <v>1</v>
      </c>
      <c r="D228" s="61">
        <f>IFERROR(__xludf.DUMMYFUNCTION("""COMPUTED_VALUE"""),336.0)</f>
        <v>336</v>
      </c>
      <c r="E228" s="61">
        <f>IFERROR(__xludf.DUMMYFUNCTION("""COMPUTED_VALUE"""),16.0)</f>
        <v>16</v>
      </c>
      <c r="F228" s="62" t="str">
        <f>IFERROR(__xludf.DUMMYFUNCTION("""COMPUTED_VALUE"""),"https://www.google.com/maps/search/?api=1&amp;query=-30.9060086360089,-55.5407128187484")</f>
        <v>https://www.google.com/maps/search/?api=1&amp;query=-30.9060086360089,-55.5407128187484</v>
      </c>
      <c r="G228" s="63" t="str">
        <f>IFERROR(__xludf.DUMMYFUNCTION("""COMPUTED_VALUE"""),"https://earth.google.com/web/search/-30.9060086360089,-55.5407128187484")</f>
        <v>https://earth.google.com/web/search/-30.9060086360089,-55.5407128187484</v>
      </c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</row>
    <row r="229">
      <c r="A229" s="65" t="str">
        <f>IFERROR(__xludf.DUMMYFUNCTION("""COMPUTED_VALUE"""),"-30.9059146475233")</f>
        <v>-30.9059146475233</v>
      </c>
      <c r="B229" s="66" t="str">
        <f>IFERROR(__xludf.DUMMYFUNCTION("""COMPUTED_VALUE"""),"-55.5409223308808")</f>
        <v>-55.5409223308808</v>
      </c>
      <c r="C229" s="66">
        <f>IFERROR(__xludf.DUMMYFUNCTION("""COMPUTED_VALUE"""),1.0)</f>
        <v>1</v>
      </c>
      <c r="D229" s="66">
        <f>IFERROR(__xludf.DUMMYFUNCTION("""COMPUTED_VALUE"""),336.0)</f>
        <v>336</v>
      </c>
      <c r="E229" s="66">
        <f>IFERROR(__xludf.DUMMYFUNCTION("""COMPUTED_VALUE"""),17.0)</f>
        <v>17</v>
      </c>
      <c r="F229" s="67" t="str">
        <f>IFERROR(__xludf.DUMMYFUNCTION("""COMPUTED_VALUE"""),"https://www.google.com/maps/search/?api=1&amp;query=-30.9059146475233,-55.5409223308808")</f>
        <v>https://www.google.com/maps/search/?api=1&amp;query=-30.9059146475233,-55.5409223308808</v>
      </c>
      <c r="G229" s="68" t="str">
        <f>IFERROR(__xludf.DUMMYFUNCTION("""COMPUTED_VALUE"""),"https://earth.google.com/web/search/-30.9059146475233,-55.5409223308808")</f>
        <v>https://earth.google.com/web/search/-30.9059146475233,-55.5409223308808</v>
      </c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</row>
    <row r="230">
      <c r="A230" s="69" t="str">
        <f>IFERROR(__xludf.DUMMYFUNCTION("""COMPUTED_VALUE"""),"-30.9058419393883")</f>
        <v>-30.9058419393883</v>
      </c>
      <c r="B230" s="61" t="str">
        <f>IFERROR(__xludf.DUMMYFUNCTION("""COMPUTED_VALUE"""),"-55.5410380605273")</f>
        <v>-55.5410380605273</v>
      </c>
      <c r="C230" s="61">
        <f>IFERROR(__xludf.DUMMYFUNCTION("""COMPUTED_VALUE"""),1.0)</f>
        <v>1</v>
      </c>
      <c r="D230" s="61">
        <f>IFERROR(__xludf.DUMMYFUNCTION("""COMPUTED_VALUE"""),336.0)</f>
        <v>336</v>
      </c>
      <c r="E230" s="61">
        <f>IFERROR(__xludf.DUMMYFUNCTION("""COMPUTED_VALUE"""),18.0)</f>
        <v>18</v>
      </c>
      <c r="F230" s="62" t="str">
        <f>IFERROR(__xludf.DUMMYFUNCTION("""COMPUTED_VALUE"""),"https://www.google.com/maps/search/?api=1&amp;query=-30.9058419393883,-55.5410380605273")</f>
        <v>https://www.google.com/maps/search/?api=1&amp;query=-30.9058419393883,-55.5410380605273</v>
      </c>
      <c r="G230" s="63" t="str">
        <f>IFERROR(__xludf.DUMMYFUNCTION("""COMPUTED_VALUE"""),"https://earth.google.com/web/search/-30.9058419393883,-55.5410380605273")</f>
        <v>https://earth.google.com/web/search/-30.9058419393883,-55.5410380605273</v>
      </c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</row>
    <row r="231">
      <c r="A231" s="65" t="str">
        <f>IFERROR(__xludf.DUMMYFUNCTION("""COMPUTED_VALUE"""),"-30.9057343893045")</f>
        <v>-30.9057343893045</v>
      </c>
      <c r="B231" s="66" t="str">
        <f>IFERROR(__xludf.DUMMYFUNCTION("""COMPUTED_VALUE"""),"-55.5412283621021")</f>
        <v>-55.5412283621021</v>
      </c>
      <c r="C231" s="66">
        <f>IFERROR(__xludf.DUMMYFUNCTION("""COMPUTED_VALUE"""),1.0)</f>
        <v>1</v>
      </c>
      <c r="D231" s="66">
        <f>IFERROR(__xludf.DUMMYFUNCTION("""COMPUTED_VALUE"""),336.0)</f>
        <v>336</v>
      </c>
      <c r="E231" s="66">
        <f>IFERROR(__xludf.DUMMYFUNCTION("""COMPUTED_VALUE"""),19.0)</f>
        <v>19</v>
      </c>
      <c r="F231" s="67" t="str">
        <f>IFERROR(__xludf.DUMMYFUNCTION("""COMPUTED_VALUE"""),"https://www.google.com/maps/search/?api=1&amp;query=-30.9057343893045,-55.5412283621021")</f>
        <v>https://www.google.com/maps/search/?api=1&amp;query=-30.9057343893045,-55.5412283621021</v>
      </c>
      <c r="G231" s="68" t="str">
        <f>IFERROR(__xludf.DUMMYFUNCTION("""COMPUTED_VALUE"""),"https://earth.google.com/web/search/-30.9057343893045,-55.5412283621021")</f>
        <v>https://earth.google.com/web/search/-30.9057343893045,-55.5412283621021</v>
      </c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</row>
    <row r="232">
      <c r="A232" s="69" t="str">
        <f>IFERROR(__xludf.DUMMYFUNCTION("""COMPUTED_VALUE"""),"-30.9056994412895")</f>
        <v>-30.9056994412895</v>
      </c>
      <c r="B232" s="61" t="str">
        <f>IFERROR(__xludf.DUMMYFUNCTION("""COMPUTED_VALUE"""),"-55.5414169646723")</f>
        <v>-55.5414169646723</v>
      </c>
      <c r="C232" s="61">
        <f>IFERROR(__xludf.DUMMYFUNCTION("""COMPUTED_VALUE"""),1.0)</f>
        <v>1</v>
      </c>
      <c r="D232" s="61">
        <f>IFERROR(__xludf.DUMMYFUNCTION("""COMPUTED_VALUE"""),336.0)</f>
        <v>336</v>
      </c>
      <c r="E232" s="61">
        <f>IFERROR(__xludf.DUMMYFUNCTION("""COMPUTED_VALUE"""),20.0)</f>
        <v>20</v>
      </c>
      <c r="F232" s="62" t="str">
        <f>IFERROR(__xludf.DUMMYFUNCTION("""COMPUTED_VALUE"""),"https://www.google.com/maps/search/?api=1&amp;query=-30.9056994412895,-55.5414169646723")</f>
        <v>https://www.google.com/maps/search/?api=1&amp;query=-30.9056994412895,-55.5414169646723</v>
      </c>
      <c r="G232" s="63" t="str">
        <f>IFERROR(__xludf.DUMMYFUNCTION("""COMPUTED_VALUE"""),"https://earth.google.com/web/search/-30.9056994412895,-55.5414169646723")</f>
        <v>https://earth.google.com/web/search/-30.9056994412895,-55.5414169646723</v>
      </c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</row>
    <row r="233">
      <c r="A233" s="65" t="str">
        <f>IFERROR(__xludf.DUMMYFUNCTION("""COMPUTED_VALUE"""),"-30.9057596042767")</f>
        <v>-30.9057596042767</v>
      </c>
      <c r="B233" s="66" t="str">
        <f>IFERROR(__xludf.DUMMYFUNCTION("""COMPUTED_VALUE"""),"-55.5414612831513")</f>
        <v>-55.5414612831513</v>
      </c>
      <c r="C233" s="66">
        <f>IFERROR(__xludf.DUMMYFUNCTION("""COMPUTED_VALUE"""),1.0)</f>
        <v>1</v>
      </c>
      <c r="D233" s="66">
        <f>IFERROR(__xludf.DUMMYFUNCTION("""COMPUTED_VALUE"""),336.0)</f>
        <v>336</v>
      </c>
      <c r="E233" s="66">
        <f>IFERROR(__xludf.DUMMYFUNCTION("""COMPUTED_VALUE"""),21.0)</f>
        <v>21</v>
      </c>
      <c r="F233" s="67" t="str">
        <f>IFERROR(__xludf.DUMMYFUNCTION("""COMPUTED_VALUE"""),"https://www.google.com/maps/search/?api=1&amp;query=-30.9057596042767,-55.5414612831513")</f>
        <v>https://www.google.com/maps/search/?api=1&amp;query=-30.9057596042767,-55.5414612831513</v>
      </c>
      <c r="G233" s="68" t="str">
        <f>IFERROR(__xludf.DUMMYFUNCTION("""COMPUTED_VALUE"""),"https://earth.google.com/web/search/-30.9057596042767,-55.5414612831513")</f>
        <v>https://earth.google.com/web/search/-30.9057596042767,-55.5414612831513</v>
      </c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</row>
    <row r="234">
      <c r="A234" s="69" t="str">
        <f>IFERROR(__xludf.DUMMYFUNCTION("""COMPUTED_VALUE"""),"-30.9058081862748")</f>
        <v>-30.9058081862748</v>
      </c>
      <c r="B234" s="61" t="str">
        <f>IFERROR(__xludf.DUMMYFUNCTION("""COMPUTED_VALUE"""),"-55.5414937229422")</f>
        <v>-55.5414937229422</v>
      </c>
      <c r="C234" s="61">
        <f>IFERROR(__xludf.DUMMYFUNCTION("""COMPUTED_VALUE"""),1.0)</f>
        <v>1</v>
      </c>
      <c r="D234" s="61">
        <f>IFERROR(__xludf.DUMMYFUNCTION("""COMPUTED_VALUE"""),336.0)</f>
        <v>336</v>
      </c>
      <c r="E234" s="61">
        <f>IFERROR(__xludf.DUMMYFUNCTION("""COMPUTED_VALUE"""),22.0)</f>
        <v>22</v>
      </c>
      <c r="F234" s="62" t="str">
        <f>IFERROR(__xludf.DUMMYFUNCTION("""COMPUTED_VALUE"""),"https://www.google.com/maps/search/?api=1&amp;query=-30.9058081862748,-55.5414937229422")</f>
        <v>https://www.google.com/maps/search/?api=1&amp;query=-30.9058081862748,-55.5414937229422</v>
      </c>
      <c r="G234" s="63" t="str">
        <f>IFERROR(__xludf.DUMMYFUNCTION("""COMPUTED_VALUE"""),"https://earth.google.com/web/search/-30.9058081862748,-55.5414937229422")</f>
        <v>https://earth.google.com/web/search/-30.9058081862748,-55.5414937229422</v>
      </c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</row>
    <row r="235">
      <c r="A235" s="65" t="str">
        <f>IFERROR(__xludf.DUMMYFUNCTION("""COMPUTED_VALUE"""),"-30.9059367393323")</f>
        <v>-30.9059367393323</v>
      </c>
      <c r="B235" s="66" t="str">
        <f>IFERROR(__xludf.DUMMYFUNCTION("""COMPUTED_VALUE"""),"-55.5426889164893")</f>
        <v>-55.5426889164893</v>
      </c>
      <c r="C235" s="66">
        <f>IFERROR(__xludf.DUMMYFUNCTION("""COMPUTED_VALUE"""),1.0)</f>
        <v>1</v>
      </c>
      <c r="D235" s="66">
        <f>IFERROR(__xludf.DUMMYFUNCTION("""COMPUTED_VALUE"""),337.0)</f>
        <v>337</v>
      </c>
      <c r="E235" s="66">
        <f>IFERROR(__xludf.DUMMYFUNCTION("""COMPUTED_VALUE"""),1.0)</f>
        <v>1</v>
      </c>
      <c r="F235" s="67" t="str">
        <f>IFERROR(__xludf.DUMMYFUNCTION("""COMPUTED_VALUE"""),"https://www.google.com/maps/search/?api=1&amp;query=-30.9059367393323,-55.5426889164893")</f>
        <v>https://www.google.com/maps/search/?api=1&amp;query=-30.9059367393323,-55.5426889164893</v>
      </c>
      <c r="G235" s="68" t="str">
        <f>IFERROR(__xludf.DUMMYFUNCTION("""COMPUTED_VALUE"""),"https://earth.google.com/web/search/-30.9059367393323,-55.5426889164893")</f>
        <v>https://earth.google.com/web/search/-30.9059367393323,-55.5426889164893</v>
      </c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</row>
    <row r="236">
      <c r="A236" s="69" t="str">
        <f>IFERROR(__xludf.DUMMYFUNCTION("""COMPUTED_VALUE"""),"-30.9059788264766")</f>
        <v>-30.9059788264766</v>
      </c>
      <c r="B236" s="61" t="str">
        <f>IFERROR(__xludf.DUMMYFUNCTION("""COMPUTED_VALUE"""),"-55.5426082553031")</f>
        <v>-55.5426082553031</v>
      </c>
      <c r="C236" s="61">
        <f>IFERROR(__xludf.DUMMYFUNCTION("""COMPUTED_VALUE"""),1.0)</f>
        <v>1</v>
      </c>
      <c r="D236" s="61">
        <f>IFERROR(__xludf.DUMMYFUNCTION("""COMPUTED_VALUE"""),337.0)</f>
        <v>337</v>
      </c>
      <c r="E236" s="61">
        <f>IFERROR(__xludf.DUMMYFUNCTION("""COMPUTED_VALUE"""),2.0)</f>
        <v>2</v>
      </c>
      <c r="F236" s="62" t="str">
        <f>IFERROR(__xludf.DUMMYFUNCTION("""COMPUTED_VALUE"""),"https://www.google.com/maps/search/?api=1&amp;query=-30.9059788264766,-55.5426082553031")</f>
        <v>https://www.google.com/maps/search/?api=1&amp;query=-30.9059788264766,-55.5426082553031</v>
      </c>
      <c r="G236" s="63" t="str">
        <f>IFERROR(__xludf.DUMMYFUNCTION("""COMPUTED_VALUE"""),"https://earth.google.com/web/search/-30.9059788264766,-55.5426082553031")</f>
        <v>https://earth.google.com/web/search/-30.9059788264766,-55.5426082553031</v>
      </c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</row>
    <row r="237">
      <c r="A237" s="65" t="str">
        <f>IFERROR(__xludf.DUMMYFUNCTION("""COMPUTED_VALUE"""),"-30.9060410688649")</f>
        <v>-30.9060410688649</v>
      </c>
      <c r="B237" s="66" t="str">
        <f>IFERROR(__xludf.DUMMYFUNCTION("""COMPUTED_VALUE"""),"-55.5425053573636")</f>
        <v>-55.5425053573636</v>
      </c>
      <c r="C237" s="66">
        <f>IFERROR(__xludf.DUMMYFUNCTION("""COMPUTED_VALUE"""),1.0)</f>
        <v>1</v>
      </c>
      <c r="D237" s="66">
        <f>IFERROR(__xludf.DUMMYFUNCTION("""COMPUTED_VALUE"""),337.0)</f>
        <v>337</v>
      </c>
      <c r="E237" s="66">
        <f>IFERROR(__xludf.DUMMYFUNCTION("""COMPUTED_VALUE"""),3.0)</f>
        <v>3</v>
      </c>
      <c r="F237" s="67" t="str">
        <f>IFERROR(__xludf.DUMMYFUNCTION("""COMPUTED_VALUE"""),"https://www.google.com/maps/search/?api=1&amp;query=-30.9060410688649,-55.5425053573636")</f>
        <v>https://www.google.com/maps/search/?api=1&amp;query=-30.9060410688649,-55.5425053573636</v>
      </c>
      <c r="G237" s="68" t="str">
        <f>IFERROR(__xludf.DUMMYFUNCTION("""COMPUTED_VALUE"""),"https://earth.google.com/web/search/-30.9060410688649,-55.5425053573636")</f>
        <v>https://earth.google.com/web/search/-30.9060410688649,-55.5425053573636</v>
      </c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</row>
    <row r="238">
      <c r="A238" s="69" t="str">
        <f>IFERROR(__xludf.DUMMYFUNCTION("""COMPUTED_VALUE"""),"-30.9061926308327")</f>
        <v>-30.9061926308327</v>
      </c>
      <c r="B238" s="61" t="str">
        <f>IFERROR(__xludf.DUMMYFUNCTION("""COMPUTED_VALUE"""),"-55.5421709947648")</f>
        <v>-55.5421709947648</v>
      </c>
      <c r="C238" s="61">
        <f>IFERROR(__xludf.DUMMYFUNCTION("""COMPUTED_VALUE"""),1.0)</f>
        <v>1</v>
      </c>
      <c r="D238" s="61">
        <f>IFERROR(__xludf.DUMMYFUNCTION("""COMPUTED_VALUE"""),337.0)</f>
        <v>337</v>
      </c>
      <c r="E238" s="61">
        <f>IFERROR(__xludf.DUMMYFUNCTION("""COMPUTED_VALUE"""),4.0)</f>
        <v>4</v>
      </c>
      <c r="F238" s="62" t="str">
        <f>IFERROR(__xludf.DUMMYFUNCTION("""COMPUTED_VALUE"""),"https://www.google.com/maps/search/?api=1&amp;query=-30.9061926308327,-55.5421709947648")</f>
        <v>https://www.google.com/maps/search/?api=1&amp;query=-30.9061926308327,-55.5421709947648</v>
      </c>
      <c r="G238" s="63" t="str">
        <f>IFERROR(__xludf.DUMMYFUNCTION("""COMPUTED_VALUE"""),"https://earth.google.com/web/search/-30.9061926308327,-55.5421709947648")</f>
        <v>https://earth.google.com/web/search/-30.9061926308327,-55.5421709947648</v>
      </c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</row>
    <row r="239">
      <c r="A239" s="65" t="str">
        <f>IFERROR(__xludf.DUMMYFUNCTION("""COMPUTED_VALUE"""),"-30.9062865507183")</f>
        <v>-30.9062865507183</v>
      </c>
      <c r="B239" s="66" t="str">
        <f>IFERROR(__xludf.DUMMYFUNCTION("""COMPUTED_VALUE"""),"-55.5419663912964")</f>
        <v>-55.5419663912964</v>
      </c>
      <c r="C239" s="66">
        <f>IFERROR(__xludf.DUMMYFUNCTION("""COMPUTED_VALUE"""),1.0)</f>
        <v>1</v>
      </c>
      <c r="D239" s="66">
        <f>IFERROR(__xludf.DUMMYFUNCTION("""COMPUTED_VALUE"""),337.0)</f>
        <v>337</v>
      </c>
      <c r="E239" s="66">
        <f>IFERROR(__xludf.DUMMYFUNCTION("""COMPUTED_VALUE"""),5.0)</f>
        <v>5</v>
      </c>
      <c r="F239" s="67" t="str">
        <f>IFERROR(__xludf.DUMMYFUNCTION("""COMPUTED_VALUE"""),"https://www.google.com/maps/search/?api=1&amp;query=-30.9062865507183,-55.5419663912964")</f>
        <v>https://www.google.com/maps/search/?api=1&amp;query=-30.9062865507183,-55.5419663912964</v>
      </c>
      <c r="G239" s="68" t="str">
        <f>IFERROR(__xludf.DUMMYFUNCTION("""COMPUTED_VALUE"""),"https://earth.google.com/web/search/-30.9062865507183,-55.5419663912964")</f>
        <v>https://earth.google.com/web/search/-30.9062865507183,-55.5419663912964</v>
      </c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</row>
    <row r="240">
      <c r="A240" s="69" t="str">
        <f>IFERROR(__xludf.DUMMYFUNCTION("""COMPUTED_VALUE"""),"-30.9061897739122")</f>
        <v>-30.9061897739122</v>
      </c>
      <c r="B240" s="61" t="str">
        <f>IFERROR(__xludf.DUMMYFUNCTION("""COMPUTED_VALUE"""),"-55.5419064626484")</f>
        <v>-55.5419064626484</v>
      </c>
      <c r="C240" s="61">
        <f>IFERROR(__xludf.DUMMYFUNCTION("""COMPUTED_VALUE"""),1.0)</f>
        <v>1</v>
      </c>
      <c r="D240" s="61">
        <f>IFERROR(__xludf.DUMMYFUNCTION("""COMPUTED_VALUE"""),337.0)</f>
        <v>337</v>
      </c>
      <c r="E240" s="61">
        <f>IFERROR(__xludf.DUMMYFUNCTION("""COMPUTED_VALUE"""),6.0)</f>
        <v>6</v>
      </c>
      <c r="F240" s="62" t="str">
        <f>IFERROR(__xludf.DUMMYFUNCTION("""COMPUTED_VALUE"""),"https://www.google.com/maps/search/?api=1&amp;query=-30.9061897739122,-55.5419064626484")</f>
        <v>https://www.google.com/maps/search/?api=1&amp;query=-30.9061897739122,-55.5419064626484</v>
      </c>
      <c r="G240" s="63" t="str">
        <f>IFERROR(__xludf.DUMMYFUNCTION("""COMPUTED_VALUE"""),"https://earth.google.com/web/search/-30.9061897739122,-55.5419064626484")</f>
        <v>https://earth.google.com/web/search/-30.9061897739122,-55.5419064626484</v>
      </c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</row>
    <row r="241">
      <c r="A241" s="65" t="str">
        <f>IFERROR(__xludf.DUMMYFUNCTION("""COMPUTED_VALUE"""),"-30.9061333620005")</f>
        <v>-30.9061333620005</v>
      </c>
      <c r="B241" s="66" t="str">
        <f>IFERROR(__xludf.DUMMYFUNCTION("""COMPUTED_VALUE"""),"-55.5418706978256")</f>
        <v>-55.5418706978256</v>
      </c>
      <c r="C241" s="66">
        <f>IFERROR(__xludf.DUMMYFUNCTION("""COMPUTED_VALUE"""),1.0)</f>
        <v>1</v>
      </c>
      <c r="D241" s="66">
        <f>IFERROR(__xludf.DUMMYFUNCTION("""COMPUTED_VALUE"""),337.0)</f>
        <v>337</v>
      </c>
      <c r="E241" s="66">
        <f>IFERROR(__xludf.DUMMYFUNCTION("""COMPUTED_VALUE"""),7.0)</f>
        <v>7</v>
      </c>
      <c r="F241" s="67" t="str">
        <f>IFERROR(__xludf.DUMMYFUNCTION("""COMPUTED_VALUE"""),"https://www.google.com/maps/search/?api=1&amp;query=-30.9061333620005,-55.5418706978256")</f>
        <v>https://www.google.com/maps/search/?api=1&amp;query=-30.9061333620005,-55.5418706978256</v>
      </c>
      <c r="G241" s="68" t="str">
        <f>IFERROR(__xludf.DUMMYFUNCTION("""COMPUTED_VALUE"""),"https://earth.google.com/web/search/-30.9061333620005,-55.5418706978256")</f>
        <v>https://earth.google.com/web/search/-30.9061333620005,-55.5418706978256</v>
      </c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</row>
    <row r="242">
      <c r="A242" s="69" t="str">
        <f>IFERROR(__xludf.DUMMYFUNCTION("""COMPUTED_VALUE"""),"-30.9060759443797")</f>
        <v>-30.9060759443797</v>
      </c>
      <c r="B242" s="61" t="str">
        <f>IFERROR(__xludf.DUMMYFUNCTION("""COMPUTED_VALUE"""),"-55.5418307259309")</f>
        <v>-55.5418307259309</v>
      </c>
      <c r="C242" s="61">
        <f>IFERROR(__xludf.DUMMYFUNCTION("""COMPUTED_VALUE"""),1.0)</f>
        <v>1</v>
      </c>
      <c r="D242" s="61">
        <f>IFERROR(__xludf.DUMMYFUNCTION("""COMPUTED_VALUE"""),337.0)</f>
        <v>337</v>
      </c>
      <c r="E242" s="61">
        <f>IFERROR(__xludf.DUMMYFUNCTION("""COMPUTED_VALUE"""),8.0)</f>
        <v>8</v>
      </c>
      <c r="F242" s="62" t="str">
        <f>IFERROR(__xludf.DUMMYFUNCTION("""COMPUTED_VALUE"""),"https://www.google.com/maps/search/?api=1&amp;query=-30.9060759443797,-55.5418307259309")</f>
        <v>https://www.google.com/maps/search/?api=1&amp;query=-30.9060759443797,-55.5418307259309</v>
      </c>
      <c r="G242" s="63" t="str">
        <f>IFERROR(__xludf.DUMMYFUNCTION("""COMPUTED_VALUE"""),"https://earth.google.com/web/search/-30.9060759443797,-55.5418307259309")</f>
        <v>https://earth.google.com/web/search/-30.9060759443797,-55.5418307259309</v>
      </c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</row>
    <row r="243">
      <c r="A243" s="65" t="str">
        <f>IFERROR(__xludf.DUMMYFUNCTION("""COMPUTED_VALUE"""),"-30.9060188934631")</f>
        <v>-30.9060188934631</v>
      </c>
      <c r="B243" s="66" t="str">
        <f>IFERROR(__xludf.DUMMYFUNCTION("""COMPUTED_VALUE"""),"-55.5417862652407")</f>
        <v>-55.5417862652407</v>
      </c>
      <c r="C243" s="66">
        <f>IFERROR(__xludf.DUMMYFUNCTION("""COMPUTED_VALUE"""),1.0)</f>
        <v>1</v>
      </c>
      <c r="D243" s="66">
        <f>IFERROR(__xludf.DUMMYFUNCTION("""COMPUTED_VALUE"""),337.0)</f>
        <v>337</v>
      </c>
      <c r="E243" s="66">
        <f>IFERROR(__xludf.DUMMYFUNCTION("""COMPUTED_VALUE"""),9.0)</f>
        <v>9</v>
      </c>
      <c r="F243" s="67" t="str">
        <f>IFERROR(__xludf.DUMMYFUNCTION("""COMPUTED_VALUE"""),"https://www.google.com/maps/search/?api=1&amp;query=-30.9060188934631,-55.5417862652407")</f>
        <v>https://www.google.com/maps/search/?api=1&amp;query=-30.9060188934631,-55.5417862652407</v>
      </c>
      <c r="G243" s="68" t="str">
        <f>IFERROR(__xludf.DUMMYFUNCTION("""COMPUTED_VALUE"""),"https://earth.google.com/web/search/-30.9060188934631,-55.5417862652407")</f>
        <v>https://earth.google.com/web/search/-30.9060188934631,-55.5417862652407</v>
      </c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</row>
    <row r="244">
      <c r="A244" s="69" t="str">
        <f>IFERROR(__xludf.DUMMYFUNCTION("""COMPUTED_VALUE"""),"-30.9059201968462")</f>
        <v>-30.9059201968462</v>
      </c>
      <c r="B244" s="61" t="str">
        <f>IFERROR(__xludf.DUMMYFUNCTION("""COMPUTED_VALUE"""),"-55.5417264369138")</f>
        <v>-55.5417264369138</v>
      </c>
      <c r="C244" s="61">
        <f>IFERROR(__xludf.DUMMYFUNCTION("""COMPUTED_VALUE"""),1.0)</f>
        <v>1</v>
      </c>
      <c r="D244" s="61">
        <f>IFERROR(__xludf.DUMMYFUNCTION("""COMPUTED_VALUE"""),337.0)</f>
        <v>337</v>
      </c>
      <c r="E244" s="61">
        <f>IFERROR(__xludf.DUMMYFUNCTION("""COMPUTED_VALUE"""),10.0)</f>
        <v>10</v>
      </c>
      <c r="F244" s="62" t="str">
        <f>IFERROR(__xludf.DUMMYFUNCTION("""COMPUTED_VALUE"""),"https://www.google.com/maps/search/?api=1&amp;query=-30.9059201968462,-55.5417264369138")</f>
        <v>https://www.google.com/maps/search/?api=1&amp;query=-30.9059201968462,-55.5417264369138</v>
      </c>
      <c r="G244" s="63" t="str">
        <f>IFERROR(__xludf.DUMMYFUNCTION("""COMPUTED_VALUE"""),"https://earth.google.com/web/search/-30.9059201968462,-55.5417264369138")</f>
        <v>https://earth.google.com/web/search/-30.9059201968462,-55.5417264369138</v>
      </c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</row>
    <row r="245">
      <c r="A245" s="65" t="str">
        <f>IFERROR(__xludf.DUMMYFUNCTION("""COMPUTED_VALUE"""),"-0.3090571053517")</f>
        <v>-0.3090571053517</v>
      </c>
      <c r="B245" s="66" t="str">
        <f>IFERROR(__xludf.DUMMYFUNCTION("""COMPUTED_VALUE"""),"-55.5415801696805")</f>
        <v>-55.5415801696805</v>
      </c>
      <c r="C245" s="66">
        <f>IFERROR(__xludf.DUMMYFUNCTION("""COMPUTED_VALUE"""),1.0)</f>
        <v>1</v>
      </c>
      <c r="D245" s="66">
        <f>IFERROR(__xludf.DUMMYFUNCTION("""COMPUTED_VALUE"""),337.0)</f>
        <v>337</v>
      </c>
      <c r="E245" s="66">
        <f>IFERROR(__xludf.DUMMYFUNCTION("""COMPUTED_VALUE"""),11.0)</f>
        <v>11</v>
      </c>
      <c r="F245" s="67" t="str">
        <f>IFERROR(__xludf.DUMMYFUNCTION("""COMPUTED_VALUE"""),"https://www.google.com/maps/search/?api=1&amp;query=-0.3090571053517,-55.5415801696805")</f>
        <v>https://www.google.com/maps/search/?api=1&amp;query=-0.3090571053517,-55.5415801696805</v>
      </c>
      <c r="G245" s="68" t="str">
        <f>IFERROR(__xludf.DUMMYFUNCTION("""COMPUTED_VALUE"""),"https://earth.google.com/web/search/-0.3090571053517,-55.5415801696805")</f>
        <v>https://earth.google.com/web/search/-0.3090571053517,-55.5415801696805</v>
      </c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</row>
    <row r="246">
      <c r="A246" s="69" t="str">
        <f>IFERROR(__xludf.DUMMYFUNCTION("""COMPUTED_VALUE"""),"-30.9056732197711")</f>
        <v>-30.9056732197711</v>
      </c>
      <c r="B246" s="61" t="str">
        <f>IFERROR(__xludf.DUMMYFUNCTION("""COMPUTED_VALUE"""),"-55.5415336520318")</f>
        <v>-55.5415336520318</v>
      </c>
      <c r="C246" s="61">
        <f>IFERROR(__xludf.DUMMYFUNCTION("""COMPUTED_VALUE"""),1.0)</f>
        <v>1</v>
      </c>
      <c r="D246" s="61">
        <f>IFERROR(__xludf.DUMMYFUNCTION("""COMPUTED_VALUE"""),337.0)</f>
        <v>337</v>
      </c>
      <c r="E246" s="61">
        <f>IFERROR(__xludf.DUMMYFUNCTION("""COMPUTED_VALUE"""),12.0)</f>
        <v>12</v>
      </c>
      <c r="F246" s="62" t="str">
        <f>IFERROR(__xludf.DUMMYFUNCTION("""COMPUTED_VALUE"""),"https://www.google.com/maps/search/?api=1&amp;query=-30.9056732197711,-55.5415336520318")</f>
        <v>https://www.google.com/maps/search/?api=1&amp;query=-30.9056732197711,-55.5415336520318</v>
      </c>
      <c r="G246" s="63" t="str">
        <f>IFERROR(__xludf.DUMMYFUNCTION("""COMPUTED_VALUE"""),"https://earth.google.com/web/search/-30.9056732197711,-55.5415336520318")</f>
        <v>https://earth.google.com/web/search/-30.9056732197711,-55.5415336520318</v>
      </c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</row>
    <row r="247">
      <c r="A247" s="65" t="str">
        <f>IFERROR(__xludf.DUMMYFUNCTION("""COMPUTED_VALUE"""),"-3.0905601572058")</f>
        <v>-3.0905601572058</v>
      </c>
      <c r="B247" s="66" t="str">
        <f>IFERROR(__xludf.DUMMYFUNCTION("""COMPUTED_VALUE"""),"-55.5415058779452")</f>
        <v>-55.5415058779452</v>
      </c>
      <c r="C247" s="66">
        <f>IFERROR(__xludf.DUMMYFUNCTION("""COMPUTED_VALUE"""),1.0)</f>
        <v>1</v>
      </c>
      <c r="D247" s="66">
        <f>IFERROR(__xludf.DUMMYFUNCTION("""COMPUTED_VALUE"""),337.0)</f>
        <v>337</v>
      </c>
      <c r="E247" s="66">
        <f>IFERROR(__xludf.DUMMYFUNCTION("""COMPUTED_VALUE"""),13.0)</f>
        <v>13</v>
      </c>
      <c r="F247" s="67" t="str">
        <f>IFERROR(__xludf.DUMMYFUNCTION("""COMPUTED_VALUE"""),"https://www.google.com/maps/search/?api=1&amp;query=-3.0905601572058,-55.5415058779452")</f>
        <v>https://www.google.com/maps/search/?api=1&amp;query=-3.0905601572058,-55.5415058779452</v>
      </c>
      <c r="G247" s="68" t="str">
        <f>IFERROR(__xludf.DUMMYFUNCTION("""COMPUTED_VALUE"""),"https://earth.google.com/web/search/-3.0905601572058,-55.5415058779452")</f>
        <v>https://earth.google.com/web/search/-3.0905601572058,-55.5415058779452</v>
      </c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</row>
    <row r="248">
      <c r="A248" s="69" t="str">
        <f>IFERROR(__xludf.DUMMYFUNCTION("""COMPUTED_VALUE"""),"-30.9054080901318")</f>
        <v>-30.9054080901318</v>
      </c>
      <c r="B248" s="61" t="str">
        <f>IFERROR(__xludf.DUMMYFUNCTION("""COMPUTED_VALUE"""),"-55.5418511057006")</f>
        <v>-55.5418511057006</v>
      </c>
      <c r="C248" s="61">
        <f>IFERROR(__xludf.DUMMYFUNCTION("""COMPUTED_VALUE"""),1.0)</f>
        <v>1</v>
      </c>
      <c r="D248" s="61">
        <f>IFERROR(__xludf.DUMMYFUNCTION("""COMPUTED_VALUE"""),337.0)</f>
        <v>337</v>
      </c>
      <c r="E248" s="61">
        <f>IFERROR(__xludf.DUMMYFUNCTION("""COMPUTED_VALUE"""),14.0)</f>
        <v>14</v>
      </c>
      <c r="F248" s="62" t="str">
        <f>IFERROR(__xludf.DUMMYFUNCTION("""COMPUTED_VALUE"""),"https://www.google.com/maps/search/?api=1&amp;query=-30.9054080901318,-55.5418511057006")</f>
        <v>https://www.google.com/maps/search/?api=1&amp;query=-30.9054080901318,-55.5418511057006</v>
      </c>
      <c r="G248" s="63" t="str">
        <f>IFERROR(__xludf.DUMMYFUNCTION("""COMPUTED_VALUE"""),"https://earth.google.com/web/search/-30.9054080901318,-55.5418511057006")</f>
        <v>https://earth.google.com/web/search/-30.9054080901318,-55.5418511057006</v>
      </c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</row>
    <row r="249">
      <c r="A249" s="65" t="str">
        <f>IFERROR(__xludf.DUMMYFUNCTION("""COMPUTED_VALUE"""),"-30.9053368567014")</f>
        <v>-30.9053368567014</v>
      </c>
      <c r="B249" s="66" t="str">
        <f>IFERROR(__xludf.DUMMYFUNCTION("""COMPUTED_VALUE"""),"-55.5419904847643")</f>
        <v>-55.5419904847643</v>
      </c>
      <c r="C249" s="66">
        <f>IFERROR(__xludf.DUMMYFUNCTION("""COMPUTED_VALUE"""),1.0)</f>
        <v>1</v>
      </c>
      <c r="D249" s="66">
        <f>IFERROR(__xludf.DUMMYFUNCTION("""COMPUTED_VALUE"""),337.0)</f>
        <v>337</v>
      </c>
      <c r="E249" s="66">
        <f>IFERROR(__xludf.DUMMYFUNCTION("""COMPUTED_VALUE"""),15.0)</f>
        <v>15</v>
      </c>
      <c r="F249" s="67" t="str">
        <f>IFERROR(__xludf.DUMMYFUNCTION("""COMPUTED_VALUE"""),"https://www.google.com/maps/search/?api=1&amp;query=-30.9053368567014,-55.5419904847643")</f>
        <v>https://www.google.com/maps/search/?api=1&amp;query=-30.9053368567014,-55.5419904847643</v>
      </c>
      <c r="G249" s="68" t="str">
        <f>IFERROR(__xludf.DUMMYFUNCTION("""COMPUTED_VALUE"""),"https://earth.google.com/web/search/-30.9053368567014,-55.5419904847643")</f>
        <v>https://earth.google.com/web/search/-30.9053368567014,-55.5419904847643</v>
      </c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</row>
    <row r="250">
      <c r="A250" s="69" t="str">
        <f>IFERROR(__xludf.DUMMYFUNCTION("""COMPUTED_VALUE"""),"-30.9052096272547")</f>
        <v>-30.9052096272547</v>
      </c>
      <c r="B250" s="61" t="str">
        <f>IFERROR(__xludf.DUMMYFUNCTION("""COMPUTED_VALUE"""),"-55.5422466235474")</f>
        <v>-55.5422466235474</v>
      </c>
      <c r="C250" s="61">
        <f>IFERROR(__xludf.DUMMYFUNCTION("""COMPUTED_VALUE"""),1.0)</f>
        <v>1</v>
      </c>
      <c r="D250" s="61">
        <f>IFERROR(__xludf.DUMMYFUNCTION("""COMPUTED_VALUE"""),337.0)</f>
        <v>337</v>
      </c>
      <c r="E250" s="61">
        <f>IFERROR(__xludf.DUMMYFUNCTION("""COMPUTED_VALUE"""),16.0)</f>
        <v>16</v>
      </c>
      <c r="F250" s="62" t="str">
        <f>IFERROR(__xludf.DUMMYFUNCTION("""COMPUTED_VALUE"""),"https://www.google.com/maps/search/?api=1&amp;query=-30.9052096272547,-55.5422466235474")</f>
        <v>https://www.google.com/maps/search/?api=1&amp;query=-30.9052096272547,-55.5422466235474</v>
      </c>
      <c r="G250" s="63" t="str">
        <f>IFERROR(__xludf.DUMMYFUNCTION("""COMPUTED_VALUE"""),"https://earth.google.com/web/search/-30.9052096272547,-55.5422466235474")</f>
        <v>https://earth.google.com/web/search/-30.9052096272547,-55.5422466235474</v>
      </c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</row>
    <row r="251">
      <c r="A251" s="65" t="str">
        <f>IFERROR(__xludf.DUMMYFUNCTION("""COMPUTED_VALUE"""),"-30.9052341039823")</f>
        <v>-30.9052341039823</v>
      </c>
      <c r="B251" s="66" t="str">
        <f>IFERROR(__xludf.DUMMYFUNCTION("""COMPUTED_VALUE"""),"-55.5423599233299")</f>
        <v>-55.5423599233299</v>
      </c>
      <c r="C251" s="66">
        <f>IFERROR(__xludf.DUMMYFUNCTION("""COMPUTED_VALUE"""),1.0)</f>
        <v>1</v>
      </c>
      <c r="D251" s="66">
        <f>IFERROR(__xludf.DUMMYFUNCTION("""COMPUTED_VALUE"""),337.0)</f>
        <v>337</v>
      </c>
      <c r="E251" s="66">
        <f>IFERROR(__xludf.DUMMYFUNCTION("""COMPUTED_VALUE"""),17.0)</f>
        <v>17</v>
      </c>
      <c r="F251" s="67" t="str">
        <f>IFERROR(__xludf.DUMMYFUNCTION("""COMPUTED_VALUE"""),"https://www.google.com/maps/search/?api=1&amp;query=-30.9052341039823,-55.5423599233299")</f>
        <v>https://www.google.com/maps/search/?api=1&amp;query=-30.9052341039823,-55.5423599233299</v>
      </c>
      <c r="G251" s="68" t="str">
        <f>IFERROR(__xludf.DUMMYFUNCTION("""COMPUTED_VALUE"""),"https://earth.google.com/web/search/-30.9052341039823,-55.5423599233299")</f>
        <v>https://earth.google.com/web/search/-30.9052341039823,-55.5423599233299</v>
      </c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</row>
    <row r="252">
      <c r="A252" s="69" t="str">
        <f>IFERROR(__xludf.DUMMYFUNCTION("""COMPUTED_VALUE"""),"-30.9053573189994")</f>
        <v>-30.9053573189994</v>
      </c>
      <c r="B252" s="61" t="str">
        <f>IFERROR(__xludf.DUMMYFUNCTION("""COMPUTED_VALUE"""),"-55.5424395167475")</f>
        <v>-55.5424395167475</v>
      </c>
      <c r="C252" s="61">
        <f>IFERROR(__xludf.DUMMYFUNCTION("""COMPUTED_VALUE"""),1.0)</f>
        <v>1</v>
      </c>
      <c r="D252" s="61">
        <f>IFERROR(__xludf.DUMMYFUNCTION("""COMPUTED_VALUE"""),337.0)</f>
        <v>337</v>
      </c>
      <c r="E252" s="61">
        <f>IFERROR(__xludf.DUMMYFUNCTION("""COMPUTED_VALUE"""),18.0)</f>
        <v>18</v>
      </c>
      <c r="F252" s="62" t="str">
        <f>IFERROR(__xludf.DUMMYFUNCTION("""COMPUTED_VALUE"""),"https://www.google.com/maps/search/?api=1&amp;query=-30.9053573189994,-55.5424395167475")</f>
        <v>https://www.google.com/maps/search/?api=1&amp;query=-30.9053573189994,-55.5424395167475</v>
      </c>
      <c r="G252" s="63" t="str">
        <f>IFERROR(__xludf.DUMMYFUNCTION("""COMPUTED_VALUE"""),"https://earth.google.com/web/search/-30.9053573189994,-55.5424395167475")</f>
        <v>https://earth.google.com/web/search/-30.9053573189994,-55.5424395167475</v>
      </c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</row>
    <row r="253">
      <c r="A253" s="65" t="str">
        <f>IFERROR(__xludf.DUMMYFUNCTION("""COMPUTED_VALUE"""),"-30.9054669520482")</f>
        <v>-30.9054669520482</v>
      </c>
      <c r="B253" s="66" t="str">
        <f>IFERROR(__xludf.DUMMYFUNCTION("""COMPUTED_VALUE"""),"-55.5424997098385")</f>
        <v>-55.5424997098385</v>
      </c>
      <c r="C253" s="66">
        <f>IFERROR(__xludf.DUMMYFUNCTION("""COMPUTED_VALUE"""),1.0)</f>
        <v>1</v>
      </c>
      <c r="D253" s="66">
        <f>IFERROR(__xludf.DUMMYFUNCTION("""COMPUTED_VALUE"""),337.0)</f>
        <v>337</v>
      </c>
      <c r="E253" s="66">
        <f>IFERROR(__xludf.DUMMYFUNCTION("""COMPUTED_VALUE"""),19.0)</f>
        <v>19</v>
      </c>
      <c r="F253" s="67" t="str">
        <f>IFERROR(__xludf.DUMMYFUNCTION("""COMPUTED_VALUE"""),"https://www.google.com/maps/search/?api=1&amp;query=-30.9054669520482,-55.5424997098385")</f>
        <v>https://www.google.com/maps/search/?api=1&amp;query=-30.9054669520482,-55.5424997098385</v>
      </c>
      <c r="G253" s="68" t="str">
        <f>IFERROR(__xludf.DUMMYFUNCTION("""COMPUTED_VALUE"""),"https://earth.google.com/web/search/-30.9054669520482,-55.5424997098385")</f>
        <v>https://earth.google.com/web/search/-30.9054669520482,-55.5424997098385</v>
      </c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</row>
    <row r="254">
      <c r="A254" s="69" t="str">
        <f>IFERROR(__xludf.DUMMYFUNCTION("""COMPUTED_VALUE"""),"-30.9055760430366")</f>
        <v>-30.9055760430366</v>
      </c>
      <c r="B254" s="61" t="str">
        <f>IFERROR(__xludf.DUMMYFUNCTION("""COMPUTED_VALUE"""),"-55.5425995350711")</f>
        <v>-55.5425995350711</v>
      </c>
      <c r="C254" s="61">
        <f>IFERROR(__xludf.DUMMYFUNCTION("""COMPUTED_VALUE"""),1.0)</f>
        <v>1</v>
      </c>
      <c r="D254" s="61">
        <f>IFERROR(__xludf.DUMMYFUNCTION("""COMPUTED_VALUE"""),337.0)</f>
        <v>337</v>
      </c>
      <c r="E254" s="61">
        <f>IFERROR(__xludf.DUMMYFUNCTION("""COMPUTED_VALUE"""),20.0)</f>
        <v>20</v>
      </c>
      <c r="F254" s="62" t="str">
        <f>IFERROR(__xludf.DUMMYFUNCTION("""COMPUTED_VALUE"""),"https://www.google.com/maps/search/?api=1&amp;query=-30.9055760430366,-55.5425995350711")</f>
        <v>https://www.google.com/maps/search/?api=1&amp;query=-30.9055760430366,-55.5425995350711</v>
      </c>
      <c r="G254" s="63" t="str">
        <f>IFERROR(__xludf.DUMMYFUNCTION("""COMPUTED_VALUE"""),"https://earth.google.com/web/search/-30.9055760430366,-55.5425995350711")</f>
        <v>https://earth.google.com/web/search/-30.9055760430366,-55.5425995350711</v>
      </c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</row>
    <row r="255">
      <c r="A255" s="65" t="str">
        <f>IFERROR(__xludf.DUMMYFUNCTION("""COMPUTED_VALUE"""),"-30.9056510206845")</f>
        <v>-30.9056510206845</v>
      </c>
      <c r="B255" s="66" t="str">
        <f>IFERROR(__xludf.DUMMYFUNCTION("""COMPUTED_VALUE"""),"-55.5426449869553")</f>
        <v>-55.5426449869553</v>
      </c>
      <c r="C255" s="66">
        <f>IFERROR(__xludf.DUMMYFUNCTION("""COMPUTED_VALUE"""),1.0)</f>
        <v>1</v>
      </c>
      <c r="D255" s="66">
        <f>IFERROR(__xludf.DUMMYFUNCTION("""COMPUTED_VALUE"""),337.0)</f>
        <v>337</v>
      </c>
      <c r="E255" s="66">
        <f>IFERROR(__xludf.DUMMYFUNCTION("""COMPUTED_VALUE"""),21.0)</f>
        <v>21</v>
      </c>
      <c r="F255" s="67" t="str">
        <f>IFERROR(__xludf.DUMMYFUNCTION("""COMPUTED_VALUE"""),"https://www.google.com/maps/search/?api=1&amp;query=-30.9056510206845,-55.5426449869553")</f>
        <v>https://www.google.com/maps/search/?api=1&amp;query=-30.9056510206845,-55.5426449869553</v>
      </c>
      <c r="G255" s="68" t="str">
        <f>IFERROR(__xludf.DUMMYFUNCTION("""COMPUTED_VALUE"""),"https://earth.google.com/web/search/-30.9056510206845,-55.5426449869553")</f>
        <v>https://earth.google.com/web/search/-30.9056510206845,-55.5426449869553</v>
      </c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</row>
    <row r="256">
      <c r="A256" s="69" t="str">
        <f>IFERROR(__xludf.DUMMYFUNCTION("""COMPUTED_VALUE"""),"-30.9057669818182")</f>
        <v>-30.9057669818182</v>
      </c>
      <c r="B256" s="61" t="str">
        <f>IFERROR(__xludf.DUMMYFUNCTION("""COMPUTED_VALUE"""),"-55.5427322282652")</f>
        <v>-55.5427322282652</v>
      </c>
      <c r="C256" s="61">
        <f>IFERROR(__xludf.DUMMYFUNCTION("""COMPUTED_VALUE"""),1.0)</f>
        <v>1</v>
      </c>
      <c r="D256" s="61">
        <f>IFERROR(__xludf.DUMMYFUNCTION("""COMPUTED_VALUE"""),337.0)</f>
        <v>337</v>
      </c>
      <c r="E256" s="61">
        <f>IFERROR(__xludf.DUMMYFUNCTION("""COMPUTED_VALUE"""),22.0)</f>
        <v>22</v>
      </c>
      <c r="F256" s="62" t="str">
        <f>IFERROR(__xludf.DUMMYFUNCTION("""COMPUTED_VALUE"""),"https://www.google.com/maps/search/?api=1&amp;query=-30.9057669818182,-55.5427322282652")</f>
        <v>https://www.google.com/maps/search/?api=1&amp;query=-30.9057669818182,-55.5427322282652</v>
      </c>
      <c r="G256" s="63" t="str">
        <f>IFERROR(__xludf.DUMMYFUNCTION("""COMPUTED_VALUE"""),"https://earth.google.com/web/search/-30.9057669818182,-55.5427322282652")</f>
        <v>https://earth.google.com/web/search/-30.9057669818182,-55.5427322282652</v>
      </c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</row>
    <row r="257">
      <c r="A257" s="65" t="str">
        <f>IFERROR(__xludf.DUMMYFUNCTION("""COMPUTED_VALUE"""),"-30.9056305167776")</f>
        <v>-30.9056305167776</v>
      </c>
      <c r="B257" s="66" t="str">
        <f>IFERROR(__xludf.DUMMYFUNCTION("""COMPUTED_VALUE"""),"-55.5432594632674")</f>
        <v>-55.5432594632674</v>
      </c>
      <c r="C257" s="66">
        <f>IFERROR(__xludf.DUMMYFUNCTION("""COMPUTED_VALUE"""),1.0)</f>
        <v>1</v>
      </c>
      <c r="D257" s="66">
        <f>IFERROR(__xludf.DUMMYFUNCTION("""COMPUTED_VALUE"""),338.0)</f>
        <v>338</v>
      </c>
      <c r="E257" s="66">
        <f>IFERROR(__xludf.DUMMYFUNCTION("""COMPUTED_VALUE"""),1.0)</f>
        <v>1</v>
      </c>
      <c r="F257" s="67" t="str">
        <f>IFERROR(__xludf.DUMMYFUNCTION("""COMPUTED_VALUE"""),"https://www.google.com/maps/search/?api=1&amp;query=-30.9056305167776,-55.5432594632674")</f>
        <v>https://www.google.com/maps/search/?api=1&amp;query=-30.9056305167776,-55.5432594632674</v>
      </c>
      <c r="G257" s="68" t="str">
        <f>IFERROR(__xludf.DUMMYFUNCTION("""COMPUTED_VALUE"""),"https://earth.google.com/web/search/-30.9056305167776,-55.5432594632674")</f>
        <v>https://earth.google.com/web/search/-30.9056305167776,-55.5432594632674</v>
      </c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</row>
    <row r="258">
      <c r="A258" s="69" t="str">
        <f>IFERROR(__xludf.DUMMYFUNCTION("""COMPUTED_VALUE"""),"-30.9056689750018")</f>
        <v>-30.9056689750018</v>
      </c>
      <c r="B258" s="61" t="str">
        <f>IFERROR(__xludf.DUMMYFUNCTION("""COMPUTED_VALUE"""),"-55.5431781183231")</f>
        <v>-55.5431781183231</v>
      </c>
      <c r="C258" s="61">
        <f>IFERROR(__xludf.DUMMYFUNCTION("""COMPUTED_VALUE"""),1.0)</f>
        <v>1</v>
      </c>
      <c r="D258" s="61">
        <f>IFERROR(__xludf.DUMMYFUNCTION("""COMPUTED_VALUE"""),338.0)</f>
        <v>338</v>
      </c>
      <c r="E258" s="61">
        <f>IFERROR(__xludf.DUMMYFUNCTION("""COMPUTED_VALUE"""),2.0)</f>
        <v>2</v>
      </c>
      <c r="F258" s="62" t="str">
        <f>IFERROR(__xludf.DUMMYFUNCTION("""COMPUTED_VALUE"""),"https://www.google.com/maps/search/?api=1&amp;query=-30.9056689750018,-55.5431781183231")</f>
        <v>https://www.google.com/maps/search/?api=1&amp;query=-30.9056689750018,-55.5431781183231</v>
      </c>
      <c r="G258" s="63" t="str">
        <f>IFERROR(__xludf.DUMMYFUNCTION("""COMPUTED_VALUE"""),"https://earth.google.com/web/search/-30.9056689750018,-55.5431781183231")</f>
        <v>https://earth.google.com/web/search/-30.9056689750018,-55.5431781183231</v>
      </c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</row>
    <row r="259">
      <c r="A259" s="65" t="str">
        <f>IFERROR(__xludf.DUMMYFUNCTION("""COMPUTED_VALUE"""),"-30.9057226968924")</f>
        <v>-30.9057226968924</v>
      </c>
      <c r="B259" s="66" t="str">
        <f>IFERROR(__xludf.DUMMYFUNCTION("""COMPUTED_VALUE"""),"-55.5428134448025")</f>
        <v>-55.5428134448025</v>
      </c>
      <c r="C259" s="66">
        <f>IFERROR(__xludf.DUMMYFUNCTION("""COMPUTED_VALUE"""),1.0)</f>
        <v>1</v>
      </c>
      <c r="D259" s="66">
        <f>IFERROR(__xludf.DUMMYFUNCTION("""COMPUTED_VALUE"""),338.0)</f>
        <v>338</v>
      </c>
      <c r="E259" s="66">
        <f>IFERROR(__xludf.DUMMYFUNCTION("""COMPUTED_VALUE"""),3.0)</f>
        <v>3</v>
      </c>
      <c r="F259" s="67" t="str">
        <f>IFERROR(__xludf.DUMMYFUNCTION("""COMPUTED_VALUE"""),"https://www.google.com/maps/search/?api=1&amp;query=-30.9057226968924,-55.5428134448025")</f>
        <v>https://www.google.com/maps/search/?api=1&amp;query=-30.9057226968924,-55.5428134448025</v>
      </c>
      <c r="G259" s="68" t="str">
        <f>IFERROR(__xludf.DUMMYFUNCTION("""COMPUTED_VALUE"""),"https://earth.google.com/web/search/-30.9057226968924,-55.5428134448025")</f>
        <v>https://earth.google.com/web/search/-30.9057226968924,-55.5428134448025</v>
      </c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</row>
    <row r="260">
      <c r="A260" s="69" t="str">
        <f>IFERROR(__xludf.DUMMYFUNCTION("""COMPUTED_VALUE"""),"-30.9056840954301")</f>
        <v>-30.9056840954301</v>
      </c>
      <c r="B260" s="61" t="str">
        <f>IFERROR(__xludf.DUMMYFUNCTION("""COMPUTED_VALUE"""),"-55.5427838706629")</f>
        <v>-55.5427838706629</v>
      </c>
      <c r="C260" s="61">
        <f>IFERROR(__xludf.DUMMYFUNCTION("""COMPUTED_VALUE"""),1.0)</f>
        <v>1</v>
      </c>
      <c r="D260" s="61">
        <f>IFERROR(__xludf.DUMMYFUNCTION("""COMPUTED_VALUE"""),338.0)</f>
        <v>338</v>
      </c>
      <c r="E260" s="61">
        <f>IFERROR(__xludf.DUMMYFUNCTION("""COMPUTED_VALUE"""),4.0)</f>
        <v>4</v>
      </c>
      <c r="F260" s="62" t="str">
        <f>IFERROR(__xludf.DUMMYFUNCTION("""COMPUTED_VALUE"""),"https://www.google.com/maps/search/?api=1&amp;query=-30.9056840954301,-55.5427838706629")</f>
        <v>https://www.google.com/maps/search/?api=1&amp;query=-30.9056840954301,-55.5427838706629</v>
      </c>
      <c r="G260" s="63" t="str">
        <f>IFERROR(__xludf.DUMMYFUNCTION("""COMPUTED_VALUE"""),"https://earth.google.com/web/search/-30.9056840954301,-55.5427838706629")</f>
        <v>https://earth.google.com/web/search/-30.9056840954301,-55.5427838706629</v>
      </c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</row>
    <row r="261">
      <c r="A261" s="65" t="str">
        <f>IFERROR(__xludf.DUMMYFUNCTION("""COMPUTED_VALUE"""),"-30.9056231847204")</f>
        <v>-30.9056231847204</v>
      </c>
      <c r="B261" s="66" t="str">
        <f>IFERROR(__xludf.DUMMYFUNCTION("""COMPUTED_VALUE"""),"-55.5427449669821")</f>
        <v>-55.5427449669821</v>
      </c>
      <c r="C261" s="66">
        <f>IFERROR(__xludf.DUMMYFUNCTION("""COMPUTED_VALUE"""),1.0)</f>
        <v>1</v>
      </c>
      <c r="D261" s="66">
        <f>IFERROR(__xludf.DUMMYFUNCTION("""COMPUTED_VALUE"""),338.0)</f>
        <v>338</v>
      </c>
      <c r="E261" s="66">
        <f>IFERROR(__xludf.DUMMYFUNCTION("""COMPUTED_VALUE"""),5.0)</f>
        <v>5</v>
      </c>
      <c r="F261" s="67" t="str">
        <f>IFERROR(__xludf.DUMMYFUNCTION("""COMPUTED_VALUE"""),"https://www.google.com/maps/search/?api=1&amp;query=-30.9056231847204,-55.5427449669821")</f>
        <v>https://www.google.com/maps/search/?api=1&amp;query=-30.9056231847204,-55.5427449669821</v>
      </c>
      <c r="G261" s="68" t="str">
        <f>IFERROR(__xludf.DUMMYFUNCTION("""COMPUTED_VALUE"""),"https://earth.google.com/web/search/-30.9056231847204,-55.5427449669821")</f>
        <v>https://earth.google.com/web/search/-30.9056231847204,-55.5427449669821</v>
      </c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</row>
    <row r="262">
      <c r="A262" s="69" t="str">
        <f>IFERROR(__xludf.DUMMYFUNCTION("""COMPUTED_VALUE"""),"-3.0905576552958")</f>
        <v>-3.0905576552958</v>
      </c>
      <c r="B262" s="61" t="str">
        <f>IFERROR(__xludf.DUMMYFUNCTION("""COMPUTED_VALUE"""),"-55.5427115729586")</f>
        <v>-55.5427115729586</v>
      </c>
      <c r="C262" s="61">
        <f>IFERROR(__xludf.DUMMYFUNCTION("""COMPUTED_VALUE"""),1.0)</f>
        <v>1</v>
      </c>
      <c r="D262" s="61">
        <f>IFERROR(__xludf.DUMMYFUNCTION("""COMPUTED_VALUE"""),338.0)</f>
        <v>338</v>
      </c>
      <c r="E262" s="61">
        <f>IFERROR(__xludf.DUMMYFUNCTION("""COMPUTED_VALUE"""),6.0)</f>
        <v>6</v>
      </c>
      <c r="F262" s="62" t="str">
        <f>IFERROR(__xludf.DUMMYFUNCTION("""COMPUTED_VALUE"""),"https://www.google.com/maps/search/?api=1&amp;query=-3.0905576552958,-55.5427115729586")</f>
        <v>https://www.google.com/maps/search/?api=1&amp;query=-3.0905576552958,-55.5427115729586</v>
      </c>
      <c r="G262" s="63" t="str">
        <f>IFERROR(__xludf.DUMMYFUNCTION("""COMPUTED_VALUE"""),"https://earth.google.com/web/search/-3.0905576552958,-55.5427115729586")</f>
        <v>https://earth.google.com/web/search/-3.0905576552958,-55.5427115729586</v>
      </c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</row>
    <row r="263">
      <c r="A263" s="65" t="str">
        <f>IFERROR(__xludf.DUMMYFUNCTION("""COMPUTED_VALUE"""),"-30.9055288652254")</f>
        <v>-30.9055288652254</v>
      </c>
      <c r="B263" s="66" t="str">
        <f>IFERROR(__xludf.DUMMYFUNCTION("""COMPUTED_VALUE"""),"-5.5542681319269")</f>
        <v>-5.5542681319269</v>
      </c>
      <c r="C263" s="66">
        <f>IFERROR(__xludf.DUMMYFUNCTION("""COMPUTED_VALUE"""),1.0)</f>
        <v>1</v>
      </c>
      <c r="D263" s="66">
        <f>IFERROR(__xludf.DUMMYFUNCTION("""COMPUTED_VALUE"""),338.0)</f>
        <v>338</v>
      </c>
      <c r="E263" s="66">
        <f>IFERROR(__xludf.DUMMYFUNCTION("""COMPUTED_VALUE"""),7.0)</f>
        <v>7</v>
      </c>
      <c r="F263" s="67" t="str">
        <f>IFERROR(__xludf.DUMMYFUNCTION("""COMPUTED_VALUE"""),"https://www.google.com/maps/search/?api=1&amp;query=-30.9055288652254,-5.5542681319269")</f>
        <v>https://www.google.com/maps/search/?api=1&amp;query=-30.9055288652254,-5.5542681319269</v>
      </c>
      <c r="G263" s="68" t="str">
        <f>IFERROR(__xludf.DUMMYFUNCTION("""COMPUTED_VALUE"""),"https://earth.google.com/web/search/-30.9055288652254,-5.5542681319269")</f>
        <v>https://earth.google.com/web/search/-30.9055288652254,-5.5542681319269</v>
      </c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</row>
    <row r="264">
      <c r="A264" s="69" t="str">
        <f>IFERROR(__xludf.DUMMYFUNCTION("""COMPUTED_VALUE"""),"-30.9053946517649")</f>
        <v>-30.9053946517649</v>
      </c>
      <c r="B264" s="61" t="str">
        <f>IFERROR(__xludf.DUMMYFUNCTION("""COMPUTED_VALUE"""),"-55.5425913531961")</f>
        <v>-55.5425913531961</v>
      </c>
      <c r="C264" s="61">
        <f>IFERROR(__xludf.DUMMYFUNCTION("""COMPUTED_VALUE"""),1.0)</f>
        <v>1</v>
      </c>
      <c r="D264" s="61">
        <f>IFERROR(__xludf.DUMMYFUNCTION("""COMPUTED_VALUE"""),338.0)</f>
        <v>338</v>
      </c>
      <c r="E264" s="61">
        <f>IFERROR(__xludf.DUMMYFUNCTION("""COMPUTED_VALUE"""),9.0)</f>
        <v>9</v>
      </c>
      <c r="F264" s="62" t="str">
        <f>IFERROR(__xludf.DUMMYFUNCTION("""COMPUTED_VALUE"""),"https://www.google.com/maps/search/?api=1&amp;query=-30.9053946517649,-55.5425913531961")</f>
        <v>https://www.google.com/maps/search/?api=1&amp;query=-30.9053946517649,-55.5425913531961</v>
      </c>
      <c r="G264" s="63" t="str">
        <f>IFERROR(__xludf.DUMMYFUNCTION("""COMPUTED_VALUE"""),"https://earth.google.com/web/search/-30.9053946517649,-55.5425913531961")</f>
        <v>https://earth.google.com/web/search/-30.9053946517649,-55.5425913531961</v>
      </c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</row>
    <row r="265">
      <c r="A265" s="65" t="str">
        <f>IFERROR(__xludf.DUMMYFUNCTION("""COMPUTED_VALUE"""),"-30.9051918364551")</f>
        <v>-30.9051918364551</v>
      </c>
      <c r="B265" s="66" t="str">
        <f>IFERROR(__xludf.DUMMYFUNCTION("""COMPUTED_VALUE"""),"-55.5424485774027")</f>
        <v>-55.5424485774027</v>
      </c>
      <c r="C265" s="66">
        <f>IFERROR(__xludf.DUMMYFUNCTION("""COMPUTED_VALUE"""),1.0)</f>
        <v>1</v>
      </c>
      <c r="D265" s="66">
        <f>IFERROR(__xludf.DUMMYFUNCTION("""COMPUTED_VALUE"""),338.0)</f>
        <v>338</v>
      </c>
      <c r="E265" s="66">
        <f>IFERROR(__xludf.DUMMYFUNCTION("""COMPUTED_VALUE"""),10.0)</f>
        <v>10</v>
      </c>
      <c r="F265" s="67" t="str">
        <f>IFERROR(__xludf.DUMMYFUNCTION("""COMPUTED_VALUE"""),"https://www.google.com/maps/search/?api=1&amp;query=-30.9051918364551,-55.5424485774027")</f>
        <v>https://www.google.com/maps/search/?api=1&amp;query=-30.9051918364551,-55.5424485774027</v>
      </c>
      <c r="G265" s="68" t="str">
        <f>IFERROR(__xludf.DUMMYFUNCTION("""COMPUTED_VALUE"""),"https://earth.google.com/web/search/-30.9051918364551,-55.5424485774027")</f>
        <v>https://earth.google.com/web/search/-30.9051918364551,-55.5424485774027</v>
      </c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</row>
    <row r="266">
      <c r="A266" s="69" t="str">
        <f>IFERROR(__xludf.DUMMYFUNCTION("""COMPUTED_VALUE"""),"-30.9050591705561")</f>
        <v>-30.9050591705561</v>
      </c>
      <c r="B266" s="61" t="str">
        <f>IFERROR(__xludf.DUMMYFUNCTION("""COMPUTED_VALUE"""),"-55.5425021126981")</f>
        <v>-55.5425021126981</v>
      </c>
      <c r="C266" s="61">
        <f>IFERROR(__xludf.DUMMYFUNCTION("""COMPUTED_VALUE"""),1.0)</f>
        <v>1</v>
      </c>
      <c r="D266" s="61">
        <f>IFERROR(__xludf.DUMMYFUNCTION("""COMPUTED_VALUE"""),338.0)</f>
        <v>338</v>
      </c>
      <c r="E266" s="61">
        <f>IFERROR(__xludf.DUMMYFUNCTION("""COMPUTED_VALUE"""),11.0)</f>
        <v>11</v>
      </c>
      <c r="F266" s="62" t="str">
        <f>IFERROR(__xludf.DUMMYFUNCTION("""COMPUTED_VALUE"""),"https://www.google.com/maps/search/?api=1&amp;query=-30.9050591705561,-55.5425021126981")</f>
        <v>https://www.google.com/maps/search/?api=1&amp;query=-30.9050591705561,-55.5425021126981</v>
      </c>
      <c r="G266" s="63" t="str">
        <f>IFERROR(__xludf.DUMMYFUNCTION("""COMPUTED_VALUE"""),"https://earth.google.com/web/search/-30.9050591705561,-55.5425021126981")</f>
        <v>https://earth.google.com/web/search/-30.9050591705561,-55.5425021126981</v>
      </c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</row>
    <row r="267">
      <c r="A267" s="65" t="str">
        <f>IFERROR(__xludf.DUMMYFUNCTION("""COMPUTED_VALUE"""),"-30.9049744703999")</f>
        <v>-30.9049744703999</v>
      </c>
      <c r="B267" s="66" t="str">
        <f>IFERROR(__xludf.DUMMYFUNCTION("""COMPUTED_VALUE"""),"-55.5426460528014")</f>
        <v>-55.5426460528014</v>
      </c>
      <c r="C267" s="66">
        <f>IFERROR(__xludf.DUMMYFUNCTION("""COMPUTED_VALUE"""),1.0)</f>
        <v>1</v>
      </c>
      <c r="D267" s="66">
        <f>IFERROR(__xludf.DUMMYFUNCTION("""COMPUTED_VALUE"""),338.0)</f>
        <v>338</v>
      </c>
      <c r="E267" s="66">
        <f>IFERROR(__xludf.DUMMYFUNCTION("""COMPUTED_VALUE"""),12.0)</f>
        <v>12</v>
      </c>
      <c r="F267" s="67" t="str">
        <f>IFERROR(__xludf.DUMMYFUNCTION("""COMPUTED_VALUE"""),"https://www.google.com/maps/search/?api=1&amp;query=-30.9049744703999,-55.5426460528014")</f>
        <v>https://www.google.com/maps/search/?api=1&amp;query=-30.9049744703999,-55.5426460528014</v>
      </c>
      <c r="G267" s="68" t="str">
        <f>IFERROR(__xludf.DUMMYFUNCTION("""COMPUTED_VALUE"""),"https://earth.google.com/web/search/-30.9049744703999,-55.5426460528014")</f>
        <v>https://earth.google.com/web/search/-30.9049744703999,-55.5426460528014</v>
      </c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</row>
    <row r="268">
      <c r="A268" s="69" t="str">
        <f>IFERROR(__xludf.DUMMYFUNCTION("""COMPUTED_VALUE"""),"-30.9049485337524")</f>
        <v>-30.9049485337524</v>
      </c>
      <c r="B268" s="61" t="str">
        <f>IFERROR(__xludf.DUMMYFUNCTION("""COMPUTED_VALUE"""),"-55.5426874429198")</f>
        <v>-55.5426874429198</v>
      </c>
      <c r="C268" s="61">
        <f>IFERROR(__xludf.DUMMYFUNCTION("""COMPUTED_VALUE"""),1.0)</f>
        <v>1</v>
      </c>
      <c r="D268" s="61">
        <f>IFERROR(__xludf.DUMMYFUNCTION("""COMPUTED_VALUE"""),338.0)</f>
        <v>338</v>
      </c>
      <c r="E268" s="61">
        <f>IFERROR(__xludf.DUMMYFUNCTION("""COMPUTED_VALUE"""),13.0)</f>
        <v>13</v>
      </c>
      <c r="F268" s="62" t="str">
        <f>IFERROR(__xludf.DUMMYFUNCTION("""COMPUTED_VALUE"""),"https://www.google.com/maps/search/?api=1&amp;query=-30.9049485337524,-55.5426874429198")</f>
        <v>https://www.google.com/maps/search/?api=1&amp;query=-30.9049485337524,-55.5426874429198</v>
      </c>
      <c r="G268" s="63" t="str">
        <f>IFERROR(__xludf.DUMMYFUNCTION("""COMPUTED_VALUE"""),"https://earth.google.com/web/search/-30.9049485337524,-55.5426874429198")</f>
        <v>https://earth.google.com/web/search/-30.9049485337524,-55.5426874429198</v>
      </c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</row>
    <row r="269">
      <c r="A269" s="65" t="str">
        <f>IFERROR(__xludf.DUMMYFUNCTION("""COMPUTED_VALUE"""),"-30.9048308866265")</f>
        <v>-30.9048308866265</v>
      </c>
      <c r="B269" s="66" t="str">
        <f>IFERROR(__xludf.DUMMYFUNCTION("""COMPUTED_VALUE"""),"-55.5428958962636")</f>
        <v>-55.5428958962636</v>
      </c>
      <c r="C269" s="66">
        <f>IFERROR(__xludf.DUMMYFUNCTION("""COMPUTED_VALUE"""),1.0)</f>
        <v>1</v>
      </c>
      <c r="D269" s="66">
        <f>IFERROR(__xludf.DUMMYFUNCTION("""COMPUTED_VALUE"""),338.0)</f>
        <v>338</v>
      </c>
      <c r="E269" s="66">
        <f>IFERROR(__xludf.DUMMYFUNCTION("""COMPUTED_VALUE"""),14.0)</f>
        <v>14</v>
      </c>
      <c r="F269" s="67" t="str">
        <f>IFERROR(__xludf.DUMMYFUNCTION("""COMPUTED_VALUE"""),"https://www.google.com/maps/search/?api=1&amp;query=-30.9048308866265,-55.5428958962636")</f>
        <v>https://www.google.com/maps/search/?api=1&amp;query=-30.9048308866265,-55.5428958962636</v>
      </c>
      <c r="G269" s="68" t="str">
        <f>IFERROR(__xludf.DUMMYFUNCTION("""COMPUTED_VALUE"""),"https://earth.google.com/web/search/-30.9048308866265,-55.5428958962636")</f>
        <v>https://earth.google.com/web/search/-30.9048308866265,-55.5428958962636</v>
      </c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</row>
    <row r="270">
      <c r="A270" s="69" t="str">
        <f>IFERROR(__xludf.DUMMYFUNCTION("""COMPUTED_VALUE"""),"-30.9047722680471")</f>
        <v>-30.9047722680471</v>
      </c>
      <c r="B270" s="61" t="str">
        <f>IFERROR(__xludf.DUMMYFUNCTION("""COMPUTED_VALUE"""),"-55.5430138496469")</f>
        <v>-55.5430138496469</v>
      </c>
      <c r="C270" s="61">
        <f>IFERROR(__xludf.DUMMYFUNCTION("""COMPUTED_VALUE"""),1.0)</f>
        <v>1</v>
      </c>
      <c r="D270" s="61">
        <f>IFERROR(__xludf.DUMMYFUNCTION("""COMPUTED_VALUE"""),338.0)</f>
        <v>338</v>
      </c>
      <c r="E270" s="61">
        <f>IFERROR(__xludf.DUMMYFUNCTION("""COMPUTED_VALUE"""),15.0)</f>
        <v>15</v>
      </c>
      <c r="F270" s="62" t="str">
        <f>IFERROR(__xludf.DUMMYFUNCTION("""COMPUTED_VALUE"""),"https://www.google.com/maps/search/?api=1&amp;query=-30.9047722680471,-55.5430138496469")</f>
        <v>https://www.google.com/maps/search/?api=1&amp;query=-30.9047722680471,-55.5430138496469</v>
      </c>
      <c r="G270" s="63" t="str">
        <f>IFERROR(__xludf.DUMMYFUNCTION("""COMPUTED_VALUE"""),"https://earth.google.com/web/search/-30.9047722680471,-55.5430138496469")</f>
        <v>https://earth.google.com/web/search/-30.9047722680471,-55.5430138496469</v>
      </c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</row>
    <row r="271">
      <c r="A271" s="65" t="str">
        <f>IFERROR(__xludf.DUMMYFUNCTION("""COMPUTED_VALUE"""),"-30.9048100946359")</f>
        <v>-30.9048100946359</v>
      </c>
      <c r="B271" s="66" t="str">
        <f>IFERROR(__xludf.DUMMYFUNCTION("""COMPUTED_VALUE"""),"-55.5432848753061")</f>
        <v>-55.5432848753061</v>
      </c>
      <c r="C271" s="66">
        <f>IFERROR(__xludf.DUMMYFUNCTION("""COMPUTED_VALUE"""),1.0)</f>
        <v>1</v>
      </c>
      <c r="D271" s="66">
        <f>IFERROR(__xludf.DUMMYFUNCTION("""COMPUTED_VALUE"""),338.0)</f>
        <v>338</v>
      </c>
      <c r="E271" s="66">
        <f>IFERROR(__xludf.DUMMYFUNCTION("""COMPUTED_VALUE"""),16.0)</f>
        <v>16</v>
      </c>
      <c r="F271" s="67" t="str">
        <f>IFERROR(__xludf.DUMMYFUNCTION("""COMPUTED_VALUE"""),"https://www.google.com/maps/search/?api=1&amp;query=-30.9048100946359,-55.5432848753061")</f>
        <v>https://www.google.com/maps/search/?api=1&amp;query=-30.9048100946359,-55.5432848753061</v>
      </c>
      <c r="G271" s="68" t="str">
        <f>IFERROR(__xludf.DUMMYFUNCTION("""COMPUTED_VALUE"""),"https://earth.google.com/web/search/-30.9048100946359,-55.5432848753061")</f>
        <v>https://earth.google.com/web/search/-30.9048100946359,-55.5432848753061</v>
      </c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</row>
    <row r="272">
      <c r="A272" s="69" t="str">
        <f>IFERROR(__xludf.DUMMYFUNCTION("""COMPUTED_VALUE"""),"-30.9050311966242")</f>
        <v>-30.9050311966242</v>
      </c>
      <c r="B272" s="61" t="str">
        <f>IFERROR(__xludf.DUMMYFUNCTION("""COMPUTED_VALUE"""),"-5.5543447052536")</f>
        <v>-5.5543447052536</v>
      </c>
      <c r="C272" s="61">
        <f>IFERROR(__xludf.DUMMYFUNCTION("""COMPUTED_VALUE"""),1.0)</f>
        <v>1</v>
      </c>
      <c r="D272" s="61">
        <f>IFERROR(__xludf.DUMMYFUNCTION("""COMPUTED_VALUE"""),338.0)</f>
        <v>338</v>
      </c>
      <c r="E272" s="61">
        <f>IFERROR(__xludf.DUMMYFUNCTION("""COMPUTED_VALUE"""),17.0)</f>
        <v>17</v>
      </c>
      <c r="F272" s="62" t="str">
        <f>IFERROR(__xludf.DUMMYFUNCTION("""COMPUTED_VALUE"""),"https://www.google.com/maps/search/?api=1&amp;query=-30.9050311966242,-5.5543447052536")</f>
        <v>https://www.google.com/maps/search/?api=1&amp;query=-30.9050311966242,-5.5543447052536</v>
      </c>
      <c r="G272" s="63" t="str">
        <f>IFERROR(__xludf.DUMMYFUNCTION("""COMPUTED_VALUE"""),"https://earth.google.com/web/search/-30.9050311966242,-5.5543447052536")</f>
        <v>https://earth.google.com/web/search/-30.9050311966242,-5.5543447052536</v>
      </c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</row>
    <row r="273">
      <c r="A273" s="65" t="str">
        <f>IFERROR(__xludf.DUMMYFUNCTION("""COMPUTED_VALUE"""),"-0.3090512672296")</f>
        <v>-0.3090512672296</v>
      </c>
      <c r="B273" s="66" t="str">
        <f>IFERROR(__xludf.DUMMYFUNCTION("""COMPUTED_VALUE"""),"-55.5435170089781")</f>
        <v>-55.5435170089781</v>
      </c>
      <c r="C273" s="66">
        <f>IFERROR(__xludf.DUMMYFUNCTION("""COMPUTED_VALUE"""),1.0)</f>
        <v>1</v>
      </c>
      <c r="D273" s="66">
        <f>IFERROR(__xludf.DUMMYFUNCTION("""COMPUTED_VALUE"""),338.0)</f>
        <v>338</v>
      </c>
      <c r="E273" s="66">
        <f>IFERROR(__xludf.DUMMYFUNCTION("""COMPUTED_VALUE"""),18.0)</f>
        <v>18</v>
      </c>
      <c r="F273" s="67" t="str">
        <f>IFERROR(__xludf.DUMMYFUNCTION("""COMPUTED_VALUE"""),"https://www.google.com/maps/search/?api=1&amp;query=-0.3090512672296,-55.5435170089781")</f>
        <v>https://www.google.com/maps/search/?api=1&amp;query=-0.3090512672296,-55.5435170089781</v>
      </c>
      <c r="G273" s="68" t="str">
        <f>IFERROR(__xludf.DUMMYFUNCTION("""COMPUTED_VALUE"""),"https://earth.google.com/web/search/-0.3090512672296,-55.5435170089781")</f>
        <v>https://earth.google.com/web/search/-0.3090512672296,-55.5435170089781</v>
      </c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</row>
    <row r="274">
      <c r="A274" s="69" t="str">
        <f>IFERROR(__xludf.DUMMYFUNCTION("""COMPUTED_VALUE"""),"-30.9051879830672")</f>
        <v>-30.9051879830672</v>
      </c>
      <c r="B274" s="61" t="str">
        <f>IFERROR(__xludf.DUMMYFUNCTION("""COMPUTED_VALUE"""),"-5.5543555144343")</f>
        <v>-5.5543555144343</v>
      </c>
      <c r="C274" s="61">
        <f>IFERROR(__xludf.DUMMYFUNCTION("""COMPUTED_VALUE"""),1.0)</f>
        <v>1</v>
      </c>
      <c r="D274" s="61">
        <f>IFERROR(__xludf.DUMMYFUNCTION("""COMPUTED_VALUE"""),338.0)</f>
        <v>338</v>
      </c>
      <c r="E274" s="61">
        <f>IFERROR(__xludf.DUMMYFUNCTION("""COMPUTED_VALUE"""),19.0)</f>
        <v>19</v>
      </c>
      <c r="F274" s="62" t="str">
        <f>IFERROR(__xludf.DUMMYFUNCTION("""COMPUTED_VALUE"""),"https://www.google.com/maps/search/?api=1&amp;query=-30.9051879830672,-5.5543555144343")</f>
        <v>https://www.google.com/maps/search/?api=1&amp;query=-30.9051879830672,-5.5543555144343</v>
      </c>
      <c r="G274" s="63" t="str">
        <f>IFERROR(__xludf.DUMMYFUNCTION("""COMPUTED_VALUE"""),"https://earth.google.com/web/search/-30.9051879830672,-5.5543555144343")</f>
        <v>https://earth.google.com/web/search/-30.9051879830672,-5.5543555144343</v>
      </c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</row>
    <row r="275">
      <c r="A275" s="65" t="str">
        <f>IFERROR(__xludf.DUMMYFUNCTION("""COMPUTED_VALUE"""),"-30.9052421223797")</f>
        <v>-30.9052421223797</v>
      </c>
      <c r="B275" s="66" t="str">
        <f>IFERROR(__xludf.DUMMYFUNCTION("""COMPUTED_VALUE"""),"-55.5436008789186")</f>
        <v>-55.5436008789186</v>
      </c>
      <c r="C275" s="66">
        <f>IFERROR(__xludf.DUMMYFUNCTION("""COMPUTED_VALUE"""),1.0)</f>
        <v>1</v>
      </c>
      <c r="D275" s="66">
        <f>IFERROR(__xludf.DUMMYFUNCTION("""COMPUTED_VALUE"""),338.0)</f>
        <v>338</v>
      </c>
      <c r="E275" s="66">
        <f>IFERROR(__xludf.DUMMYFUNCTION("""COMPUTED_VALUE"""),20.0)</f>
        <v>20</v>
      </c>
      <c r="F275" s="67" t="str">
        <f>IFERROR(__xludf.DUMMYFUNCTION("""COMPUTED_VALUE"""),"https://www.google.com/maps/search/?api=1&amp;query=-30.9052421223797,-55.5436008789186")</f>
        <v>https://www.google.com/maps/search/?api=1&amp;query=-30.9052421223797,-55.5436008789186</v>
      </c>
      <c r="G275" s="68" t="str">
        <f>IFERROR(__xludf.DUMMYFUNCTION("""COMPUTED_VALUE"""),"https://earth.google.com/web/search/-30.9052421223797,-55.5436008789186")</f>
        <v>https://earth.google.com/web/search/-30.9052421223797,-55.5436008789186</v>
      </c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</row>
    <row r="276">
      <c r="A276" s="69" t="str">
        <f>IFERROR(__xludf.DUMMYFUNCTION("""COMPUTED_VALUE"""),"-30.9037334736476")</f>
        <v>-30.9037334736476</v>
      </c>
      <c r="B276" s="61" t="str">
        <f>IFERROR(__xludf.DUMMYFUNCTION("""COMPUTED_VALUE"""),"-55.5450153486376")</f>
        <v>-55.5450153486376</v>
      </c>
      <c r="C276" s="61">
        <f>IFERROR(__xludf.DUMMYFUNCTION("""COMPUTED_VALUE"""),1.0)</f>
        <v>1</v>
      </c>
      <c r="D276" s="61">
        <f>IFERROR(__xludf.DUMMYFUNCTION("""COMPUTED_VALUE"""),339.0)</f>
        <v>339</v>
      </c>
      <c r="E276" s="61">
        <f>IFERROR(__xludf.DUMMYFUNCTION("""COMPUTED_VALUE"""),1.0)</f>
        <v>1</v>
      </c>
      <c r="F276" s="62" t="str">
        <f>IFERROR(__xludf.DUMMYFUNCTION("""COMPUTED_VALUE"""),"https://www.google.com/maps/search/?api=1&amp;query=-30.9037334736476,-55.5450153486376")</f>
        <v>https://www.google.com/maps/search/?api=1&amp;query=-30.9037334736476,-55.5450153486376</v>
      </c>
      <c r="G276" s="63" t="str">
        <f>IFERROR(__xludf.DUMMYFUNCTION("""COMPUTED_VALUE"""),"https://earth.google.com/web/search/-30.9037334736476,-55.5450153486376")</f>
        <v>https://earth.google.com/web/search/-30.9037334736476,-55.5450153486376</v>
      </c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</row>
    <row r="277">
      <c r="A277" s="65" t="str">
        <f>IFERROR(__xludf.DUMMYFUNCTION("""COMPUTED_VALUE"""),"-30.9037909111107")</f>
        <v>-30.9037909111107</v>
      </c>
      <c r="B277" s="66" t="str">
        <f>IFERROR(__xludf.DUMMYFUNCTION("""COMPUTED_VALUE"""),"-55.5449158293535")</f>
        <v>-55.5449158293535</v>
      </c>
      <c r="C277" s="66">
        <f>IFERROR(__xludf.DUMMYFUNCTION("""COMPUTED_VALUE"""),1.0)</f>
        <v>1</v>
      </c>
      <c r="D277" s="66">
        <f>IFERROR(__xludf.DUMMYFUNCTION("""COMPUTED_VALUE"""),339.0)</f>
        <v>339</v>
      </c>
      <c r="E277" s="66">
        <f>IFERROR(__xludf.DUMMYFUNCTION("""COMPUTED_VALUE"""),2.0)</f>
        <v>2</v>
      </c>
      <c r="F277" s="67" t="str">
        <f>IFERROR(__xludf.DUMMYFUNCTION("""COMPUTED_VALUE"""),"https://www.google.com/maps/search/?api=1&amp;query=-30.9037909111107,-55.5449158293535")</f>
        <v>https://www.google.com/maps/search/?api=1&amp;query=-30.9037909111107,-55.5449158293535</v>
      </c>
      <c r="G277" s="68" t="str">
        <f>IFERROR(__xludf.DUMMYFUNCTION("""COMPUTED_VALUE"""),"https://earth.google.com/web/search/-30.9037909111107,-55.5449158293535")</f>
        <v>https://earth.google.com/web/search/-30.9037909111107,-55.5449158293535</v>
      </c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</row>
    <row r="278">
      <c r="A278" s="69" t="str">
        <f>IFERROR(__xludf.DUMMYFUNCTION("""COMPUTED_VALUE"""),"-30.9039287051349")</f>
        <v>-30.9039287051349</v>
      </c>
      <c r="B278" s="61" t="str">
        <f>IFERROR(__xludf.DUMMYFUNCTION("""COMPUTED_VALUE"""),"-55.5446435215858")</f>
        <v>-55.5446435215858</v>
      </c>
      <c r="C278" s="61">
        <f>IFERROR(__xludf.DUMMYFUNCTION("""COMPUTED_VALUE"""),1.0)</f>
        <v>1</v>
      </c>
      <c r="D278" s="61">
        <f>IFERROR(__xludf.DUMMYFUNCTION("""COMPUTED_VALUE"""),339.0)</f>
        <v>339</v>
      </c>
      <c r="E278" s="61">
        <f>IFERROR(__xludf.DUMMYFUNCTION("""COMPUTED_VALUE"""),3.0)</f>
        <v>3</v>
      </c>
      <c r="F278" s="62" t="str">
        <f>IFERROR(__xludf.DUMMYFUNCTION("""COMPUTED_VALUE"""),"https://www.google.com/maps/search/?api=1&amp;query=-30.9039287051349,-55.5446435215858")</f>
        <v>https://www.google.com/maps/search/?api=1&amp;query=-30.9039287051349,-55.5446435215858</v>
      </c>
      <c r="G278" s="63" t="str">
        <f>IFERROR(__xludf.DUMMYFUNCTION("""COMPUTED_VALUE"""),"https://earth.google.com/web/search/-30.9039287051349,-55.5446435215858")</f>
        <v>https://earth.google.com/web/search/-30.9039287051349,-55.5446435215858</v>
      </c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</row>
    <row r="279">
      <c r="A279" s="65" t="str">
        <f>IFERROR(__xludf.DUMMYFUNCTION("""COMPUTED_VALUE"""),"-30.9039505882959")</f>
        <v>-30.9039505882959</v>
      </c>
      <c r="B279" s="66" t="str">
        <f>IFERROR(__xludf.DUMMYFUNCTION("""COMPUTED_VALUE"""),"-55.5446074576412")</f>
        <v>-55.5446074576412</v>
      </c>
      <c r="C279" s="66">
        <f>IFERROR(__xludf.DUMMYFUNCTION("""COMPUTED_VALUE"""),1.0)</f>
        <v>1</v>
      </c>
      <c r="D279" s="66">
        <f>IFERROR(__xludf.DUMMYFUNCTION("""COMPUTED_VALUE"""),339.0)</f>
        <v>339</v>
      </c>
      <c r="E279" s="66">
        <f>IFERROR(__xludf.DUMMYFUNCTION("""COMPUTED_VALUE"""),4.0)</f>
        <v>4</v>
      </c>
      <c r="F279" s="67" t="str">
        <f>IFERROR(__xludf.DUMMYFUNCTION("""COMPUTED_VALUE"""),"https://www.google.com/maps/search/?api=1&amp;query=-30.9039505882959,-55.5446074576412")</f>
        <v>https://www.google.com/maps/search/?api=1&amp;query=-30.9039505882959,-55.5446074576412</v>
      </c>
      <c r="G279" s="68" t="str">
        <f>IFERROR(__xludf.DUMMYFUNCTION("""COMPUTED_VALUE"""),"https://earth.google.com/web/search/-30.9039505882959,-55.5446074576412")</f>
        <v>https://earth.google.com/web/search/-30.9039505882959,-55.5446074576412</v>
      </c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</row>
    <row r="280">
      <c r="A280" s="69" t="str">
        <f>IFERROR(__xludf.DUMMYFUNCTION("""COMPUTED_VALUE"""),"-30.9039919928929")</f>
        <v>-30.9039919928929</v>
      </c>
      <c r="B280" s="61" t="str">
        <f>IFERROR(__xludf.DUMMYFUNCTION("""COMPUTED_VALUE"""),"-55.5445124036435")</f>
        <v>-55.5445124036435</v>
      </c>
      <c r="C280" s="61">
        <f>IFERROR(__xludf.DUMMYFUNCTION("""COMPUTED_VALUE"""),1.0)</f>
        <v>1</v>
      </c>
      <c r="D280" s="61">
        <f>IFERROR(__xludf.DUMMYFUNCTION("""COMPUTED_VALUE"""),339.0)</f>
        <v>339</v>
      </c>
      <c r="E280" s="61">
        <f>IFERROR(__xludf.DUMMYFUNCTION("""COMPUTED_VALUE"""),5.0)</f>
        <v>5</v>
      </c>
      <c r="F280" s="62" t="str">
        <f>IFERROR(__xludf.DUMMYFUNCTION("""COMPUTED_VALUE"""),"https://www.google.com/maps/search/?api=1&amp;query=-30.9039919928929,-55.5445124036435")</f>
        <v>https://www.google.com/maps/search/?api=1&amp;query=-30.9039919928929,-55.5445124036435</v>
      </c>
      <c r="G280" s="63" t="str">
        <f>IFERROR(__xludf.DUMMYFUNCTION("""COMPUTED_VALUE"""),"https://earth.google.com/web/search/-30.9039919928929,-55.5445124036435")</f>
        <v>https://earth.google.com/web/search/-30.9039919928929,-55.5445124036435</v>
      </c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</row>
    <row r="281">
      <c r="A281" s="65" t="str">
        <f>IFERROR(__xludf.DUMMYFUNCTION("""COMPUTED_VALUE"""),"-30.9040514810347")</f>
        <v>-30.9040514810347</v>
      </c>
      <c r="B281" s="66" t="str">
        <f>IFERROR(__xludf.DUMMYFUNCTION("""COMPUTED_VALUE"""),"-5.5544392433398")</f>
        <v>-5.5544392433398</v>
      </c>
      <c r="C281" s="66">
        <f>IFERROR(__xludf.DUMMYFUNCTION("""COMPUTED_VALUE"""),1.0)</f>
        <v>1</v>
      </c>
      <c r="D281" s="66">
        <f>IFERROR(__xludf.DUMMYFUNCTION("""COMPUTED_VALUE"""),339.0)</f>
        <v>339</v>
      </c>
      <c r="E281" s="66">
        <f>IFERROR(__xludf.DUMMYFUNCTION("""COMPUTED_VALUE"""),6.0)</f>
        <v>6</v>
      </c>
      <c r="F281" s="67" t="str">
        <f>IFERROR(__xludf.DUMMYFUNCTION("""COMPUTED_VALUE"""),"https://www.google.com/maps/search/?api=1&amp;query=-30.9040514810347,-5.5544392433398")</f>
        <v>https://www.google.com/maps/search/?api=1&amp;query=-30.9040514810347,-5.5544392433398</v>
      </c>
      <c r="G281" s="68" t="str">
        <f>IFERROR(__xludf.DUMMYFUNCTION("""COMPUTED_VALUE"""),"https://earth.google.com/web/search/-30.9040514810347,-5.5544392433398")</f>
        <v>https://earth.google.com/web/search/-30.9040514810347,-5.5544392433398</v>
      </c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</row>
    <row r="282">
      <c r="A282" s="69" t="str">
        <f>IFERROR(__xludf.DUMMYFUNCTION("""COMPUTED_VALUE"""),"-30.9042667321262")</f>
        <v>-30.9042667321262</v>
      </c>
      <c r="B282" s="61" t="str">
        <f>IFERROR(__xludf.DUMMYFUNCTION("""COMPUTED_VALUE"""),"-55.5443335512771")</f>
        <v>-55.5443335512771</v>
      </c>
      <c r="C282" s="61">
        <f>IFERROR(__xludf.DUMMYFUNCTION("""COMPUTED_VALUE"""),1.0)</f>
        <v>1</v>
      </c>
      <c r="D282" s="61">
        <f>IFERROR(__xludf.DUMMYFUNCTION("""COMPUTED_VALUE"""),339.0)</f>
        <v>339</v>
      </c>
      <c r="E282" s="61">
        <f>IFERROR(__xludf.DUMMYFUNCTION("""COMPUTED_VALUE"""),7.0)</f>
        <v>7</v>
      </c>
      <c r="F282" s="62" t="str">
        <f>IFERROR(__xludf.DUMMYFUNCTION("""COMPUTED_VALUE"""),"https://www.google.com/maps/search/?api=1&amp;query=-30.9042667321262,-55.5443335512771")</f>
        <v>https://www.google.com/maps/search/?api=1&amp;query=-30.9042667321262,-55.5443335512771</v>
      </c>
      <c r="G282" s="63" t="str">
        <f>IFERROR(__xludf.DUMMYFUNCTION("""COMPUTED_VALUE"""),"https://earth.google.com/web/search/-30.9042667321262,-55.5443335512771")</f>
        <v>https://earth.google.com/web/search/-30.9042667321262,-55.5443335512771</v>
      </c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</row>
    <row r="283">
      <c r="A283" s="65" t="str">
        <f>IFERROR(__xludf.DUMMYFUNCTION("""COMPUTED_VALUE"""),"-30.9043425103827")</f>
        <v>-30.9043425103827</v>
      </c>
      <c r="B283" s="66" t="str">
        <f>IFERROR(__xludf.DUMMYFUNCTION("""COMPUTED_VALUE"""),"-55.5443874042899")</f>
        <v>-55.5443874042899</v>
      </c>
      <c r="C283" s="66">
        <f>IFERROR(__xludf.DUMMYFUNCTION("""COMPUTED_VALUE"""),1.0)</f>
        <v>1</v>
      </c>
      <c r="D283" s="66">
        <f>IFERROR(__xludf.DUMMYFUNCTION("""COMPUTED_VALUE"""),339.0)</f>
        <v>339</v>
      </c>
      <c r="E283" s="66">
        <f>IFERROR(__xludf.DUMMYFUNCTION("""COMPUTED_VALUE"""),8.0)</f>
        <v>8</v>
      </c>
      <c r="F283" s="67" t="str">
        <f>IFERROR(__xludf.DUMMYFUNCTION("""COMPUTED_VALUE"""),"https://www.google.com/maps/search/?api=1&amp;query=-30.9043425103827,-55.5443874042899")</f>
        <v>https://www.google.com/maps/search/?api=1&amp;query=-30.9043425103827,-55.5443874042899</v>
      </c>
      <c r="G283" s="68" t="str">
        <f>IFERROR(__xludf.DUMMYFUNCTION("""COMPUTED_VALUE"""),"https://earth.google.com/web/search/-30.9043425103827,-55.5443874042899")</f>
        <v>https://earth.google.com/web/search/-30.9043425103827,-55.5443874042899</v>
      </c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</row>
    <row r="284">
      <c r="A284" s="69" t="str">
        <f>IFERROR(__xludf.DUMMYFUNCTION("""COMPUTED_VALUE"""),"-30.9044025238136")</f>
        <v>-30.9044025238136</v>
      </c>
      <c r="B284" s="61" t="str">
        <f>IFERROR(__xludf.DUMMYFUNCTION("""COMPUTED_VALUE"""),"-5.5544434368195")</f>
        <v>-5.5544434368195</v>
      </c>
      <c r="C284" s="61">
        <f>IFERROR(__xludf.DUMMYFUNCTION("""COMPUTED_VALUE"""),1.0)</f>
        <v>1</v>
      </c>
      <c r="D284" s="61">
        <f>IFERROR(__xludf.DUMMYFUNCTION("""COMPUTED_VALUE"""),339.0)</f>
        <v>339</v>
      </c>
      <c r="E284" s="61">
        <f>IFERROR(__xludf.DUMMYFUNCTION("""COMPUTED_VALUE"""),10.0)</f>
        <v>10</v>
      </c>
      <c r="F284" s="62" t="str">
        <f>IFERROR(__xludf.DUMMYFUNCTION("""COMPUTED_VALUE"""),"https://www.google.com/maps/search/?api=1&amp;query=-30.9044025238136,-5.5544434368195")</f>
        <v>https://www.google.com/maps/search/?api=1&amp;query=-30.9044025238136,-5.5544434368195</v>
      </c>
      <c r="G284" s="63" t="str">
        <f>IFERROR(__xludf.DUMMYFUNCTION("""COMPUTED_VALUE"""),"https://earth.google.com/web/search/-30.9044025238136,-5.5544434368195")</f>
        <v>https://earth.google.com/web/search/-30.9044025238136,-5.5544434368195</v>
      </c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</row>
    <row r="285">
      <c r="A285" s="65" t="str">
        <f>IFERROR(__xludf.DUMMYFUNCTION("""COMPUTED_VALUE"""),"-30.9045372571739")</f>
        <v>-30.9045372571739</v>
      </c>
      <c r="B285" s="66" t="str">
        <f>IFERROR(__xludf.DUMMYFUNCTION("""COMPUTED_VALUE"""),"-55.5445208628237")</f>
        <v>-55.5445208628237</v>
      </c>
      <c r="C285" s="66">
        <f>IFERROR(__xludf.DUMMYFUNCTION("""COMPUTED_VALUE"""),1.0)</f>
        <v>1</v>
      </c>
      <c r="D285" s="66">
        <f>IFERROR(__xludf.DUMMYFUNCTION("""COMPUTED_VALUE"""),339.0)</f>
        <v>339</v>
      </c>
      <c r="E285" s="66">
        <f>IFERROR(__xludf.DUMMYFUNCTION("""COMPUTED_VALUE"""),11.0)</f>
        <v>11</v>
      </c>
      <c r="F285" s="67" t="str">
        <f>IFERROR(__xludf.DUMMYFUNCTION("""COMPUTED_VALUE"""),"https://www.google.com/maps/search/?api=1&amp;query=-30.9045372571739,-55.5445208628237")</f>
        <v>https://www.google.com/maps/search/?api=1&amp;query=-30.9045372571739,-55.5445208628237</v>
      </c>
      <c r="G285" s="68" t="str">
        <f>IFERROR(__xludf.DUMMYFUNCTION("""COMPUTED_VALUE"""),"https://earth.google.com/web/search/-30.9045372571739,-55.5445208628237")</f>
        <v>https://earth.google.com/web/search/-30.9045372571739,-55.5445208628237</v>
      </c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</row>
    <row r="286">
      <c r="A286" s="69" t="str">
        <f>IFERROR(__xludf.DUMMYFUNCTION("""COMPUTED_VALUE"""),"-30.9045963065033")</f>
        <v>-30.9045963065033</v>
      </c>
      <c r="B286" s="61" t="str">
        <f>IFERROR(__xludf.DUMMYFUNCTION("""COMPUTED_VALUE"""),"-55.5445580869602")</f>
        <v>-55.5445580869602</v>
      </c>
      <c r="C286" s="61">
        <f>IFERROR(__xludf.DUMMYFUNCTION("""COMPUTED_VALUE"""),1.0)</f>
        <v>1</v>
      </c>
      <c r="D286" s="61">
        <f>IFERROR(__xludf.DUMMYFUNCTION("""COMPUTED_VALUE"""),339.0)</f>
        <v>339</v>
      </c>
      <c r="E286" s="61">
        <f>IFERROR(__xludf.DUMMYFUNCTION("""COMPUTED_VALUE"""),12.0)</f>
        <v>12</v>
      </c>
      <c r="F286" s="62" t="str">
        <f>IFERROR(__xludf.DUMMYFUNCTION("""COMPUTED_VALUE"""),"https://www.google.com/maps/search/?api=1&amp;query=-30.9045963065033,-55.5445580869602")</f>
        <v>https://www.google.com/maps/search/?api=1&amp;query=-30.9045963065033,-55.5445580869602</v>
      </c>
      <c r="G286" s="63" t="str">
        <f>IFERROR(__xludf.DUMMYFUNCTION("""COMPUTED_VALUE"""),"https://earth.google.com/web/search/-30.9045963065033,-55.5445580869602")</f>
        <v>https://earth.google.com/web/search/-30.9045963065033,-55.5445580869602</v>
      </c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</row>
    <row r="287">
      <c r="A287" s="65" t="str">
        <f>IFERROR(__xludf.DUMMYFUNCTION("""COMPUTED_VALUE"""),"-3.0904745982872")</f>
        <v>-3.0904745982872</v>
      </c>
      <c r="B287" s="66" t="str">
        <f>IFERROR(__xludf.DUMMYFUNCTION("""COMPUTED_VALUE"""),"-55.5446960573869")</f>
        <v>-55.5446960573869</v>
      </c>
      <c r="C287" s="66">
        <f>IFERROR(__xludf.DUMMYFUNCTION("""COMPUTED_VALUE"""),1.0)</f>
        <v>1</v>
      </c>
      <c r="D287" s="66">
        <f>IFERROR(__xludf.DUMMYFUNCTION("""COMPUTED_VALUE"""),339.0)</f>
        <v>339</v>
      </c>
      <c r="E287" s="66">
        <f>IFERROR(__xludf.DUMMYFUNCTION("""COMPUTED_VALUE"""),13.0)</f>
        <v>13</v>
      </c>
      <c r="F287" s="67" t="str">
        <f>IFERROR(__xludf.DUMMYFUNCTION("""COMPUTED_VALUE"""),"https://www.google.com/maps/search/?api=1&amp;query=-3.0904745982872,-55.5446960573869")</f>
        <v>https://www.google.com/maps/search/?api=1&amp;query=-3.0904745982872,-55.5446960573869</v>
      </c>
      <c r="G287" s="68" t="str">
        <f>IFERROR(__xludf.DUMMYFUNCTION("""COMPUTED_VALUE"""),"https://earth.google.com/web/search/-3.0904745982872,-55.5446960573869")</f>
        <v>https://earth.google.com/web/search/-3.0904745982872,-55.5446960573869</v>
      </c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</row>
    <row r="288">
      <c r="A288" s="69" t="str">
        <f>IFERROR(__xludf.DUMMYFUNCTION("""COMPUTED_VALUE"""),"-30.9048070293893")</f>
        <v>-30.9048070293893</v>
      </c>
      <c r="B288" s="61" t="str">
        <f>IFERROR(__xludf.DUMMYFUNCTION("""COMPUTED_VALUE"""),"-55.5447275906498")</f>
        <v>-55.5447275906498</v>
      </c>
      <c r="C288" s="61">
        <f>IFERROR(__xludf.DUMMYFUNCTION("""COMPUTED_VALUE"""),1.0)</f>
        <v>1</v>
      </c>
      <c r="D288" s="61">
        <f>IFERROR(__xludf.DUMMYFUNCTION("""COMPUTED_VALUE"""),339.0)</f>
        <v>339</v>
      </c>
      <c r="E288" s="61">
        <f>IFERROR(__xludf.DUMMYFUNCTION("""COMPUTED_VALUE"""),14.0)</f>
        <v>14</v>
      </c>
      <c r="F288" s="62" t="str">
        <f>IFERROR(__xludf.DUMMYFUNCTION("""COMPUTED_VALUE"""),"https://www.google.com/maps/search/?api=1&amp;query=-30.9048070293893,-55.5447275906498")</f>
        <v>https://www.google.com/maps/search/?api=1&amp;query=-30.9048070293893,-55.5447275906498</v>
      </c>
      <c r="G288" s="63" t="str">
        <f>IFERROR(__xludf.DUMMYFUNCTION("""COMPUTED_VALUE"""),"https://earth.google.com/web/search/-30.9048070293893,-55.5447275906498")</f>
        <v>https://earth.google.com/web/search/-30.9048070293893,-55.5447275906498</v>
      </c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</row>
    <row r="289">
      <c r="A289" s="65" t="str">
        <f>IFERROR(__xludf.DUMMYFUNCTION("""COMPUTED_VALUE"""),"-30.9048767674103")</f>
        <v>-30.9048767674103</v>
      </c>
      <c r="B289" s="66" t="str">
        <f>IFERROR(__xludf.DUMMYFUNCTION("""COMPUTED_VALUE"""),"-55.5447619488076")</f>
        <v>-55.5447619488076</v>
      </c>
      <c r="C289" s="66">
        <f>IFERROR(__xludf.DUMMYFUNCTION("""COMPUTED_VALUE"""),1.0)</f>
        <v>1</v>
      </c>
      <c r="D289" s="66">
        <f>IFERROR(__xludf.DUMMYFUNCTION("""COMPUTED_VALUE"""),339.0)</f>
        <v>339</v>
      </c>
      <c r="E289" s="66">
        <f>IFERROR(__xludf.DUMMYFUNCTION("""COMPUTED_VALUE"""),15.0)</f>
        <v>15</v>
      </c>
      <c r="F289" s="67" t="str">
        <f>IFERROR(__xludf.DUMMYFUNCTION("""COMPUTED_VALUE"""),"https://www.google.com/maps/search/?api=1&amp;query=-30.9048767674103,-55.5447619488076")</f>
        <v>https://www.google.com/maps/search/?api=1&amp;query=-30.9048767674103,-55.5447619488076</v>
      </c>
      <c r="G289" s="68" t="str">
        <f>IFERROR(__xludf.DUMMYFUNCTION("""COMPUTED_VALUE"""),"https://earth.google.com/web/search/-30.9048767674103,-55.5447619488076")</f>
        <v>https://earth.google.com/web/search/-30.9048767674103,-55.5447619488076</v>
      </c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</row>
    <row r="290">
      <c r="A290" s="69" t="str">
        <f>IFERROR(__xludf.DUMMYFUNCTION("""COMPUTED_VALUE"""),"-30.9060986307168")</f>
        <v>-30.9060986307168</v>
      </c>
      <c r="B290" s="61" t="str">
        <f>IFERROR(__xludf.DUMMYFUNCTION("""COMPUTED_VALUE"""),"-55.5403555369007")</f>
        <v>-55.5403555369007</v>
      </c>
      <c r="C290" s="61">
        <f>IFERROR(__xludf.DUMMYFUNCTION("""COMPUTED_VALUE"""),1.0)</f>
        <v>1</v>
      </c>
      <c r="D290" s="61">
        <f>IFERROR(__xludf.DUMMYFUNCTION("""COMPUTED_VALUE"""),332.0)</f>
        <v>332</v>
      </c>
      <c r="E290" s="61">
        <f>IFERROR(__xludf.DUMMYFUNCTION("""COMPUTED_VALUE"""),1.0)</f>
        <v>1</v>
      </c>
      <c r="F290" s="62" t="str">
        <f>IFERROR(__xludf.DUMMYFUNCTION("""COMPUTED_VALUE"""),"https://www.google.com/maps/search/?api=1&amp;query=-30.9060986307168,-55.5403555369007")</f>
        <v>https://www.google.com/maps/search/?api=1&amp;query=-30.9060986307168,-55.5403555369007</v>
      </c>
      <c r="G290" s="63" t="str">
        <f>IFERROR(__xludf.DUMMYFUNCTION("""COMPUTED_VALUE"""),"https://earth.google.com/web/search/-30.9060986307168,-55.5403555369007")</f>
        <v>https://earth.google.com/web/search/-30.9060986307168,-55.5403555369007</v>
      </c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</row>
    <row r="291">
      <c r="A291" s="65" t="str">
        <f>IFERROR(__xludf.DUMMYFUNCTION("""COMPUTED_VALUE"""),"-30.9061362270462")</f>
        <v>-30.9061362270462</v>
      </c>
      <c r="B291" s="66" t="str">
        <f>IFERROR(__xludf.DUMMYFUNCTION("""COMPUTED_VALUE"""),"-55.5402894928206")</f>
        <v>-55.5402894928206</v>
      </c>
      <c r="C291" s="66">
        <f>IFERROR(__xludf.DUMMYFUNCTION("""COMPUTED_VALUE"""),1.0)</f>
        <v>1</v>
      </c>
      <c r="D291" s="66">
        <f>IFERROR(__xludf.DUMMYFUNCTION("""COMPUTED_VALUE"""),332.0)</f>
        <v>332</v>
      </c>
      <c r="E291" s="66">
        <f>IFERROR(__xludf.DUMMYFUNCTION("""COMPUTED_VALUE"""),2.0)</f>
        <v>2</v>
      </c>
      <c r="F291" s="67" t="str">
        <f>IFERROR(__xludf.DUMMYFUNCTION("""COMPUTED_VALUE"""),"https://www.google.com/maps/search/?api=1&amp;query=-30.9061362270462,-55.5402894928206")</f>
        <v>https://www.google.com/maps/search/?api=1&amp;query=-30.9061362270462,-55.5402894928206</v>
      </c>
      <c r="G291" s="68" t="str">
        <f>IFERROR(__xludf.DUMMYFUNCTION("""COMPUTED_VALUE"""),"https://earth.google.com/web/search/-30.9061362270462,-55.5402894928206")</f>
        <v>https://earth.google.com/web/search/-30.9061362270462,-55.5402894928206</v>
      </c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</row>
    <row r="292">
      <c r="A292" s="69" t="str">
        <f>IFERROR(__xludf.DUMMYFUNCTION("""COMPUTED_VALUE"""),"-30.9061737128308")</f>
        <v>-30.9061737128308</v>
      </c>
      <c r="B292" s="61" t="str">
        <f>IFERROR(__xludf.DUMMYFUNCTION("""COMPUTED_VALUE"""),"-55.5402103468574")</f>
        <v>-55.5402103468574</v>
      </c>
      <c r="C292" s="61">
        <f>IFERROR(__xludf.DUMMYFUNCTION("""COMPUTED_VALUE"""),1.0)</f>
        <v>1</v>
      </c>
      <c r="D292" s="61">
        <f>IFERROR(__xludf.DUMMYFUNCTION("""COMPUTED_VALUE"""),332.0)</f>
        <v>332</v>
      </c>
      <c r="E292" s="61">
        <f>IFERROR(__xludf.DUMMYFUNCTION("""COMPUTED_VALUE"""),3.0)</f>
        <v>3</v>
      </c>
      <c r="F292" s="62" t="str">
        <f>IFERROR(__xludf.DUMMYFUNCTION("""COMPUTED_VALUE"""),"https://www.google.com/maps/search/?api=1&amp;query=-30.9061737128308,-55.5402103468574")</f>
        <v>https://www.google.com/maps/search/?api=1&amp;query=-30.9061737128308,-55.5402103468574</v>
      </c>
      <c r="G292" s="63" t="str">
        <f>IFERROR(__xludf.DUMMYFUNCTION("""COMPUTED_VALUE"""),"https://earth.google.com/web/search/-30.9061737128308,-55.5402103468574")</f>
        <v>https://earth.google.com/web/search/-30.9061737128308,-55.5402103468574</v>
      </c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</row>
    <row r="293">
      <c r="A293" s="65" t="str">
        <f>IFERROR(__xludf.DUMMYFUNCTION("""COMPUTED_VALUE"""),"-30.9062626657419")</f>
        <v>-30.9062626657419</v>
      </c>
      <c r="B293" s="66" t="str">
        <f>IFERROR(__xludf.DUMMYFUNCTION("""COMPUTED_VALUE"""),"-55.5400593672128")</f>
        <v>-55.5400593672128</v>
      </c>
      <c r="C293" s="66">
        <f>IFERROR(__xludf.DUMMYFUNCTION("""COMPUTED_VALUE"""),1.0)</f>
        <v>1</v>
      </c>
      <c r="D293" s="66">
        <f>IFERROR(__xludf.DUMMYFUNCTION("""COMPUTED_VALUE"""),332.0)</f>
        <v>332</v>
      </c>
      <c r="E293" s="66">
        <f>IFERROR(__xludf.DUMMYFUNCTION("""COMPUTED_VALUE"""),4.0)</f>
        <v>4</v>
      </c>
      <c r="F293" s="67" t="str">
        <f>IFERROR(__xludf.DUMMYFUNCTION("""COMPUTED_VALUE"""),"https://www.google.com/maps/search/?api=1&amp;query=-30.9062626657419,-55.5400593672128")</f>
        <v>https://www.google.com/maps/search/?api=1&amp;query=-30.9062626657419,-55.5400593672128</v>
      </c>
      <c r="G293" s="68" t="str">
        <f>IFERROR(__xludf.DUMMYFUNCTION("""COMPUTED_VALUE"""),"https://earth.google.com/web/search/-30.9062626657419,-55.5400593672128")</f>
        <v>https://earth.google.com/web/search/-30.9062626657419,-55.5400593672128</v>
      </c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</row>
    <row r="294">
      <c r="A294" s="69" t="str">
        <f>IFERROR(__xludf.DUMMYFUNCTION("""COMPUTED_VALUE"""),"-30.9062909567593")</f>
        <v>-30.9062909567593</v>
      </c>
      <c r="B294" s="61" t="str">
        <f>IFERROR(__xludf.DUMMYFUNCTION("""COMPUTED_VALUE"""),"-55.5399728502007")</f>
        <v>-55.5399728502007</v>
      </c>
      <c r="C294" s="61">
        <f>IFERROR(__xludf.DUMMYFUNCTION("""COMPUTED_VALUE"""),1.0)</f>
        <v>1</v>
      </c>
      <c r="D294" s="61">
        <f>IFERROR(__xludf.DUMMYFUNCTION("""COMPUTED_VALUE"""),332.0)</f>
        <v>332</v>
      </c>
      <c r="E294" s="61">
        <f>IFERROR(__xludf.DUMMYFUNCTION("""COMPUTED_VALUE"""),5.0)</f>
        <v>5</v>
      </c>
      <c r="F294" s="62" t="str">
        <f>IFERROR(__xludf.DUMMYFUNCTION("""COMPUTED_VALUE"""),"https://www.google.com/maps/search/?api=1&amp;query=-30.9062909567593,-55.5399728502007")</f>
        <v>https://www.google.com/maps/search/?api=1&amp;query=-30.9062909567593,-55.5399728502007</v>
      </c>
      <c r="G294" s="63" t="str">
        <f>IFERROR(__xludf.DUMMYFUNCTION("""COMPUTED_VALUE"""),"https://earth.google.com/web/search/-30.9062909567593,-55.5399728502007")</f>
        <v>https://earth.google.com/web/search/-30.9062909567593,-55.5399728502007</v>
      </c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</row>
    <row r="295">
      <c r="A295" s="65" t="str">
        <f>IFERROR(__xludf.DUMMYFUNCTION("""COMPUTED_VALUE"""),"-30.9063350437917")</f>
        <v>-30.9063350437917</v>
      </c>
      <c r="B295" s="66" t="str">
        <f>IFERROR(__xludf.DUMMYFUNCTION("""COMPUTED_VALUE"""),"-55.5398914866894")</f>
        <v>-55.5398914866894</v>
      </c>
      <c r="C295" s="66">
        <f>IFERROR(__xludf.DUMMYFUNCTION("""COMPUTED_VALUE"""),1.0)</f>
        <v>1</v>
      </c>
      <c r="D295" s="66">
        <f>IFERROR(__xludf.DUMMYFUNCTION("""COMPUTED_VALUE"""),332.0)</f>
        <v>332</v>
      </c>
      <c r="E295" s="66">
        <f>IFERROR(__xludf.DUMMYFUNCTION("""COMPUTED_VALUE"""),6.0)</f>
        <v>6</v>
      </c>
      <c r="F295" s="67" t="str">
        <f>IFERROR(__xludf.DUMMYFUNCTION("""COMPUTED_VALUE"""),"https://www.google.com/maps/search/?api=1&amp;query=-30.9063350437917,-55.5398914866894")</f>
        <v>https://www.google.com/maps/search/?api=1&amp;query=-30.9063350437917,-55.5398914866894</v>
      </c>
      <c r="G295" s="68" t="str">
        <f>IFERROR(__xludf.DUMMYFUNCTION("""COMPUTED_VALUE"""),"https://earth.google.com/web/search/-30.9063350437917,-55.5398914866894")</f>
        <v>https://earth.google.com/web/search/-30.9063350437917,-55.5398914866894</v>
      </c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</row>
    <row r="296">
      <c r="A296" s="69" t="str">
        <f>IFERROR(__xludf.DUMMYFUNCTION("""COMPUTED_VALUE"""),"-30.9063676185956")</f>
        <v>-30.9063676185956</v>
      </c>
      <c r="B296" s="61" t="str">
        <f>IFERROR(__xludf.DUMMYFUNCTION("""COMPUTED_VALUE"""),"-5.5539527600018")</f>
        <v>-5.5539527600018</v>
      </c>
      <c r="C296" s="61">
        <f>IFERROR(__xludf.DUMMYFUNCTION("""COMPUTED_VALUE"""),1.0)</f>
        <v>1</v>
      </c>
      <c r="D296" s="61">
        <f>IFERROR(__xludf.DUMMYFUNCTION("""COMPUTED_VALUE"""),332.0)</f>
        <v>332</v>
      </c>
      <c r="E296" s="61">
        <f>IFERROR(__xludf.DUMMYFUNCTION("""COMPUTED_VALUE"""),7.0)</f>
        <v>7</v>
      </c>
      <c r="F296" s="62" t="str">
        <f>IFERROR(__xludf.DUMMYFUNCTION("""COMPUTED_VALUE"""),"https://www.google.com/maps/search/?api=1&amp;query=-30.9063676185956,-5.5539527600018")</f>
        <v>https://www.google.com/maps/search/?api=1&amp;query=-30.9063676185956,-5.5539527600018</v>
      </c>
      <c r="G296" s="63" t="str">
        <f>IFERROR(__xludf.DUMMYFUNCTION("""COMPUTED_VALUE"""),"https://earth.google.com/web/search/-30.9063676185956,-5.5539527600018")</f>
        <v>https://earth.google.com/web/search/-30.9063676185956,-5.5539527600018</v>
      </c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</row>
    <row r="297">
      <c r="A297" s="65" t="str">
        <f>IFERROR(__xludf.DUMMYFUNCTION("""COMPUTED_VALUE"""),"-30.9059283688007")</f>
        <v>-30.9059283688007</v>
      </c>
      <c r="B297" s="66" t="str">
        <f>IFERROR(__xludf.DUMMYFUNCTION("""COMPUTED_VALUE"""),"-55.5392127243041")</f>
        <v>-55.5392127243041</v>
      </c>
      <c r="C297" s="66">
        <f>IFERROR(__xludf.DUMMYFUNCTION("""COMPUTED_VALUE"""),1.0)</f>
        <v>1</v>
      </c>
      <c r="D297" s="66">
        <f>IFERROR(__xludf.DUMMYFUNCTION("""COMPUTED_VALUE"""),332.0)</f>
        <v>332</v>
      </c>
      <c r="E297" s="66">
        <f>IFERROR(__xludf.DUMMYFUNCTION("""COMPUTED_VALUE"""),8.0)</f>
        <v>8</v>
      </c>
      <c r="F297" s="67" t="str">
        <f>IFERROR(__xludf.DUMMYFUNCTION("""COMPUTED_VALUE"""),"https://www.google.com/maps/search/?api=1&amp;query=-30.9059283688007,-55.5392127243041")</f>
        <v>https://www.google.com/maps/search/?api=1&amp;query=-30.9059283688007,-55.5392127243041</v>
      </c>
      <c r="G297" s="68" t="str">
        <f>IFERROR(__xludf.DUMMYFUNCTION("""COMPUTED_VALUE"""),"https://earth.google.com/web/search/-30.9059283688007,-55.5392127243041")</f>
        <v>https://earth.google.com/web/search/-30.9059283688007,-55.5392127243041</v>
      </c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</row>
    <row r="298">
      <c r="A298" s="69" t="str">
        <f>IFERROR(__xludf.DUMMYFUNCTION("""COMPUTED_VALUE"""),"-30.9058451169246")</f>
        <v>-30.9058451169246</v>
      </c>
      <c r="B298" s="61" t="str">
        <f>IFERROR(__xludf.DUMMYFUNCTION("""COMPUTED_VALUE"""),"-55.5391462964251")</f>
        <v>-55.5391462964251</v>
      </c>
      <c r="C298" s="61">
        <f>IFERROR(__xludf.DUMMYFUNCTION("""COMPUTED_VALUE"""),1.0)</f>
        <v>1</v>
      </c>
      <c r="D298" s="61">
        <f>IFERROR(__xludf.DUMMYFUNCTION("""COMPUTED_VALUE"""),332.0)</f>
        <v>332</v>
      </c>
      <c r="E298" s="61">
        <f>IFERROR(__xludf.DUMMYFUNCTION("""COMPUTED_VALUE"""),9.0)</f>
        <v>9</v>
      </c>
      <c r="F298" s="62" t="str">
        <f>IFERROR(__xludf.DUMMYFUNCTION("""COMPUTED_VALUE"""),"https://www.google.com/maps/search/?api=1&amp;query=-30.9058451169246,-55.5391462964251")</f>
        <v>https://www.google.com/maps/search/?api=1&amp;query=-30.9058451169246,-55.5391462964251</v>
      </c>
      <c r="G298" s="63" t="str">
        <f>IFERROR(__xludf.DUMMYFUNCTION("""COMPUTED_VALUE"""),"https://earth.google.com/web/search/-30.9058451169246,-55.5391462964251")</f>
        <v>https://earth.google.com/web/search/-30.9058451169246,-55.5391462964251</v>
      </c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</row>
    <row r="299">
      <c r="A299" s="65" t="str">
        <f>IFERROR(__xludf.DUMMYFUNCTION("""COMPUTED_VALUE"""),"-30.9057916275691")</f>
        <v>-30.9057916275691</v>
      </c>
      <c r="B299" s="66" t="str">
        <f>IFERROR(__xludf.DUMMYFUNCTION("""COMPUTED_VALUE"""),"-55.5391130735863")</f>
        <v>-55.5391130735863</v>
      </c>
      <c r="C299" s="66">
        <f>IFERROR(__xludf.DUMMYFUNCTION("""COMPUTED_VALUE"""),1.0)</f>
        <v>1</v>
      </c>
      <c r="D299" s="66">
        <f>IFERROR(__xludf.DUMMYFUNCTION("""COMPUTED_VALUE"""),332.0)</f>
        <v>332</v>
      </c>
      <c r="E299" s="66">
        <f>IFERROR(__xludf.DUMMYFUNCTION("""COMPUTED_VALUE"""),10.0)</f>
        <v>10</v>
      </c>
      <c r="F299" s="67" t="str">
        <f>IFERROR(__xludf.DUMMYFUNCTION("""COMPUTED_VALUE"""),"https://www.google.com/maps/search/?api=1&amp;query=-30.9057916275691,-55.5391130735863")</f>
        <v>https://www.google.com/maps/search/?api=1&amp;query=-30.9057916275691,-55.5391130735863</v>
      </c>
      <c r="G299" s="68" t="str">
        <f>IFERROR(__xludf.DUMMYFUNCTION("""COMPUTED_VALUE"""),"https://earth.google.com/web/search/-30.9057916275691,-55.5391130735863")</f>
        <v>https://earth.google.com/web/search/-30.9057916275691,-55.5391130735863</v>
      </c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</row>
    <row r="300">
      <c r="A300" s="69" t="str">
        <f>IFERROR(__xludf.DUMMYFUNCTION("""COMPUTED_VALUE"""),"-0.3090554572835")</f>
        <v>-0.3090554572835</v>
      </c>
      <c r="B300" s="61" t="str">
        <f>IFERROR(__xludf.DUMMYFUNCTION("""COMPUTED_VALUE"""),"-55.5395525231297")</f>
        <v>-55.5395525231297</v>
      </c>
      <c r="C300" s="61">
        <f>IFERROR(__xludf.DUMMYFUNCTION("""COMPUTED_VALUE"""),1.0)</f>
        <v>1</v>
      </c>
      <c r="D300" s="61">
        <f>IFERROR(__xludf.DUMMYFUNCTION("""COMPUTED_VALUE"""),332.0)</f>
        <v>332</v>
      </c>
      <c r="E300" s="61">
        <f>IFERROR(__xludf.DUMMYFUNCTION("""COMPUTED_VALUE"""),11.0)</f>
        <v>11</v>
      </c>
      <c r="F300" s="62" t="str">
        <f>IFERROR(__xludf.DUMMYFUNCTION("""COMPUTED_VALUE"""),"https://www.google.com/maps/search/?api=1&amp;query=-0.3090554572835,-55.5395525231297")</f>
        <v>https://www.google.com/maps/search/?api=1&amp;query=-0.3090554572835,-55.5395525231297</v>
      </c>
      <c r="G300" s="63" t="str">
        <f>IFERROR(__xludf.DUMMYFUNCTION("""COMPUTED_VALUE"""),"https://earth.google.com/web/search/-0.3090554572835,-55.5395525231297")</f>
        <v>https://earth.google.com/web/search/-0.3090554572835,-55.5395525231297</v>
      </c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</row>
    <row r="301">
      <c r="A301" s="65" t="str">
        <f>IFERROR(__xludf.DUMMYFUNCTION("""COMPUTED_VALUE"""),"-30.9054119652755")</f>
        <v>-30.9054119652755</v>
      </c>
      <c r="B301" s="66" t="str">
        <f>IFERROR(__xludf.DUMMYFUNCTION("""COMPUTED_VALUE"""),"-55.5397902965138")</f>
        <v>-55.5397902965138</v>
      </c>
      <c r="C301" s="66">
        <f>IFERROR(__xludf.DUMMYFUNCTION("""COMPUTED_VALUE"""),1.0)</f>
        <v>1</v>
      </c>
      <c r="D301" s="66">
        <f>IFERROR(__xludf.DUMMYFUNCTION("""COMPUTED_VALUE"""),332.0)</f>
        <v>332</v>
      </c>
      <c r="E301" s="66">
        <f>IFERROR(__xludf.DUMMYFUNCTION("""COMPUTED_VALUE"""),12.0)</f>
        <v>12</v>
      </c>
      <c r="F301" s="67" t="str">
        <f>IFERROR(__xludf.DUMMYFUNCTION("""COMPUTED_VALUE"""),"https://www.google.com/maps/search/?api=1&amp;query=-30.9054119652755,-55.5397902965138")</f>
        <v>https://www.google.com/maps/search/?api=1&amp;query=-30.9054119652755,-55.5397902965138</v>
      </c>
      <c r="G301" s="68" t="str">
        <f>IFERROR(__xludf.DUMMYFUNCTION("""COMPUTED_VALUE"""),"https://earth.google.com/web/search/-30.9054119652755,-55.5397902965138")</f>
        <v>https://earth.google.com/web/search/-30.9054119652755,-55.5397902965138</v>
      </c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</row>
    <row r="302">
      <c r="A302" s="69" t="str">
        <f>IFERROR(__xludf.DUMMYFUNCTION("""COMPUTED_VALUE"""),"-30.9053739776893")</f>
        <v>-30.9053739776893</v>
      </c>
      <c r="B302" s="61" t="str">
        <f>IFERROR(__xludf.DUMMYFUNCTION("""COMPUTED_VALUE"""),"-55.5398784386627")</f>
        <v>-55.5398784386627</v>
      </c>
      <c r="C302" s="61">
        <f>IFERROR(__xludf.DUMMYFUNCTION("""COMPUTED_VALUE"""),1.0)</f>
        <v>1</v>
      </c>
      <c r="D302" s="61">
        <f>IFERROR(__xludf.DUMMYFUNCTION("""COMPUTED_VALUE"""),332.0)</f>
        <v>332</v>
      </c>
      <c r="E302" s="61">
        <f>IFERROR(__xludf.DUMMYFUNCTION("""COMPUTED_VALUE"""),13.0)</f>
        <v>13</v>
      </c>
      <c r="F302" s="62" t="str">
        <f>IFERROR(__xludf.DUMMYFUNCTION("""COMPUTED_VALUE"""),"https://www.google.com/maps/search/?api=1&amp;query=-30.9053739776893,-55.5398784386627")</f>
        <v>https://www.google.com/maps/search/?api=1&amp;query=-30.9053739776893,-55.5398784386627</v>
      </c>
      <c r="G302" s="63" t="str">
        <f>IFERROR(__xludf.DUMMYFUNCTION("""COMPUTED_VALUE"""),"https://earth.google.com/web/search/-30.9053739776893,-55.5398784386627")</f>
        <v>https://earth.google.com/web/search/-30.9053739776893,-55.5398784386627</v>
      </c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</row>
    <row r="303">
      <c r="A303" s="65" t="str">
        <f>IFERROR(__xludf.DUMMYFUNCTION("""COMPUTED_VALUE"""),"-30.9053901071008")</f>
        <v>-30.9053901071008</v>
      </c>
      <c r="B303" s="66" t="str">
        <f>IFERROR(__xludf.DUMMYFUNCTION("""COMPUTED_VALUE"""),"-55.5399600013538")</f>
        <v>-55.5399600013538</v>
      </c>
      <c r="C303" s="66">
        <f>IFERROR(__xludf.DUMMYFUNCTION("""COMPUTED_VALUE"""),1.0)</f>
        <v>1</v>
      </c>
      <c r="D303" s="66">
        <f>IFERROR(__xludf.DUMMYFUNCTION("""COMPUTED_VALUE"""),332.0)</f>
        <v>332</v>
      </c>
      <c r="E303" s="66">
        <f>IFERROR(__xludf.DUMMYFUNCTION("""COMPUTED_VALUE"""),14.0)</f>
        <v>14</v>
      </c>
      <c r="F303" s="67" t="str">
        <f>IFERROR(__xludf.DUMMYFUNCTION("""COMPUTED_VALUE"""),"https://www.google.com/maps/search/?api=1&amp;query=-30.9053901071008,-55.5399600013538")</f>
        <v>https://www.google.com/maps/search/?api=1&amp;query=-30.9053901071008,-55.5399600013538</v>
      </c>
      <c r="G303" s="68" t="str">
        <f>IFERROR(__xludf.DUMMYFUNCTION("""COMPUTED_VALUE"""),"https://earth.google.com/web/search/-30.9053901071008,-55.5399600013538")</f>
        <v>https://earth.google.com/web/search/-30.9053901071008,-55.5399600013538</v>
      </c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</row>
    <row r="304">
      <c r="A304" s="69" t="str">
        <f>IFERROR(__xludf.DUMMYFUNCTION("""COMPUTED_VALUE"""),"-30.9054333385751")</f>
        <v>-30.9054333385751</v>
      </c>
      <c r="B304" s="61" t="str">
        <f>IFERROR(__xludf.DUMMYFUNCTION("""COMPUTED_VALUE"""),"-55.5399988482415")</f>
        <v>-55.5399988482415</v>
      </c>
      <c r="C304" s="61">
        <f>IFERROR(__xludf.DUMMYFUNCTION("""COMPUTED_VALUE"""),1.0)</f>
        <v>1</v>
      </c>
      <c r="D304" s="61">
        <f>IFERROR(__xludf.DUMMYFUNCTION("""COMPUTED_VALUE"""),332.0)</f>
        <v>332</v>
      </c>
      <c r="E304" s="61">
        <f>IFERROR(__xludf.DUMMYFUNCTION("""COMPUTED_VALUE"""),15.0)</f>
        <v>15</v>
      </c>
      <c r="F304" s="62" t="str">
        <f>IFERROR(__xludf.DUMMYFUNCTION("""COMPUTED_VALUE"""),"https://www.google.com/maps/search/?api=1&amp;query=-30.9054333385751,-55.5399988482415")</f>
        <v>https://www.google.com/maps/search/?api=1&amp;query=-30.9054333385751,-55.5399988482415</v>
      </c>
      <c r="G304" s="63" t="str">
        <f>IFERROR(__xludf.DUMMYFUNCTION("""COMPUTED_VALUE"""),"https://earth.google.com/web/search/-30.9054333385751,-55.5399988482415")</f>
        <v>https://earth.google.com/web/search/-30.9054333385751,-55.5399988482415</v>
      </c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</row>
    <row r="305">
      <c r="A305" s="65" t="str">
        <f>IFERROR(__xludf.DUMMYFUNCTION("""COMPUTED_VALUE"""),"-30.9054860101883")</f>
        <v>-30.9054860101883</v>
      </c>
      <c r="B305" s="66" t="str">
        <f>IFERROR(__xludf.DUMMYFUNCTION("""COMPUTED_VALUE"""),"-55.5400317227954")</f>
        <v>-55.5400317227954</v>
      </c>
      <c r="C305" s="66">
        <f>IFERROR(__xludf.DUMMYFUNCTION("""COMPUTED_VALUE"""),1.0)</f>
        <v>1</v>
      </c>
      <c r="D305" s="66">
        <f>IFERROR(__xludf.DUMMYFUNCTION("""COMPUTED_VALUE"""),332.0)</f>
        <v>332</v>
      </c>
      <c r="E305" s="66">
        <f>IFERROR(__xludf.DUMMYFUNCTION("""COMPUTED_VALUE"""),16.0)</f>
        <v>16</v>
      </c>
      <c r="F305" s="67" t="str">
        <f>IFERROR(__xludf.DUMMYFUNCTION("""COMPUTED_VALUE"""),"https://www.google.com/maps/search/?api=1&amp;query=-30.9054860101883,-55.5400317227954")</f>
        <v>https://www.google.com/maps/search/?api=1&amp;query=-30.9054860101883,-55.5400317227954</v>
      </c>
      <c r="G305" s="68" t="str">
        <f>IFERROR(__xludf.DUMMYFUNCTION("""COMPUTED_VALUE"""),"https://earth.google.com/web/search/-30.9054860101883,-55.5400317227954")</f>
        <v>https://earth.google.com/web/search/-30.9054860101883,-55.5400317227954</v>
      </c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</row>
    <row r="306">
      <c r="A306" s="69" t="str">
        <f>IFERROR(__xludf.DUMMYFUNCTION("""COMPUTED_VALUE"""),"-30.9055715136713")</f>
        <v>-30.9055715136713</v>
      </c>
      <c r="B306" s="61" t="str">
        <f>IFERROR(__xludf.DUMMYFUNCTION("""COMPUTED_VALUE"""),"-55.5400953798356")</f>
        <v>-55.5400953798356</v>
      </c>
      <c r="C306" s="61">
        <f>IFERROR(__xludf.DUMMYFUNCTION("""COMPUTED_VALUE"""),1.0)</f>
        <v>1</v>
      </c>
      <c r="D306" s="61">
        <f>IFERROR(__xludf.DUMMYFUNCTION("""COMPUTED_VALUE"""),332.0)</f>
        <v>332</v>
      </c>
      <c r="E306" s="61">
        <f>IFERROR(__xludf.DUMMYFUNCTION("""COMPUTED_VALUE"""),17.0)</f>
        <v>17</v>
      </c>
      <c r="F306" s="62" t="str">
        <f>IFERROR(__xludf.DUMMYFUNCTION("""COMPUTED_VALUE"""),"https://www.google.com/maps/search/?api=1&amp;query=-30.9055715136713,-55.5400953798356")</f>
        <v>https://www.google.com/maps/search/?api=1&amp;query=-30.9055715136713,-55.5400953798356</v>
      </c>
      <c r="G306" s="63" t="str">
        <f>IFERROR(__xludf.DUMMYFUNCTION("""COMPUTED_VALUE"""),"https://earth.google.com/web/search/-30.9055715136713,-55.5400953798356")</f>
        <v>https://earth.google.com/web/search/-30.9055715136713,-55.5400953798356</v>
      </c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</row>
    <row r="307">
      <c r="A307" s="65" t="str">
        <f>IFERROR(__xludf.DUMMYFUNCTION("""COMPUTED_VALUE"""),"-30.9059089896194")</f>
        <v>-30.9059089896194</v>
      </c>
      <c r="B307" s="66" t="str">
        <f>IFERROR(__xludf.DUMMYFUNCTION("""COMPUTED_VALUE"""),"-55.5403326338356")</f>
        <v>-55.5403326338356</v>
      </c>
      <c r="C307" s="66">
        <f>IFERROR(__xludf.DUMMYFUNCTION("""COMPUTED_VALUE"""),1.0)</f>
        <v>1</v>
      </c>
      <c r="D307" s="66">
        <f>IFERROR(__xludf.DUMMYFUNCTION("""COMPUTED_VALUE"""),332.0)</f>
        <v>332</v>
      </c>
      <c r="E307" s="66">
        <f>IFERROR(__xludf.DUMMYFUNCTION("""COMPUTED_VALUE"""),18.0)</f>
        <v>18</v>
      </c>
      <c r="F307" s="67" t="str">
        <f>IFERROR(__xludf.DUMMYFUNCTION("""COMPUTED_VALUE"""),"https://www.google.com/maps/search/?api=1&amp;query=-30.9059089896194,-55.5403326338356")</f>
        <v>https://www.google.com/maps/search/?api=1&amp;query=-30.9059089896194,-55.5403326338356</v>
      </c>
      <c r="G307" s="68" t="str">
        <f>IFERROR(__xludf.DUMMYFUNCTION("""COMPUTED_VALUE"""),"https://earth.google.com/web/search/-30.9059089896194,-55.5403326338356")</f>
        <v>https://earth.google.com/web/search/-30.9059089896194,-55.5403326338356</v>
      </c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</row>
    <row r="308">
      <c r="A308" s="69" t="str">
        <f>IFERROR(__xludf.DUMMYFUNCTION("""COMPUTED_VALUE"""),"-30.9060164382167")</f>
        <v>-30.9060164382167</v>
      </c>
      <c r="B308" s="61" t="str">
        <f>IFERROR(__xludf.DUMMYFUNCTION("""COMPUTED_VALUE"""),"-55.5403859297841")</f>
        <v>-55.5403859297841</v>
      </c>
      <c r="C308" s="61">
        <f>IFERROR(__xludf.DUMMYFUNCTION("""COMPUTED_VALUE"""),1.0)</f>
        <v>1</v>
      </c>
      <c r="D308" s="61">
        <f>IFERROR(__xludf.DUMMYFUNCTION("""COMPUTED_VALUE"""),332.0)</f>
        <v>332</v>
      </c>
      <c r="E308" s="61">
        <f>IFERROR(__xludf.DUMMYFUNCTION("""COMPUTED_VALUE"""),19.0)</f>
        <v>19</v>
      </c>
      <c r="F308" s="62" t="str">
        <f>IFERROR(__xludf.DUMMYFUNCTION("""COMPUTED_VALUE"""),"https://www.google.com/maps/search/?api=1&amp;query=-30.9060164382167,-55.5403859297841")</f>
        <v>https://www.google.com/maps/search/?api=1&amp;query=-30.9060164382167,-55.5403859297841</v>
      </c>
      <c r="G308" s="63" t="str">
        <f>IFERROR(__xludf.DUMMYFUNCTION("""COMPUTED_VALUE"""),"https://earth.google.com/web/search/-30.9060164382167,-55.5403859297841")</f>
        <v>https://earth.google.com/web/search/-30.9060164382167,-55.5403859297841</v>
      </c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</row>
    <row r="309">
      <c r="A309" s="65" t="str">
        <f>IFERROR(__xludf.DUMMYFUNCTION("""COMPUTED_VALUE"""),"-30.9056639299044")</f>
        <v>-30.9056639299044</v>
      </c>
      <c r="B309" s="66" t="str">
        <f>IFERROR(__xludf.DUMMYFUNCTION("""COMPUTED_VALUE"""),"-55.5411515375432")</f>
        <v>-55.5411515375432</v>
      </c>
      <c r="C309" s="66">
        <f>IFERROR(__xludf.DUMMYFUNCTION("""COMPUTED_VALUE"""),1.0)</f>
        <v>1</v>
      </c>
      <c r="D309" s="66">
        <f>IFERROR(__xludf.DUMMYFUNCTION("""COMPUTED_VALUE"""),331.0)</f>
        <v>331</v>
      </c>
      <c r="E309" s="66">
        <f>IFERROR(__xludf.DUMMYFUNCTION("""COMPUTED_VALUE"""),1.0)</f>
        <v>1</v>
      </c>
      <c r="F309" s="67" t="str">
        <f>IFERROR(__xludf.DUMMYFUNCTION("""COMPUTED_VALUE"""),"https://www.google.com/maps/search/?api=1&amp;query=-30.9056639299044,-55.5411515375432")</f>
        <v>https://www.google.com/maps/search/?api=1&amp;query=-30.9056639299044,-55.5411515375432</v>
      </c>
      <c r="G309" s="68" t="str">
        <f>IFERROR(__xludf.DUMMYFUNCTION("""COMPUTED_VALUE"""),"https://earth.google.com/web/search/-30.9056639299044,-55.5411515375432")</f>
        <v>https://earth.google.com/web/search/-30.9056639299044,-55.5411515375432</v>
      </c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</row>
    <row r="310">
      <c r="A310" s="69" t="str">
        <f>IFERROR(__xludf.DUMMYFUNCTION("""COMPUTED_VALUE"""),"-30.9058643263916")</f>
        <v>-30.9058643263916</v>
      </c>
      <c r="B310" s="61" t="str">
        <f>IFERROR(__xludf.DUMMYFUNCTION("""COMPUTED_VALUE"""),"-55.5404195056708")</f>
        <v>-55.5404195056708</v>
      </c>
      <c r="C310" s="61">
        <f>IFERROR(__xludf.DUMMYFUNCTION("""COMPUTED_VALUE"""),1.0)</f>
        <v>1</v>
      </c>
      <c r="D310" s="61">
        <f>IFERROR(__xludf.DUMMYFUNCTION("""COMPUTED_VALUE"""),331.0)</f>
        <v>331</v>
      </c>
      <c r="E310" s="61">
        <f>IFERROR(__xludf.DUMMYFUNCTION("""COMPUTED_VALUE"""),2.0)</f>
        <v>2</v>
      </c>
      <c r="F310" s="62" t="str">
        <f>IFERROR(__xludf.DUMMYFUNCTION("""COMPUTED_VALUE"""),"https://www.google.com/maps/search/?api=1&amp;query=-30.9058643263916,-55.5404195056708")</f>
        <v>https://www.google.com/maps/search/?api=1&amp;query=-30.9058643263916,-55.5404195056708</v>
      </c>
      <c r="G310" s="63" t="str">
        <f>IFERROR(__xludf.DUMMYFUNCTION("""COMPUTED_VALUE"""),"https://earth.google.com/web/search/-30.9058643263916,-55.5404195056708")</f>
        <v>https://earth.google.com/web/search/-30.9058643263916,-55.5404195056708</v>
      </c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</row>
    <row r="311">
      <c r="A311" s="65" t="str">
        <f>IFERROR(__xludf.DUMMYFUNCTION("""COMPUTED_VALUE"""),"-30.9057803182211")</f>
        <v>-30.9057803182211</v>
      </c>
      <c r="B311" s="66" t="str">
        <f>IFERROR(__xludf.DUMMYFUNCTION("""COMPUTED_VALUE"""),"-55.5403514414298")</f>
        <v>-55.5403514414298</v>
      </c>
      <c r="C311" s="66">
        <f>IFERROR(__xludf.DUMMYFUNCTION("""COMPUTED_VALUE"""),1.0)</f>
        <v>1</v>
      </c>
      <c r="D311" s="66">
        <f>IFERROR(__xludf.DUMMYFUNCTION("""COMPUTED_VALUE"""),331.0)</f>
        <v>331</v>
      </c>
      <c r="E311" s="66">
        <f>IFERROR(__xludf.DUMMYFUNCTION("""COMPUTED_VALUE"""),3.0)</f>
        <v>3</v>
      </c>
      <c r="F311" s="67" t="str">
        <f>IFERROR(__xludf.DUMMYFUNCTION("""COMPUTED_VALUE"""),"https://www.google.com/maps/search/?api=1&amp;query=-30.9057803182211,-55.5403514414298")</f>
        <v>https://www.google.com/maps/search/?api=1&amp;query=-30.9057803182211,-55.5403514414298</v>
      </c>
      <c r="G311" s="68" t="str">
        <f>IFERROR(__xludf.DUMMYFUNCTION("""COMPUTED_VALUE"""),"https://earth.google.com/web/search/-30.9057803182211,-55.5403514414298")</f>
        <v>https://earth.google.com/web/search/-30.9057803182211,-55.5403514414298</v>
      </c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</row>
    <row r="312">
      <c r="A312" s="69" t="str">
        <f>IFERROR(__xludf.DUMMYFUNCTION("""COMPUTED_VALUE"""),"-30.9056926434287")</f>
        <v>-30.9056926434287</v>
      </c>
      <c r="B312" s="61" t="str">
        <f>IFERROR(__xludf.DUMMYFUNCTION("""COMPUTED_VALUE"""),"-55.5402959207906")</f>
        <v>-55.5402959207906</v>
      </c>
      <c r="C312" s="61">
        <f>IFERROR(__xludf.DUMMYFUNCTION("""COMPUTED_VALUE"""),1.0)</f>
        <v>1</v>
      </c>
      <c r="D312" s="61">
        <f>IFERROR(__xludf.DUMMYFUNCTION("""COMPUTED_VALUE"""),331.0)</f>
        <v>331</v>
      </c>
      <c r="E312" s="61">
        <f>IFERROR(__xludf.DUMMYFUNCTION("""COMPUTED_VALUE"""),4.0)</f>
        <v>4</v>
      </c>
      <c r="F312" s="62" t="str">
        <f>IFERROR(__xludf.DUMMYFUNCTION("""COMPUTED_VALUE"""),"https://www.google.com/maps/search/?api=1&amp;query=-30.9056926434287,-55.5402959207906")</f>
        <v>https://www.google.com/maps/search/?api=1&amp;query=-30.9056926434287,-55.5402959207906</v>
      </c>
      <c r="G312" s="63" t="str">
        <f>IFERROR(__xludf.DUMMYFUNCTION("""COMPUTED_VALUE"""),"https://earth.google.com/web/search/-30.9056926434287,-55.5402959207906")</f>
        <v>https://earth.google.com/web/search/-30.9056926434287,-55.5402959207906</v>
      </c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</row>
    <row r="313">
      <c r="A313" s="65" t="str">
        <f>IFERROR(__xludf.DUMMYFUNCTION("""COMPUTED_VALUE"""),"-30.9056251481755")</f>
        <v>-30.9056251481755</v>
      </c>
      <c r="B313" s="66" t="str">
        <f>IFERROR(__xludf.DUMMYFUNCTION("""COMPUTED_VALUE"""),"-55.5402397536244")</f>
        <v>-55.5402397536244</v>
      </c>
      <c r="C313" s="66">
        <f>IFERROR(__xludf.DUMMYFUNCTION("""COMPUTED_VALUE"""),1.0)</f>
        <v>1</v>
      </c>
      <c r="D313" s="66">
        <f>IFERROR(__xludf.DUMMYFUNCTION("""COMPUTED_VALUE"""),331.0)</f>
        <v>331</v>
      </c>
      <c r="E313" s="66">
        <f>IFERROR(__xludf.DUMMYFUNCTION("""COMPUTED_VALUE"""),5.0)</f>
        <v>5</v>
      </c>
      <c r="F313" s="67" t="str">
        <f>IFERROR(__xludf.DUMMYFUNCTION("""COMPUTED_VALUE"""),"https://www.google.com/maps/search/?api=1&amp;query=-30.9056251481755,-55.5402397536244")</f>
        <v>https://www.google.com/maps/search/?api=1&amp;query=-30.9056251481755,-55.5402397536244</v>
      </c>
      <c r="G313" s="68" t="str">
        <f>IFERROR(__xludf.DUMMYFUNCTION("""COMPUTED_VALUE"""),"https://earth.google.com/web/search/-30.9056251481755,-55.5402397536244")</f>
        <v>https://earth.google.com/web/search/-30.9056251481755,-55.5402397536244</v>
      </c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</row>
    <row r="314">
      <c r="A314" s="69" t="str">
        <f>IFERROR(__xludf.DUMMYFUNCTION("""COMPUTED_VALUE"""),"-30.9055648940415")</f>
        <v>-30.9055648940415</v>
      </c>
      <c r="B314" s="61" t="str">
        <f>IFERROR(__xludf.DUMMYFUNCTION("""COMPUTED_VALUE"""),"-55.5402035430294")</f>
        <v>-55.5402035430294</v>
      </c>
      <c r="C314" s="61">
        <f>IFERROR(__xludf.DUMMYFUNCTION("""COMPUTED_VALUE"""),1.0)</f>
        <v>1</v>
      </c>
      <c r="D314" s="61">
        <f>IFERROR(__xludf.DUMMYFUNCTION("""COMPUTED_VALUE"""),331.0)</f>
        <v>331</v>
      </c>
      <c r="E314" s="61">
        <f>IFERROR(__xludf.DUMMYFUNCTION("""COMPUTED_VALUE"""),6.0)</f>
        <v>6</v>
      </c>
      <c r="F314" s="62" t="str">
        <f>IFERROR(__xludf.DUMMYFUNCTION("""COMPUTED_VALUE"""),"https://www.google.com/maps/search/?api=1&amp;query=-30.9055648940415,-55.5402035430294")</f>
        <v>https://www.google.com/maps/search/?api=1&amp;query=-30.9055648940415,-55.5402035430294</v>
      </c>
      <c r="G314" s="63" t="str">
        <f>IFERROR(__xludf.DUMMYFUNCTION("""COMPUTED_VALUE"""),"https://earth.google.com/web/search/-30.9055648940415,-55.5402035430294")</f>
        <v>https://earth.google.com/web/search/-30.9055648940415,-55.5402035430294</v>
      </c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</row>
    <row r="315">
      <c r="A315" s="65" t="str">
        <f>IFERROR(__xludf.DUMMYFUNCTION("""COMPUTED_VALUE"""),"-30.9054254969717")</f>
        <v>-30.9054254969717</v>
      </c>
      <c r="B315" s="66" t="str">
        <f>IFERROR(__xludf.DUMMYFUNCTION("""COMPUTED_VALUE"""),"-55.5400933410481")</f>
        <v>-55.5400933410481</v>
      </c>
      <c r="C315" s="66">
        <f>IFERROR(__xludf.DUMMYFUNCTION("""COMPUTED_VALUE"""),1.0)</f>
        <v>1</v>
      </c>
      <c r="D315" s="66">
        <f>IFERROR(__xludf.DUMMYFUNCTION("""COMPUTED_VALUE"""),331.0)</f>
        <v>331</v>
      </c>
      <c r="E315" s="66">
        <f>IFERROR(__xludf.DUMMYFUNCTION("""COMPUTED_VALUE"""),7.0)</f>
        <v>7</v>
      </c>
      <c r="F315" s="67" t="str">
        <f>IFERROR(__xludf.DUMMYFUNCTION("""COMPUTED_VALUE"""),"https://www.google.com/maps/search/?api=1&amp;query=-30.9054254969717,-55.5400933410481")</f>
        <v>https://www.google.com/maps/search/?api=1&amp;query=-30.9054254969717,-55.5400933410481</v>
      </c>
      <c r="G315" s="68" t="str">
        <f>IFERROR(__xludf.DUMMYFUNCTION("""COMPUTED_VALUE"""),"https://earth.google.com/web/search/-30.9054254969717,-55.5400933410481")</f>
        <v>https://earth.google.com/web/search/-30.9054254969717,-55.5400933410481</v>
      </c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</row>
    <row r="316">
      <c r="A316" s="69" t="str">
        <f>IFERROR(__xludf.DUMMYFUNCTION("""COMPUTED_VALUE"""),"-30.9053745278616")</f>
        <v>-30.9053745278616</v>
      </c>
      <c r="B316" s="61" t="str">
        <f>IFERROR(__xludf.DUMMYFUNCTION("""COMPUTED_VALUE"""),"-55.5400552678471")</f>
        <v>-55.5400552678471</v>
      </c>
      <c r="C316" s="61">
        <f>IFERROR(__xludf.DUMMYFUNCTION("""COMPUTED_VALUE"""),1.0)</f>
        <v>1</v>
      </c>
      <c r="D316" s="61">
        <f>IFERROR(__xludf.DUMMYFUNCTION("""COMPUTED_VALUE"""),331.0)</f>
        <v>331</v>
      </c>
      <c r="E316" s="61">
        <f>IFERROR(__xludf.DUMMYFUNCTION("""COMPUTED_VALUE"""),8.0)</f>
        <v>8</v>
      </c>
      <c r="F316" s="62" t="str">
        <f>IFERROR(__xludf.DUMMYFUNCTION("""COMPUTED_VALUE"""),"https://www.google.com/maps/search/?api=1&amp;query=-30.9053745278616,-55.5400552678471")</f>
        <v>https://www.google.com/maps/search/?api=1&amp;query=-30.9053745278616,-55.5400552678471</v>
      </c>
      <c r="G316" s="63" t="str">
        <f>IFERROR(__xludf.DUMMYFUNCTION("""COMPUTED_VALUE"""),"https://earth.google.com/web/search/-30.9053745278616,-55.5400552678471")</f>
        <v>https://earth.google.com/web/search/-30.9053745278616,-55.5400552678471</v>
      </c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</row>
    <row r="317">
      <c r="A317" s="65" t="str">
        <f>IFERROR(__xludf.DUMMYFUNCTION("""COMPUTED_VALUE"""),"-30.9051846010083")</f>
        <v>-30.9051846010083</v>
      </c>
      <c r="B317" s="66" t="str">
        <f>IFERROR(__xludf.DUMMYFUNCTION("""COMPUTED_VALUE"""),"-55.5402435333672")</f>
        <v>-55.5402435333672</v>
      </c>
      <c r="C317" s="66">
        <f>IFERROR(__xludf.DUMMYFUNCTION("""COMPUTED_VALUE"""),1.0)</f>
        <v>1</v>
      </c>
      <c r="D317" s="66">
        <f>IFERROR(__xludf.DUMMYFUNCTION("""COMPUTED_VALUE"""),331.0)</f>
        <v>331</v>
      </c>
      <c r="E317" s="66">
        <f>IFERROR(__xludf.DUMMYFUNCTION("""COMPUTED_VALUE"""),9.0)</f>
        <v>9</v>
      </c>
      <c r="F317" s="67" t="str">
        <f>IFERROR(__xludf.DUMMYFUNCTION("""COMPUTED_VALUE"""),"https://www.google.com/maps/search/?api=1&amp;query=-30.9051846010083,-55.5402435333672")</f>
        <v>https://www.google.com/maps/search/?api=1&amp;query=-30.9051846010083,-55.5402435333672</v>
      </c>
      <c r="G317" s="68" t="str">
        <f>IFERROR(__xludf.DUMMYFUNCTION("""COMPUTED_VALUE"""),"https://earth.google.com/web/search/-30.9051846010083,-55.5402435333672")</f>
        <v>https://earth.google.com/web/search/-30.9051846010083,-55.5402435333672</v>
      </c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</row>
    <row r="318">
      <c r="A318" s="69" t="str">
        <f>IFERROR(__xludf.DUMMYFUNCTION("""COMPUTED_VALUE"""),"-30.9049673803104")</f>
        <v>-30.9049673803104</v>
      </c>
      <c r="B318" s="61" t="str">
        <f>IFERROR(__xludf.DUMMYFUNCTION("""COMPUTED_VALUE"""),"-55.5406190574741")</f>
        <v>-55.5406190574741</v>
      </c>
      <c r="C318" s="61">
        <f>IFERROR(__xludf.DUMMYFUNCTION("""COMPUTED_VALUE"""),1.0)</f>
        <v>1</v>
      </c>
      <c r="D318" s="61">
        <f>IFERROR(__xludf.DUMMYFUNCTION("""COMPUTED_VALUE"""),331.0)</f>
        <v>331</v>
      </c>
      <c r="E318" s="61">
        <f>IFERROR(__xludf.DUMMYFUNCTION("""COMPUTED_VALUE"""),10.0)</f>
        <v>10</v>
      </c>
      <c r="F318" s="62" t="str">
        <f>IFERROR(__xludf.DUMMYFUNCTION("""COMPUTED_VALUE"""),"https://www.google.com/maps/search/?api=1&amp;query=-30.9049673803104,-55.5406190574741")</f>
        <v>https://www.google.com/maps/search/?api=1&amp;query=-30.9049673803104,-55.5406190574741</v>
      </c>
      <c r="G318" s="63" t="str">
        <f>IFERROR(__xludf.DUMMYFUNCTION("""COMPUTED_VALUE"""),"https://earth.google.com/web/search/-30.9049673803104,-55.5406190574741")</f>
        <v>https://earth.google.com/web/search/-30.9049673803104,-55.5406190574741</v>
      </c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</row>
    <row r="319">
      <c r="A319" s="65" t="str">
        <f>IFERROR(__xludf.DUMMYFUNCTION("""COMPUTED_VALUE"""),"-30.9052746382386")</f>
        <v>-30.9052746382386</v>
      </c>
      <c r="B319" s="66" t="str">
        <f>IFERROR(__xludf.DUMMYFUNCTION("""COMPUTED_VALUE"""),"-5.5541094776567")</f>
        <v>-5.5541094776567</v>
      </c>
      <c r="C319" s="66">
        <f>IFERROR(__xludf.DUMMYFUNCTION("""COMPUTED_VALUE"""),1.0)</f>
        <v>1</v>
      </c>
      <c r="D319" s="66">
        <f>IFERROR(__xludf.DUMMYFUNCTION("""COMPUTED_VALUE"""),331.0)</f>
        <v>331</v>
      </c>
      <c r="E319" s="66">
        <f>IFERROR(__xludf.DUMMYFUNCTION("""COMPUTED_VALUE"""),11.0)</f>
        <v>11</v>
      </c>
      <c r="F319" s="67" t="str">
        <f>IFERROR(__xludf.DUMMYFUNCTION("""COMPUTED_VALUE"""),"https://www.google.com/maps/search/?api=1&amp;query=-30.9052746382386,-5.5541094776567")</f>
        <v>https://www.google.com/maps/search/?api=1&amp;query=-30.9052746382386,-5.5541094776567</v>
      </c>
      <c r="G319" s="68" t="str">
        <f>IFERROR(__xludf.DUMMYFUNCTION("""COMPUTED_VALUE"""),"https://earth.google.com/web/search/-30.9052746382386,-5.5541094776567")</f>
        <v>https://earth.google.com/web/search/-30.9052746382386,-5.5541094776567</v>
      </c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</row>
    <row r="320">
      <c r="A320" s="69" t="str">
        <f>IFERROR(__xludf.DUMMYFUNCTION("""COMPUTED_VALUE"""),"-30.9054183232992")</f>
        <v>-30.9054183232992</v>
      </c>
      <c r="B320" s="61" t="str">
        <f>IFERROR(__xludf.DUMMYFUNCTION("""COMPUTED_VALUE"""),"-55.5411771760885")</f>
        <v>-55.5411771760885</v>
      </c>
      <c r="C320" s="61">
        <f>IFERROR(__xludf.DUMMYFUNCTION("""COMPUTED_VALUE"""),1.0)</f>
        <v>1</v>
      </c>
      <c r="D320" s="61">
        <f>IFERROR(__xludf.DUMMYFUNCTION("""COMPUTED_VALUE"""),331.0)</f>
        <v>331</v>
      </c>
      <c r="E320" s="61">
        <f>IFERROR(__xludf.DUMMYFUNCTION("""COMPUTED_VALUE"""),12.0)</f>
        <v>12</v>
      </c>
      <c r="F320" s="62" t="str">
        <f>IFERROR(__xludf.DUMMYFUNCTION("""COMPUTED_VALUE"""),"https://www.google.com/maps/search/?api=1&amp;query=-30.9054183232992,-55.5411771760885")</f>
        <v>https://www.google.com/maps/search/?api=1&amp;query=-30.9054183232992,-55.5411771760885</v>
      </c>
      <c r="G320" s="63" t="str">
        <f>IFERROR(__xludf.DUMMYFUNCTION("""COMPUTED_VALUE"""),"https://earth.google.com/web/search/-30.9054183232992,-55.5411771760885")</f>
        <v>https://earth.google.com/web/search/-30.9054183232992,-55.5411771760885</v>
      </c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</row>
    <row r="321">
      <c r="A321" s="65" t="str">
        <f>IFERROR(__xludf.DUMMYFUNCTION("""COMPUTED_VALUE"""),"-30.9051399848699")</f>
        <v>-30.9051399848699</v>
      </c>
      <c r="B321" s="66" t="str">
        <f>IFERROR(__xludf.DUMMYFUNCTION("""COMPUTED_VALUE"""),"-55.5421527632331")</f>
        <v>-55.5421527632331</v>
      </c>
      <c r="C321" s="66">
        <f>IFERROR(__xludf.DUMMYFUNCTION("""COMPUTED_VALUE"""),1.0)</f>
        <v>1</v>
      </c>
      <c r="D321" s="66">
        <f>IFERROR(__xludf.DUMMYFUNCTION("""COMPUTED_VALUE"""),330.0)</f>
        <v>330</v>
      </c>
      <c r="E321" s="66">
        <f>IFERROR(__xludf.DUMMYFUNCTION("""COMPUTED_VALUE"""),1.0)</f>
        <v>1</v>
      </c>
      <c r="F321" s="67" t="str">
        <f>IFERROR(__xludf.DUMMYFUNCTION("""COMPUTED_VALUE"""),"https://www.google.com/maps/search/?api=1&amp;query=-30.9051399848699,-55.5421527632331")</f>
        <v>https://www.google.com/maps/search/?api=1&amp;query=-30.9051399848699,-55.5421527632331</v>
      </c>
      <c r="G321" s="68" t="str">
        <f>IFERROR(__xludf.DUMMYFUNCTION("""COMPUTED_VALUE"""),"https://earth.google.com/web/search/-30.9051399848699,-55.5421527632331")</f>
        <v>https://earth.google.com/web/search/-30.9051399848699,-55.5421527632331</v>
      </c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</row>
    <row r="322">
      <c r="A322" s="69" t="str">
        <f>IFERROR(__xludf.DUMMYFUNCTION("""COMPUTED_VALUE"""),"-30.9051793498489")</f>
        <v>-30.9051793498489</v>
      </c>
      <c r="B322" s="61" t="str">
        <f>IFERROR(__xludf.DUMMYFUNCTION("""COMPUTED_VALUE"""),"-55.5420824983456")</f>
        <v>-55.5420824983456</v>
      </c>
      <c r="C322" s="61">
        <f>IFERROR(__xludf.DUMMYFUNCTION("""COMPUTED_VALUE"""),1.0)</f>
        <v>1</v>
      </c>
      <c r="D322" s="61">
        <f>IFERROR(__xludf.DUMMYFUNCTION("""COMPUTED_VALUE"""),330.0)</f>
        <v>330</v>
      </c>
      <c r="E322" s="61">
        <f>IFERROR(__xludf.DUMMYFUNCTION("""COMPUTED_VALUE"""),2.0)</f>
        <v>2</v>
      </c>
      <c r="F322" s="62" t="str">
        <f>IFERROR(__xludf.DUMMYFUNCTION("""COMPUTED_VALUE"""),"https://www.google.com/maps/search/?api=1&amp;query=-30.9051793498489,-55.5420824983456")</f>
        <v>https://www.google.com/maps/search/?api=1&amp;query=-30.9051793498489,-55.5420824983456</v>
      </c>
      <c r="G322" s="63" t="str">
        <f>IFERROR(__xludf.DUMMYFUNCTION("""COMPUTED_VALUE"""),"https://earth.google.com/web/search/-30.9051793498489,-55.5420824983456")</f>
        <v>https://earth.google.com/web/search/-30.9051793498489,-55.5420824983456</v>
      </c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</row>
    <row r="323">
      <c r="A323" s="65" t="str">
        <f>IFERROR(__xludf.DUMMYFUNCTION("""COMPUTED_VALUE"""),"-30.9052039276235")</f>
        <v>-30.9052039276235</v>
      </c>
      <c r="B323" s="66" t="str">
        <f>IFERROR(__xludf.DUMMYFUNCTION("""COMPUTED_VALUE"""),"-55.5420035537721")</f>
        <v>-55.5420035537721</v>
      </c>
      <c r="C323" s="66">
        <f>IFERROR(__xludf.DUMMYFUNCTION("""COMPUTED_VALUE"""),1.0)</f>
        <v>1</v>
      </c>
      <c r="D323" s="66">
        <f>IFERROR(__xludf.DUMMYFUNCTION("""COMPUTED_VALUE"""),330.0)</f>
        <v>330</v>
      </c>
      <c r="E323" s="66">
        <f>IFERROR(__xludf.DUMMYFUNCTION("""COMPUTED_VALUE"""),3.0)</f>
        <v>3</v>
      </c>
      <c r="F323" s="67" t="str">
        <f>IFERROR(__xludf.DUMMYFUNCTION("""COMPUTED_VALUE"""),"https://www.google.com/maps/search/?api=1&amp;query=-30.9052039276235,-55.5420035537721")</f>
        <v>https://www.google.com/maps/search/?api=1&amp;query=-30.9052039276235,-55.5420035537721</v>
      </c>
      <c r="G323" s="68" t="str">
        <f>IFERROR(__xludf.DUMMYFUNCTION("""COMPUTED_VALUE"""),"https://earth.google.com/web/search/-30.9052039276235,-55.5420035537721")</f>
        <v>https://earth.google.com/web/search/-30.9052039276235,-55.5420035537721</v>
      </c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</row>
    <row r="324">
      <c r="A324" s="69" t="str">
        <f>IFERROR(__xludf.DUMMYFUNCTION("""COMPUTED_VALUE"""),"-30.9053500941998")</f>
        <v>-30.9053500941998</v>
      </c>
      <c r="B324" s="61" t="str">
        <f>IFERROR(__xludf.DUMMYFUNCTION("""COMPUTED_VALUE"""),"-55.5417197850295")</f>
        <v>-55.5417197850295</v>
      </c>
      <c r="C324" s="61">
        <f>IFERROR(__xludf.DUMMYFUNCTION("""COMPUTED_VALUE"""),1.0)</f>
        <v>1</v>
      </c>
      <c r="D324" s="61">
        <f>IFERROR(__xludf.DUMMYFUNCTION("""COMPUTED_VALUE"""),330.0)</f>
        <v>330</v>
      </c>
      <c r="E324" s="61">
        <f>IFERROR(__xludf.DUMMYFUNCTION("""COMPUTED_VALUE"""),4.0)</f>
        <v>4</v>
      </c>
      <c r="F324" s="62" t="str">
        <f>IFERROR(__xludf.DUMMYFUNCTION("""COMPUTED_VALUE"""),"https://www.google.com/maps/search/?api=1&amp;query=-30.9053500941998,-55.5417197850295")</f>
        <v>https://www.google.com/maps/search/?api=1&amp;query=-30.9053500941998,-55.5417197850295</v>
      </c>
      <c r="G324" s="63" t="str">
        <f>IFERROR(__xludf.DUMMYFUNCTION("""COMPUTED_VALUE"""),"https://earth.google.com/web/search/-30.9053500941998,-55.5417197850295")</f>
        <v>https://earth.google.com/web/search/-30.9053500941998,-55.5417197850295</v>
      </c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</row>
    <row r="325">
      <c r="A325" s="65" t="str">
        <f>IFERROR(__xludf.DUMMYFUNCTION("""COMPUTED_VALUE"""),"-30.9054446507661")</f>
        <v>-30.9054446507661</v>
      </c>
      <c r="B325" s="66" t="str">
        <f>IFERROR(__xludf.DUMMYFUNCTION("""COMPUTED_VALUE"""),"-55.5413866791678")</f>
        <v>-55.5413866791678</v>
      </c>
      <c r="C325" s="66">
        <f>IFERROR(__xludf.DUMMYFUNCTION("""COMPUTED_VALUE"""),1.0)</f>
        <v>1</v>
      </c>
      <c r="D325" s="66">
        <f>IFERROR(__xludf.DUMMYFUNCTION("""COMPUTED_VALUE"""),330.0)</f>
        <v>330</v>
      </c>
      <c r="E325" s="66">
        <f>IFERROR(__xludf.DUMMYFUNCTION("""COMPUTED_VALUE"""),5.0)</f>
        <v>5</v>
      </c>
      <c r="F325" s="67" t="str">
        <f>IFERROR(__xludf.DUMMYFUNCTION("""COMPUTED_VALUE"""),"https://www.google.com/maps/search/?api=1&amp;query=-30.9054446507661,-55.5413866791678")</f>
        <v>https://www.google.com/maps/search/?api=1&amp;query=-30.9054446507661,-55.5413866791678</v>
      </c>
      <c r="G325" s="68" t="str">
        <f>IFERROR(__xludf.DUMMYFUNCTION("""COMPUTED_VALUE"""),"https://earth.google.com/web/search/-30.9054446507661,-55.5413866791678")</f>
        <v>https://earth.google.com/web/search/-30.9054446507661,-55.5413866791678</v>
      </c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</row>
    <row r="326">
      <c r="A326" s="69" t="str">
        <f>IFERROR(__xludf.DUMMYFUNCTION("""COMPUTED_VALUE"""),"-30.9053686243651")</f>
        <v>-30.9053686243651</v>
      </c>
      <c r="B326" s="61" t="str">
        <f>IFERROR(__xludf.DUMMYFUNCTION("""COMPUTED_VALUE"""),"-55.5413290437413")</f>
        <v>-55.5413290437413</v>
      </c>
      <c r="C326" s="61">
        <f>IFERROR(__xludf.DUMMYFUNCTION("""COMPUTED_VALUE"""),1.0)</f>
        <v>1</v>
      </c>
      <c r="D326" s="61">
        <f>IFERROR(__xludf.DUMMYFUNCTION("""COMPUTED_VALUE"""),330.0)</f>
        <v>330</v>
      </c>
      <c r="E326" s="61">
        <f>IFERROR(__xludf.DUMMYFUNCTION("""COMPUTED_VALUE"""),6.0)</f>
        <v>6</v>
      </c>
      <c r="F326" s="62" t="str">
        <f>IFERROR(__xludf.DUMMYFUNCTION("""COMPUTED_VALUE"""),"https://www.google.com/maps/search/?api=1&amp;query=-30.9053686243651,-55.5413290437413")</f>
        <v>https://www.google.com/maps/search/?api=1&amp;query=-30.9053686243651,-55.5413290437413</v>
      </c>
      <c r="G326" s="63" t="str">
        <f>IFERROR(__xludf.DUMMYFUNCTION("""COMPUTED_VALUE"""),"https://earth.google.com/web/search/-30.9053686243651,-55.5413290437413")</f>
        <v>https://earth.google.com/web/search/-30.9053686243651,-55.5413290437413</v>
      </c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</row>
    <row r="327">
      <c r="A327" s="65" t="str">
        <f>IFERROR(__xludf.DUMMYFUNCTION("""COMPUTED_VALUE"""),"-30.9052612730484")</f>
        <v>-30.9052612730484</v>
      </c>
      <c r="B327" s="66" t="str">
        <f>IFERROR(__xludf.DUMMYFUNCTION("""COMPUTED_VALUE"""),"-5.5541260518388")</f>
        <v>-5.5541260518388</v>
      </c>
      <c r="C327" s="66">
        <f>IFERROR(__xludf.DUMMYFUNCTION("""COMPUTED_VALUE"""),1.0)</f>
        <v>1</v>
      </c>
      <c r="D327" s="66">
        <f>IFERROR(__xludf.DUMMYFUNCTION("""COMPUTED_VALUE"""),330.0)</f>
        <v>330</v>
      </c>
      <c r="E327" s="66">
        <f>IFERROR(__xludf.DUMMYFUNCTION("""COMPUTED_VALUE"""),7.0)</f>
        <v>7</v>
      </c>
      <c r="F327" s="67" t="str">
        <f>IFERROR(__xludf.DUMMYFUNCTION("""COMPUTED_VALUE"""),"https://www.google.com/maps/search/?api=1&amp;query=-30.9052612730484,-5.5541260518388")</f>
        <v>https://www.google.com/maps/search/?api=1&amp;query=-30.9052612730484,-5.5541260518388</v>
      </c>
      <c r="G327" s="68" t="str">
        <f>IFERROR(__xludf.DUMMYFUNCTION("""COMPUTED_VALUE"""),"https://earth.google.com/web/search/-30.9052612730484,-5.5541260518388")</f>
        <v>https://earth.google.com/web/search/-30.9052612730484,-5.5541260518388</v>
      </c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</row>
    <row r="328">
      <c r="A328" s="69" t="str">
        <f>IFERROR(__xludf.DUMMYFUNCTION("""COMPUTED_VALUE"""),"-30.9051985519487")</f>
        <v>-30.9051985519487</v>
      </c>
      <c r="B328" s="61" t="str">
        <f>IFERROR(__xludf.DUMMYFUNCTION("""COMPUTED_VALUE"""),"-55.5412097203144")</f>
        <v>-55.5412097203144</v>
      </c>
      <c r="C328" s="61">
        <f>IFERROR(__xludf.DUMMYFUNCTION("""COMPUTED_VALUE"""),1.0)</f>
        <v>1</v>
      </c>
      <c r="D328" s="61">
        <f>IFERROR(__xludf.DUMMYFUNCTION("""COMPUTED_VALUE"""),330.0)</f>
        <v>330</v>
      </c>
      <c r="E328" s="61">
        <f>IFERROR(__xludf.DUMMYFUNCTION("""COMPUTED_VALUE"""),8.0)</f>
        <v>8</v>
      </c>
      <c r="F328" s="62" t="str">
        <f>IFERROR(__xludf.DUMMYFUNCTION("""COMPUTED_VALUE"""),"https://www.google.com/maps/search/?api=1&amp;query=-30.9051985519487,-55.5412097203144")</f>
        <v>https://www.google.com/maps/search/?api=1&amp;query=-30.9051985519487,-55.5412097203144</v>
      </c>
      <c r="G328" s="63" t="str">
        <f>IFERROR(__xludf.DUMMYFUNCTION("""COMPUTED_VALUE"""),"https://earth.google.com/web/search/-30.9051985519487,-55.5412097203144")</f>
        <v>https://earth.google.com/web/search/-30.9051985519487,-55.5412097203144</v>
      </c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</row>
    <row r="329">
      <c r="A329" s="65" t="str">
        <f>IFERROR(__xludf.DUMMYFUNCTION("""COMPUTED_VALUE"""),"-30.9047404673893")</f>
        <v>-30.9047404673893</v>
      </c>
      <c r="B329" s="66" t="str">
        <f>IFERROR(__xludf.DUMMYFUNCTION("""COMPUTED_VALUE"""),"-55.5410787816866")</f>
        <v>-55.5410787816866</v>
      </c>
      <c r="C329" s="66">
        <f>IFERROR(__xludf.DUMMYFUNCTION("""COMPUTED_VALUE"""),1.0)</f>
        <v>1</v>
      </c>
      <c r="D329" s="66">
        <f>IFERROR(__xludf.DUMMYFUNCTION("""COMPUTED_VALUE"""),330.0)</f>
        <v>330</v>
      </c>
      <c r="E329" s="66">
        <f>IFERROR(__xludf.DUMMYFUNCTION("""COMPUTED_VALUE"""),9.0)</f>
        <v>9</v>
      </c>
      <c r="F329" s="67" t="str">
        <f>IFERROR(__xludf.DUMMYFUNCTION("""COMPUTED_VALUE"""),"https://www.google.com/maps/search/?api=1&amp;query=-30.9047404673893,-55.5410787816866")</f>
        <v>https://www.google.com/maps/search/?api=1&amp;query=-30.9047404673893,-55.5410787816866</v>
      </c>
      <c r="G329" s="68" t="str">
        <f>IFERROR(__xludf.DUMMYFUNCTION("""COMPUTED_VALUE"""),"https://earth.google.com/web/search/-30.9047404673893,-55.5410787816866")</f>
        <v>https://earth.google.com/web/search/-30.9047404673893,-55.5410787816866</v>
      </c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</row>
    <row r="330">
      <c r="A330" s="69" t="str">
        <f>IFERROR(__xludf.DUMMYFUNCTION("""COMPUTED_VALUE"""),"-30.9047175760065")</f>
        <v>-30.9047175760065</v>
      </c>
      <c r="B330" s="61" t="str">
        <f>IFERROR(__xludf.DUMMYFUNCTION("""COMPUTED_VALUE"""),"-55.5411325306665")</f>
        <v>-55.5411325306665</v>
      </c>
      <c r="C330" s="61">
        <f>IFERROR(__xludf.DUMMYFUNCTION("""COMPUTED_VALUE"""),1.0)</f>
        <v>1</v>
      </c>
      <c r="D330" s="61">
        <f>IFERROR(__xludf.DUMMYFUNCTION("""COMPUTED_VALUE"""),330.0)</f>
        <v>330</v>
      </c>
      <c r="E330" s="61">
        <f>IFERROR(__xludf.DUMMYFUNCTION("""COMPUTED_VALUE"""),10.0)</f>
        <v>10</v>
      </c>
      <c r="F330" s="62" t="str">
        <f>IFERROR(__xludf.DUMMYFUNCTION("""COMPUTED_VALUE"""),"https://www.google.com/maps/search/?api=1&amp;query=-30.9047175760065,-55.5411325306665")</f>
        <v>https://www.google.com/maps/search/?api=1&amp;query=-30.9047175760065,-55.5411325306665</v>
      </c>
      <c r="G330" s="63" t="str">
        <f>IFERROR(__xludf.DUMMYFUNCTION("""COMPUTED_VALUE"""),"https://earth.google.com/web/search/-30.9047175760065,-55.5411325306665")</f>
        <v>https://earth.google.com/web/search/-30.9047175760065,-55.5411325306665</v>
      </c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</row>
    <row r="331">
      <c r="A331" s="65" t="str">
        <f>IFERROR(__xludf.DUMMYFUNCTION("""COMPUTED_VALUE"""),"-30.9046821971386")</f>
        <v>-30.9046821971386</v>
      </c>
      <c r="B331" s="66" t="str">
        <f>IFERROR(__xludf.DUMMYFUNCTION("""COMPUTED_VALUE"""),"-55.5412092615617")</f>
        <v>-55.5412092615617</v>
      </c>
      <c r="C331" s="66">
        <f>IFERROR(__xludf.DUMMYFUNCTION("""COMPUTED_VALUE"""),1.0)</f>
        <v>1</v>
      </c>
      <c r="D331" s="66">
        <f>IFERROR(__xludf.DUMMYFUNCTION("""COMPUTED_VALUE"""),330.0)</f>
        <v>330</v>
      </c>
      <c r="E331" s="66">
        <f>IFERROR(__xludf.DUMMYFUNCTION("""COMPUTED_VALUE"""),11.0)</f>
        <v>11</v>
      </c>
      <c r="F331" s="67" t="str">
        <f>IFERROR(__xludf.DUMMYFUNCTION("""COMPUTED_VALUE"""),"https://www.google.com/maps/search/?api=1&amp;query=-30.9046821971386,-55.5412092615617")</f>
        <v>https://www.google.com/maps/search/?api=1&amp;query=-30.9046821971386,-55.5412092615617</v>
      </c>
      <c r="G331" s="68" t="str">
        <f>IFERROR(__xludf.DUMMYFUNCTION("""COMPUTED_VALUE"""),"https://earth.google.com/web/search/-30.9046821971386,-55.5412092615617")</f>
        <v>https://earth.google.com/web/search/-30.9046821971386,-55.5412092615617</v>
      </c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</row>
    <row r="332">
      <c r="A332" s="69" t="str">
        <f>IFERROR(__xludf.DUMMYFUNCTION("""COMPUTED_VALUE"""),"-30.9045818248201")</f>
        <v>-30.9045818248201</v>
      </c>
      <c r="B332" s="61" t="str">
        <f>IFERROR(__xludf.DUMMYFUNCTION("""COMPUTED_VALUE"""),"-55.5413746209062")</f>
        <v>-55.5413746209062</v>
      </c>
      <c r="C332" s="61">
        <f>IFERROR(__xludf.DUMMYFUNCTION("""COMPUTED_VALUE"""),1.0)</f>
        <v>1</v>
      </c>
      <c r="D332" s="61">
        <f>IFERROR(__xludf.DUMMYFUNCTION("""COMPUTED_VALUE"""),330.0)</f>
        <v>330</v>
      </c>
      <c r="E332" s="61">
        <f>IFERROR(__xludf.DUMMYFUNCTION("""COMPUTED_VALUE"""),12.0)</f>
        <v>12</v>
      </c>
      <c r="F332" s="62" t="str">
        <f>IFERROR(__xludf.DUMMYFUNCTION("""COMPUTED_VALUE"""),"https://www.google.com/maps/search/?api=1&amp;query=-30.9045818248201,-55.5413746209062")</f>
        <v>https://www.google.com/maps/search/?api=1&amp;query=-30.9045818248201,-55.5413746209062</v>
      </c>
      <c r="G332" s="63" t="str">
        <f>IFERROR(__xludf.DUMMYFUNCTION("""COMPUTED_VALUE"""),"https://earth.google.com/web/search/-30.9045818248201,-55.5413746209062")</f>
        <v>https://earth.google.com/web/search/-30.9045818248201,-55.5413746209062</v>
      </c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</row>
    <row r="333">
      <c r="A333" s="65" t="str">
        <f>IFERROR(__xludf.DUMMYFUNCTION("""COMPUTED_VALUE"""),"-30.9045498284703")</f>
        <v>-30.9045498284703</v>
      </c>
      <c r="B333" s="66" t="str">
        <f>IFERROR(__xludf.DUMMYFUNCTION("""COMPUTED_VALUE"""),"-55.5414614461382")</f>
        <v>-55.5414614461382</v>
      </c>
      <c r="C333" s="66">
        <f>IFERROR(__xludf.DUMMYFUNCTION("""COMPUTED_VALUE"""),1.0)</f>
        <v>1</v>
      </c>
      <c r="D333" s="66">
        <f>IFERROR(__xludf.DUMMYFUNCTION("""COMPUTED_VALUE"""),330.0)</f>
        <v>330</v>
      </c>
      <c r="E333" s="66">
        <f>IFERROR(__xludf.DUMMYFUNCTION("""COMPUTED_VALUE"""),13.0)</f>
        <v>13</v>
      </c>
      <c r="F333" s="67" t="str">
        <f>IFERROR(__xludf.DUMMYFUNCTION("""COMPUTED_VALUE"""),"https://www.google.com/maps/search/?api=1&amp;query=-30.9045498284703,-55.5414614461382")</f>
        <v>https://www.google.com/maps/search/?api=1&amp;query=-30.9045498284703,-55.5414614461382</v>
      </c>
      <c r="G333" s="68" t="str">
        <f>IFERROR(__xludf.DUMMYFUNCTION("""COMPUTED_VALUE"""),"https://earth.google.com/web/search/-30.9045498284703,-55.5414614461382")</f>
        <v>https://earth.google.com/web/search/-30.9045498284703,-55.5414614461382</v>
      </c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</row>
    <row r="334">
      <c r="A334" s="69" t="str">
        <f>IFERROR(__xludf.DUMMYFUNCTION("""COMPUTED_VALUE"""),"-30.9044570386678")</f>
        <v>-30.9044570386678</v>
      </c>
      <c r="B334" s="61" t="str">
        <f>IFERROR(__xludf.DUMMYFUNCTION("""COMPUTED_VALUE"""),"-55.5415908833544")</f>
        <v>-55.5415908833544</v>
      </c>
      <c r="C334" s="61">
        <f>IFERROR(__xludf.DUMMYFUNCTION("""COMPUTED_VALUE"""),1.0)</f>
        <v>1</v>
      </c>
      <c r="D334" s="61">
        <f>IFERROR(__xludf.DUMMYFUNCTION("""COMPUTED_VALUE"""),330.0)</f>
        <v>330</v>
      </c>
      <c r="E334" s="61">
        <f>IFERROR(__xludf.DUMMYFUNCTION("""COMPUTED_VALUE"""),14.0)</f>
        <v>14</v>
      </c>
      <c r="F334" s="62" t="str">
        <f>IFERROR(__xludf.DUMMYFUNCTION("""COMPUTED_VALUE"""),"https://www.google.com/maps/search/?api=1&amp;query=-30.9044570386678,-55.5415908833544")</f>
        <v>https://www.google.com/maps/search/?api=1&amp;query=-30.9044570386678,-55.5415908833544</v>
      </c>
      <c r="G334" s="63" t="str">
        <f>IFERROR(__xludf.DUMMYFUNCTION("""COMPUTED_VALUE"""),"https://earth.google.com/web/search/-30.9044570386678,-55.5415908833544")</f>
        <v>https://earth.google.com/web/search/-30.9044570386678,-55.5415908833544</v>
      </c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</row>
    <row r="335">
      <c r="A335" s="65" t="str">
        <f>IFERROR(__xludf.DUMMYFUNCTION("""COMPUTED_VALUE"""),"-30.9044132660658")</f>
        <v>-30.9044132660658</v>
      </c>
      <c r="B335" s="66" t="str">
        <f>IFERROR(__xludf.DUMMYFUNCTION("""COMPUTED_VALUE"""),"-5.5541681582919")</f>
        <v>-5.5541681582919</v>
      </c>
      <c r="C335" s="66">
        <f>IFERROR(__xludf.DUMMYFUNCTION("""COMPUTED_VALUE"""),1.0)</f>
        <v>1</v>
      </c>
      <c r="D335" s="66">
        <f>IFERROR(__xludf.DUMMYFUNCTION("""COMPUTED_VALUE"""),330.0)</f>
        <v>330</v>
      </c>
      <c r="E335" s="66">
        <f>IFERROR(__xludf.DUMMYFUNCTION("""COMPUTED_VALUE"""),15.0)</f>
        <v>15</v>
      </c>
      <c r="F335" s="67" t="str">
        <f>IFERROR(__xludf.DUMMYFUNCTION("""COMPUTED_VALUE"""),"https://www.google.com/maps/search/?api=1&amp;query=-30.9044132660658,-5.5541681582919")</f>
        <v>https://www.google.com/maps/search/?api=1&amp;query=-30.9044132660658,-5.5541681582919</v>
      </c>
      <c r="G335" s="68" t="str">
        <f>IFERROR(__xludf.DUMMYFUNCTION("""COMPUTED_VALUE"""),"https://earth.google.com/web/search/-30.9044132660658,-5.5541681582919")</f>
        <v>https://earth.google.com/web/search/-30.9044132660658,-5.5541681582919</v>
      </c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</row>
    <row r="336">
      <c r="A336" s="69" t="str">
        <f>IFERROR(__xludf.DUMMYFUNCTION("""COMPUTED_VALUE"""),"-30.9044694481377")</f>
        <v>-30.9044694481377</v>
      </c>
      <c r="B336" s="61" t="str">
        <f>IFERROR(__xludf.DUMMYFUNCTION("""COMPUTED_VALUE"""),"-55.5418272342287")</f>
        <v>-55.5418272342287</v>
      </c>
      <c r="C336" s="61">
        <f>IFERROR(__xludf.DUMMYFUNCTION("""COMPUTED_VALUE"""),1.0)</f>
        <v>1</v>
      </c>
      <c r="D336" s="61">
        <f>IFERROR(__xludf.DUMMYFUNCTION("""COMPUTED_VALUE"""),330.0)</f>
        <v>330</v>
      </c>
      <c r="E336" s="61">
        <f>IFERROR(__xludf.DUMMYFUNCTION("""COMPUTED_VALUE"""),16.0)</f>
        <v>16</v>
      </c>
      <c r="F336" s="62" t="str">
        <f>IFERROR(__xludf.DUMMYFUNCTION("""COMPUTED_VALUE"""),"https://www.google.com/maps/search/?api=1&amp;query=-30.9044694481377,-55.5418272342287")</f>
        <v>https://www.google.com/maps/search/?api=1&amp;query=-30.9044694481377,-55.5418272342287</v>
      </c>
      <c r="G336" s="63" t="str">
        <f>IFERROR(__xludf.DUMMYFUNCTION("""COMPUTED_VALUE"""),"https://earth.google.com/web/search/-30.9044694481377,-55.5418272342287")</f>
        <v>https://earth.google.com/web/search/-30.9044694481377,-55.5418272342287</v>
      </c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</row>
    <row r="337">
      <c r="A337" s="65" t="str">
        <f>IFERROR(__xludf.DUMMYFUNCTION("""COMPUTED_VALUE"""),"-30.9045438144544")</f>
        <v>-30.9045438144544</v>
      </c>
      <c r="B337" s="66" t="str">
        <f>IFERROR(__xludf.DUMMYFUNCTION("""COMPUTED_VALUE"""),"-55.5418664125918")</f>
        <v>-55.5418664125918</v>
      </c>
      <c r="C337" s="66">
        <f>IFERROR(__xludf.DUMMYFUNCTION("""COMPUTED_VALUE"""),1.0)</f>
        <v>1</v>
      </c>
      <c r="D337" s="66">
        <f>IFERROR(__xludf.DUMMYFUNCTION("""COMPUTED_VALUE"""),330.0)</f>
        <v>330</v>
      </c>
      <c r="E337" s="66">
        <f>IFERROR(__xludf.DUMMYFUNCTION("""COMPUTED_VALUE"""),17.0)</f>
        <v>17</v>
      </c>
      <c r="F337" s="67" t="str">
        <f>IFERROR(__xludf.DUMMYFUNCTION("""COMPUTED_VALUE"""),"https://www.google.com/maps/search/?api=1&amp;query=-30.9045438144544,-55.5418664125918")</f>
        <v>https://www.google.com/maps/search/?api=1&amp;query=-30.9045438144544,-55.5418664125918</v>
      </c>
      <c r="G337" s="68" t="str">
        <f>IFERROR(__xludf.DUMMYFUNCTION("""COMPUTED_VALUE"""),"https://earth.google.com/web/search/-30.9045438144544,-55.5418664125918")</f>
        <v>https://earth.google.com/web/search/-30.9045438144544,-55.5418664125918</v>
      </c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</row>
    <row r="338">
      <c r="A338" s="69" t="str">
        <f>IFERROR(__xludf.DUMMYFUNCTION("""COMPUTED_VALUE"""),"-30.9047700703388")</f>
        <v>-30.9047700703388</v>
      </c>
      <c r="B338" s="61" t="str">
        <f>IFERROR(__xludf.DUMMYFUNCTION("""COMPUTED_VALUE"""),"-55.5420156609027")</f>
        <v>-55.5420156609027</v>
      </c>
      <c r="C338" s="61">
        <f>IFERROR(__xludf.DUMMYFUNCTION("""COMPUTED_VALUE"""),1.0)</f>
        <v>1</v>
      </c>
      <c r="D338" s="61">
        <f>IFERROR(__xludf.DUMMYFUNCTION("""COMPUTED_VALUE"""),330.0)</f>
        <v>330</v>
      </c>
      <c r="E338" s="61">
        <f>IFERROR(__xludf.DUMMYFUNCTION("""COMPUTED_VALUE"""),18.0)</f>
        <v>18</v>
      </c>
      <c r="F338" s="62" t="str">
        <f>IFERROR(__xludf.DUMMYFUNCTION("""COMPUTED_VALUE"""),"https://www.google.com/maps/search/?api=1&amp;query=-30.9047700703388,-55.5420156609027")</f>
        <v>https://www.google.com/maps/search/?api=1&amp;query=-30.9047700703388,-55.5420156609027</v>
      </c>
      <c r="G338" s="63" t="str">
        <f>IFERROR(__xludf.DUMMYFUNCTION("""COMPUTED_VALUE"""),"https://earth.google.com/web/search/-30.9047700703388,-55.5420156609027")</f>
        <v>https://earth.google.com/web/search/-30.9047700703388,-55.5420156609027</v>
      </c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</row>
    <row r="339">
      <c r="A339" s="65" t="str">
        <f>IFERROR(__xludf.DUMMYFUNCTION("""COMPUTED_VALUE"""),"-30.9049010803558")</f>
        <v>-30.9049010803558</v>
      </c>
      <c r="B339" s="66" t="str">
        <f>IFERROR(__xludf.DUMMYFUNCTION("""COMPUTED_VALUE"""),"-55.5421076127647")</f>
        <v>-55.5421076127647</v>
      </c>
      <c r="C339" s="66">
        <f>IFERROR(__xludf.DUMMYFUNCTION("""COMPUTED_VALUE"""),1.0)</f>
        <v>1</v>
      </c>
      <c r="D339" s="66">
        <f>IFERROR(__xludf.DUMMYFUNCTION("""COMPUTED_VALUE"""),330.0)</f>
        <v>330</v>
      </c>
      <c r="E339" s="66">
        <f>IFERROR(__xludf.DUMMYFUNCTION("""COMPUTED_VALUE"""),19.0)</f>
        <v>19</v>
      </c>
      <c r="F339" s="67" t="str">
        <f>IFERROR(__xludf.DUMMYFUNCTION("""COMPUTED_VALUE"""),"https://www.google.com/maps/search/?api=1&amp;query=-30.9049010803558,-55.5421076127647")</f>
        <v>https://www.google.com/maps/search/?api=1&amp;query=-30.9049010803558,-55.5421076127647</v>
      </c>
      <c r="G339" s="68" t="str">
        <f>IFERROR(__xludf.DUMMYFUNCTION("""COMPUTED_VALUE"""),"https://earth.google.com/web/search/-30.9049010803558,-55.5421076127647")</f>
        <v>https://earth.google.com/web/search/-30.9049010803558,-55.5421076127647</v>
      </c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</row>
    <row r="340">
      <c r="A340" s="69" t="str">
        <f>IFERROR(__xludf.DUMMYFUNCTION("""COMPUTED_VALUE"""),"-30.9047191258822")</f>
        <v>-30.9047191258822</v>
      </c>
      <c r="B340" s="61" t="str">
        <f>IFERROR(__xludf.DUMMYFUNCTION("""COMPUTED_VALUE"""),"-55.5429617541547")</f>
        <v>-55.5429617541547</v>
      </c>
      <c r="C340" s="61">
        <f>IFERROR(__xludf.DUMMYFUNCTION("""COMPUTED_VALUE"""),1.0)</f>
        <v>1</v>
      </c>
      <c r="D340" s="61">
        <f>IFERROR(__xludf.DUMMYFUNCTION("""COMPUTED_VALUE"""),329.0)</f>
        <v>329</v>
      </c>
      <c r="E340" s="61">
        <f>IFERROR(__xludf.DUMMYFUNCTION("""COMPUTED_VALUE"""),1.0)</f>
        <v>1</v>
      </c>
      <c r="F340" s="62" t="str">
        <f>IFERROR(__xludf.DUMMYFUNCTION("""COMPUTED_VALUE"""),"https://www.google.com/maps/search/?api=1&amp;query=-30.9047191258822,-55.5429617541547")</f>
        <v>https://www.google.com/maps/search/?api=1&amp;query=-30.9047191258822,-55.5429617541547</v>
      </c>
      <c r="G340" s="63" t="str">
        <f>IFERROR(__xludf.DUMMYFUNCTION("""COMPUTED_VALUE"""),"https://earth.google.com/web/search/-30.9047191258822,-55.5429617541547")</f>
        <v>https://earth.google.com/web/search/-30.9047191258822,-55.5429617541547</v>
      </c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</row>
    <row r="341">
      <c r="A341" s="65" t="str">
        <f>IFERROR(__xludf.DUMMYFUNCTION("""COMPUTED_VALUE"""),"-30.9048309997995")</f>
        <v>-30.9048309997995</v>
      </c>
      <c r="B341" s="66" t="str">
        <f>IFERROR(__xludf.DUMMYFUNCTION("""COMPUTED_VALUE"""),"-55.5427552973799")</f>
        <v>-55.5427552973799</v>
      </c>
      <c r="C341" s="66">
        <f>IFERROR(__xludf.DUMMYFUNCTION("""COMPUTED_VALUE"""),1.0)</f>
        <v>1</v>
      </c>
      <c r="D341" s="66">
        <f>IFERROR(__xludf.DUMMYFUNCTION("""COMPUTED_VALUE"""),329.0)</f>
        <v>329</v>
      </c>
      <c r="E341" s="66">
        <f>IFERROR(__xludf.DUMMYFUNCTION("""COMPUTED_VALUE"""),2.0)</f>
        <v>2</v>
      </c>
      <c r="F341" s="67" t="str">
        <f>IFERROR(__xludf.DUMMYFUNCTION("""COMPUTED_VALUE"""),"https://www.google.com/maps/search/?api=1&amp;query=-30.9048309997995,-55.5427552973799")</f>
        <v>https://www.google.com/maps/search/?api=1&amp;query=-30.9048309997995,-55.5427552973799</v>
      </c>
      <c r="G341" s="68" t="str">
        <f>IFERROR(__xludf.DUMMYFUNCTION("""COMPUTED_VALUE"""),"https://earth.google.com/web/search/-30.9048309997995,-55.5427552973799")</f>
        <v>https://earth.google.com/web/search/-30.9048309997995,-55.5427552973799</v>
      </c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</row>
    <row r="342">
      <c r="A342" s="69" t="str">
        <f>IFERROR(__xludf.DUMMYFUNCTION("""COMPUTED_VALUE"""),"-30.9049192206868")</f>
        <v>-30.9049192206868</v>
      </c>
      <c r="B342" s="61" t="str">
        <f>IFERROR(__xludf.DUMMYFUNCTION("""COMPUTED_VALUE"""),"-55.5425694967673")</f>
        <v>-55.5425694967673</v>
      </c>
      <c r="C342" s="61">
        <f>IFERROR(__xludf.DUMMYFUNCTION("""COMPUTED_VALUE"""),1.0)</f>
        <v>1</v>
      </c>
      <c r="D342" s="61">
        <f>IFERROR(__xludf.DUMMYFUNCTION("""COMPUTED_VALUE"""),329.0)</f>
        <v>329</v>
      </c>
      <c r="E342" s="61">
        <f>IFERROR(__xludf.DUMMYFUNCTION("""COMPUTED_VALUE"""),10.0)</f>
        <v>10</v>
      </c>
      <c r="F342" s="62" t="str">
        <f>IFERROR(__xludf.DUMMYFUNCTION("""COMPUTED_VALUE"""),"https://www.google.com/maps/search/?api=1&amp;query=-30.9049192206868,-55.5425694967673")</f>
        <v>https://www.google.com/maps/search/?api=1&amp;query=-30.9049192206868,-55.5425694967673</v>
      </c>
      <c r="G342" s="63" t="str">
        <f>IFERROR(__xludf.DUMMYFUNCTION("""COMPUTED_VALUE"""),"https://earth.google.com/web/search/-30.9049192206868,-55.5425694967673")</f>
        <v>https://earth.google.com/web/search/-30.9049192206868,-55.5425694967673</v>
      </c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</row>
    <row r="343">
      <c r="A343" s="65" t="str">
        <f>IFERROR(__xludf.DUMMYFUNCTION("""COMPUTED_VALUE"""),"-30.9049627478608")</f>
        <v>-30.9049627478608</v>
      </c>
      <c r="B343" s="66" t="str">
        <f>IFERROR(__xludf.DUMMYFUNCTION("""COMPUTED_VALUE"""),"-55.5425165983874")</f>
        <v>-55.5425165983874</v>
      </c>
      <c r="C343" s="66">
        <f>IFERROR(__xludf.DUMMYFUNCTION("""COMPUTED_VALUE"""),1.0)</f>
        <v>1</v>
      </c>
      <c r="D343" s="66">
        <f>IFERROR(__xludf.DUMMYFUNCTION("""COMPUTED_VALUE"""),329.0)</f>
        <v>329</v>
      </c>
      <c r="E343" s="66">
        <f>IFERROR(__xludf.DUMMYFUNCTION("""COMPUTED_VALUE"""),11.0)</f>
        <v>11</v>
      </c>
      <c r="F343" s="67" t="str">
        <f>IFERROR(__xludf.DUMMYFUNCTION("""COMPUTED_VALUE"""),"https://www.google.com/maps/search/?api=1&amp;query=-30.9049627478608,-55.5425165983874")</f>
        <v>https://www.google.com/maps/search/?api=1&amp;query=-30.9049627478608,-55.5425165983874</v>
      </c>
      <c r="G343" s="68" t="str">
        <f>IFERROR(__xludf.DUMMYFUNCTION("""COMPUTED_VALUE"""),"https://earth.google.com/web/search/-30.9049627478608,-55.5425165983874")</f>
        <v>https://earth.google.com/web/search/-30.9049627478608,-55.5425165983874</v>
      </c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</row>
    <row r="344">
      <c r="A344" s="69" t="str">
        <f>IFERROR(__xludf.DUMMYFUNCTION("""COMPUTED_VALUE"""),"-30.9050420219357")</f>
        <v>-30.9050420219357</v>
      </c>
      <c r="B344" s="61" t="str">
        <f>IFERROR(__xludf.DUMMYFUNCTION("""COMPUTED_VALUE"""),"-55.5423656818809")</f>
        <v>-55.5423656818809</v>
      </c>
      <c r="C344" s="61">
        <f>IFERROR(__xludf.DUMMYFUNCTION("""COMPUTED_VALUE"""),1.0)</f>
        <v>1</v>
      </c>
      <c r="D344" s="61">
        <f>IFERROR(__xludf.DUMMYFUNCTION("""COMPUTED_VALUE"""),329.0)</f>
        <v>329</v>
      </c>
      <c r="E344" s="61">
        <f>IFERROR(__xludf.DUMMYFUNCTION("""COMPUTED_VALUE"""),12.0)</f>
        <v>12</v>
      </c>
      <c r="F344" s="62" t="str">
        <f>IFERROR(__xludf.DUMMYFUNCTION("""COMPUTED_VALUE"""),"https://www.google.com/maps/search/?api=1&amp;query=-30.9050420219357,-55.5423656818809")</f>
        <v>https://www.google.com/maps/search/?api=1&amp;query=-30.9050420219357,-55.5423656818809</v>
      </c>
      <c r="G344" s="63" t="str">
        <f>IFERROR(__xludf.DUMMYFUNCTION("""COMPUTED_VALUE"""),"https://earth.google.com/web/search/-30.9050420219357,-55.5423656818809")</f>
        <v>https://earth.google.com/web/search/-30.9050420219357,-55.5423656818809</v>
      </c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</row>
    <row r="345">
      <c r="A345" s="65" t="str">
        <f>IFERROR(__xludf.DUMMYFUNCTION("""COMPUTED_VALUE"""),"-3.0904909232427")</f>
        <v>-3.0904909232427</v>
      </c>
      <c r="B345" s="66" t="str">
        <f>IFERROR(__xludf.DUMMYFUNCTION("""COMPUTED_VALUE"""),"-55.5422284493577")</f>
        <v>-55.5422284493577</v>
      </c>
      <c r="C345" s="66">
        <f>IFERROR(__xludf.DUMMYFUNCTION("""COMPUTED_VALUE"""),1.0)</f>
        <v>1</v>
      </c>
      <c r="D345" s="66">
        <f>IFERROR(__xludf.DUMMYFUNCTION("""COMPUTED_VALUE"""),329.0)</f>
        <v>329</v>
      </c>
      <c r="E345" s="66">
        <f>IFERROR(__xludf.DUMMYFUNCTION("""COMPUTED_VALUE"""),13.0)</f>
        <v>13</v>
      </c>
      <c r="F345" s="67" t="str">
        <f>IFERROR(__xludf.DUMMYFUNCTION("""COMPUTED_VALUE"""),"https://www.google.com/maps/search/?api=1&amp;query=-3.0904909232427,-55.5422284493577")</f>
        <v>https://www.google.com/maps/search/?api=1&amp;query=-3.0904909232427,-55.5422284493577</v>
      </c>
      <c r="G345" s="68" t="str">
        <f>IFERROR(__xludf.DUMMYFUNCTION("""COMPUTED_VALUE"""),"https://earth.google.com/web/search/-3.0904909232427,-55.5422284493577")</f>
        <v>https://earth.google.com/web/search/-3.0904909232427,-55.5422284493577</v>
      </c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</row>
    <row r="346">
      <c r="A346" s="69" t="str">
        <f>IFERROR(__xludf.DUMMYFUNCTION("""COMPUTED_VALUE"""),"-3.0904829906965")</f>
        <v>-3.0904829906965</v>
      </c>
      <c r="B346" s="61" t="str">
        <f>IFERROR(__xludf.DUMMYFUNCTION("""COMPUTED_VALUE"""),"-5.5542189088396")</f>
        <v>-5.5542189088396</v>
      </c>
      <c r="C346" s="61">
        <f>IFERROR(__xludf.DUMMYFUNCTION("""COMPUTED_VALUE"""),1.0)</f>
        <v>1</v>
      </c>
      <c r="D346" s="61">
        <f>IFERROR(__xludf.DUMMYFUNCTION("""COMPUTED_VALUE"""),329.0)</f>
        <v>329</v>
      </c>
      <c r="E346" s="61">
        <f>IFERROR(__xludf.DUMMYFUNCTION("""COMPUTED_VALUE"""),14.0)</f>
        <v>14</v>
      </c>
      <c r="F346" s="62" t="str">
        <f>IFERROR(__xludf.DUMMYFUNCTION("""COMPUTED_VALUE"""),"https://www.google.com/maps/search/?api=1&amp;query=-3.0904829906965,-5.5542189088396")</f>
        <v>https://www.google.com/maps/search/?api=1&amp;query=-3.0904829906965,-5.5542189088396</v>
      </c>
      <c r="G346" s="63" t="str">
        <f>IFERROR(__xludf.DUMMYFUNCTION("""COMPUTED_VALUE"""),"https://earth.google.com/web/search/-3.0904829906965,-5.5542189088396")</f>
        <v>https://earth.google.com/web/search/-3.0904829906965,-5.5542189088396</v>
      </c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</row>
    <row r="347">
      <c r="A347" s="65" t="str">
        <f>IFERROR(__xludf.DUMMYFUNCTION("""COMPUTED_VALUE"""),"-30.9047411860254")</f>
        <v>-30.9047411860254</v>
      </c>
      <c r="B347" s="66" t="str">
        <f>IFERROR(__xludf.DUMMYFUNCTION("""COMPUTED_VALUE"""),"-55.5421211388411")</f>
        <v>-55.5421211388411</v>
      </c>
      <c r="C347" s="66">
        <f>IFERROR(__xludf.DUMMYFUNCTION("""COMPUTED_VALUE"""),1.0)</f>
        <v>1</v>
      </c>
      <c r="D347" s="66">
        <f>IFERROR(__xludf.DUMMYFUNCTION("""COMPUTED_VALUE"""),329.0)</f>
        <v>329</v>
      </c>
      <c r="E347" s="66">
        <f>IFERROR(__xludf.DUMMYFUNCTION("""COMPUTED_VALUE"""),15.0)</f>
        <v>15</v>
      </c>
      <c r="F347" s="67" t="str">
        <f>IFERROR(__xludf.DUMMYFUNCTION("""COMPUTED_VALUE"""),"https://www.google.com/maps/search/?api=1&amp;query=-30.9047411860254,-55.5421211388411")</f>
        <v>https://www.google.com/maps/search/?api=1&amp;query=-30.9047411860254,-55.5421211388411</v>
      </c>
      <c r="G347" s="68" t="str">
        <f>IFERROR(__xludf.DUMMYFUNCTION("""COMPUTED_VALUE"""),"https://earth.google.com/web/search/-30.9047411860254,-55.5421211388411")</f>
        <v>https://earth.google.com/web/search/-30.9047411860254,-55.5421211388411</v>
      </c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</row>
    <row r="348">
      <c r="A348" s="69" t="str">
        <f>IFERROR(__xludf.DUMMYFUNCTION("""COMPUTED_VALUE"""),"-30.9043959960227")</f>
        <v>-30.9043959960227</v>
      </c>
      <c r="B348" s="61" t="str">
        <f>IFERROR(__xludf.DUMMYFUNCTION("""COMPUTED_VALUE"""),"-5.5541851208749")</f>
        <v>-5.5541851208749</v>
      </c>
      <c r="C348" s="61">
        <f>IFERROR(__xludf.DUMMYFUNCTION("""COMPUTED_VALUE"""),1.0)</f>
        <v>1</v>
      </c>
      <c r="D348" s="61">
        <f>IFERROR(__xludf.DUMMYFUNCTION("""COMPUTED_VALUE"""),329.0)</f>
        <v>329</v>
      </c>
      <c r="E348" s="61">
        <f>IFERROR(__xludf.DUMMYFUNCTION("""COMPUTED_VALUE"""),16.0)</f>
        <v>16</v>
      </c>
      <c r="F348" s="62" t="str">
        <f>IFERROR(__xludf.DUMMYFUNCTION("""COMPUTED_VALUE"""),"https://www.google.com/maps/search/?api=1&amp;query=-30.9043959960227,-5.5541851208749")</f>
        <v>https://www.google.com/maps/search/?api=1&amp;query=-30.9043959960227,-5.5541851208749</v>
      </c>
      <c r="G348" s="63" t="str">
        <f>IFERROR(__xludf.DUMMYFUNCTION("""COMPUTED_VALUE"""),"https://earth.google.com/web/search/-30.9043959960227,-5.5541851208749")</f>
        <v>https://earth.google.com/web/search/-30.9043959960227,-5.5541851208749</v>
      </c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</row>
    <row r="349">
      <c r="A349" s="65" t="str">
        <f>IFERROR(__xludf.DUMMYFUNCTION("""COMPUTED_VALUE"""),"-3.0904314674594")</f>
        <v>-3.0904314674594</v>
      </c>
      <c r="B349" s="66" t="str">
        <f>IFERROR(__xludf.DUMMYFUNCTION("""COMPUTED_VALUE"""),"-55.5418776516648")</f>
        <v>-55.5418776516648</v>
      </c>
      <c r="C349" s="66">
        <f>IFERROR(__xludf.DUMMYFUNCTION("""COMPUTED_VALUE"""),1.0)</f>
        <v>1</v>
      </c>
      <c r="D349" s="66">
        <f>IFERROR(__xludf.DUMMYFUNCTION("""COMPUTED_VALUE"""),329.0)</f>
        <v>329</v>
      </c>
      <c r="E349" s="66">
        <f>IFERROR(__xludf.DUMMYFUNCTION("""COMPUTED_VALUE"""),17.0)</f>
        <v>17</v>
      </c>
      <c r="F349" s="67" t="str">
        <f>IFERROR(__xludf.DUMMYFUNCTION("""COMPUTED_VALUE"""),"https://www.google.com/maps/search/?api=1&amp;query=-3.0904314674594,-55.5418776516648")</f>
        <v>https://www.google.com/maps/search/?api=1&amp;query=-3.0904314674594,-55.5418776516648</v>
      </c>
      <c r="G349" s="68" t="str">
        <f>IFERROR(__xludf.DUMMYFUNCTION("""COMPUTED_VALUE"""),"https://earth.google.com/web/search/-3.0904314674594,-55.5418776516648")</f>
        <v>https://earth.google.com/web/search/-3.0904314674594,-55.5418776516648</v>
      </c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</row>
    <row r="350">
      <c r="A350" s="69" t="str">
        <f>IFERROR(__xludf.DUMMYFUNCTION("""COMPUTED_VALUE"""),"-30.9042837749579")</f>
        <v>-30.9042837749579</v>
      </c>
      <c r="B350" s="61" t="str">
        <f>IFERROR(__xludf.DUMMYFUNCTION("""COMPUTED_VALUE"""),"-55.5419447845243")</f>
        <v>-55.5419447845243</v>
      </c>
      <c r="C350" s="61">
        <f>IFERROR(__xludf.DUMMYFUNCTION("""COMPUTED_VALUE"""),1.0)</f>
        <v>1</v>
      </c>
      <c r="D350" s="61">
        <f>IFERROR(__xludf.DUMMYFUNCTION("""COMPUTED_VALUE"""),329.0)</f>
        <v>329</v>
      </c>
      <c r="E350" s="61">
        <f>IFERROR(__xludf.DUMMYFUNCTION("""COMPUTED_VALUE"""),18.0)</f>
        <v>18</v>
      </c>
      <c r="F350" s="62" t="str">
        <f>IFERROR(__xludf.DUMMYFUNCTION("""COMPUTED_VALUE"""),"https://www.google.com/maps/search/?api=1&amp;query=-30.9042837749579,-55.5419447845243")</f>
        <v>https://www.google.com/maps/search/?api=1&amp;query=-30.9042837749579,-55.5419447845243</v>
      </c>
      <c r="G350" s="63" t="str">
        <f>IFERROR(__xludf.DUMMYFUNCTION("""COMPUTED_VALUE"""),"https://earth.google.com/web/search/-30.9042837749579,-55.5419447845243")</f>
        <v>https://earth.google.com/web/search/-30.9042837749579,-55.5419447845243</v>
      </c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</row>
    <row r="351">
      <c r="A351" s="65" t="str">
        <f>IFERROR(__xludf.DUMMYFUNCTION("""COMPUTED_VALUE"""),"-30.9041168897273")</f>
        <v>-30.9041168897273</v>
      </c>
      <c r="B351" s="66" t="str">
        <f>IFERROR(__xludf.DUMMYFUNCTION("""COMPUTED_VALUE"""),"-55.5422359315958")</f>
        <v>-55.5422359315958</v>
      </c>
      <c r="C351" s="66">
        <f>IFERROR(__xludf.DUMMYFUNCTION("""COMPUTED_VALUE"""),1.0)</f>
        <v>1</v>
      </c>
      <c r="D351" s="66">
        <f>IFERROR(__xludf.DUMMYFUNCTION("""COMPUTED_VALUE"""),329.0)</f>
        <v>329</v>
      </c>
      <c r="E351" s="66">
        <f>IFERROR(__xludf.DUMMYFUNCTION("""COMPUTED_VALUE"""),19.0)</f>
        <v>19</v>
      </c>
      <c r="F351" s="67" t="str">
        <f>IFERROR(__xludf.DUMMYFUNCTION("""COMPUTED_VALUE"""),"https://www.google.com/maps/search/?api=1&amp;query=-30.9041168897273,-55.5422359315958")</f>
        <v>https://www.google.com/maps/search/?api=1&amp;query=-30.9041168897273,-55.5422359315958</v>
      </c>
      <c r="G351" s="68" t="str">
        <f>IFERROR(__xludf.DUMMYFUNCTION("""COMPUTED_VALUE"""),"https://earth.google.com/web/search/-30.9041168897273,-55.5422359315958")</f>
        <v>https://earth.google.com/web/search/-30.9041168897273,-55.5422359315958</v>
      </c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</row>
    <row r="352">
      <c r="A352" s="69" t="str">
        <f>IFERROR(__xludf.DUMMYFUNCTION("""COMPUTED_VALUE"""),"-30.9041010743295")</f>
        <v>-30.9041010743295</v>
      </c>
      <c r="B352" s="61" t="str">
        <f>IFERROR(__xludf.DUMMYFUNCTION("""COMPUTED_VALUE"""),"-55.5427828308487")</f>
        <v>-55.5427828308487</v>
      </c>
      <c r="C352" s="61">
        <f>IFERROR(__xludf.DUMMYFUNCTION("""COMPUTED_VALUE"""),1.0)</f>
        <v>1</v>
      </c>
      <c r="D352" s="61">
        <f>IFERROR(__xludf.DUMMYFUNCTION("""COMPUTED_VALUE"""),329.0)</f>
        <v>329</v>
      </c>
      <c r="E352" s="61">
        <f>IFERROR(__xludf.DUMMYFUNCTION("""COMPUTED_VALUE"""),20.0)</f>
        <v>20</v>
      </c>
      <c r="F352" s="62" t="str">
        <f>IFERROR(__xludf.DUMMYFUNCTION("""COMPUTED_VALUE"""),"https://www.google.com/maps/search/?api=1&amp;query=-30.9041010743295,-55.5427828308487")</f>
        <v>https://www.google.com/maps/search/?api=1&amp;query=-30.9041010743295,-55.5427828308487</v>
      </c>
      <c r="G352" s="63" t="str">
        <f>IFERROR(__xludf.DUMMYFUNCTION("""COMPUTED_VALUE"""),"https://earth.google.com/web/search/-30.9041010743295,-55.5427828308487")</f>
        <v>https://earth.google.com/web/search/-30.9041010743295,-55.5427828308487</v>
      </c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</row>
    <row r="353">
      <c r="A353" s="65" t="str">
        <f>IFERROR(__xludf.DUMMYFUNCTION("""COMPUTED_VALUE"""),"-30.9042841450238")</f>
        <v>-30.9042841450238</v>
      </c>
      <c r="B353" s="66" t="str">
        <f>IFERROR(__xludf.DUMMYFUNCTION("""COMPUTED_VALUE"""),"-55.5429187468875")</f>
        <v>-55.5429187468875</v>
      </c>
      <c r="C353" s="66">
        <f>IFERROR(__xludf.DUMMYFUNCTION("""COMPUTED_VALUE"""),1.0)</f>
        <v>1</v>
      </c>
      <c r="D353" s="66">
        <f>IFERROR(__xludf.DUMMYFUNCTION("""COMPUTED_VALUE"""),329.0)</f>
        <v>329</v>
      </c>
      <c r="E353" s="66">
        <f>IFERROR(__xludf.DUMMYFUNCTION("""COMPUTED_VALUE"""),21.0)</f>
        <v>21</v>
      </c>
      <c r="F353" s="67" t="str">
        <f>IFERROR(__xludf.DUMMYFUNCTION("""COMPUTED_VALUE"""),"https://www.google.com/maps/search/?api=1&amp;query=-30.9042841450238,-55.5429187468875")</f>
        <v>https://www.google.com/maps/search/?api=1&amp;query=-30.9042841450238,-55.5429187468875</v>
      </c>
      <c r="G353" s="68" t="str">
        <f>IFERROR(__xludf.DUMMYFUNCTION("""COMPUTED_VALUE"""),"https://earth.google.com/web/search/-30.9042841450238,-55.5429187468875")</f>
        <v>https://earth.google.com/web/search/-30.9042841450238,-55.5429187468875</v>
      </c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</row>
    <row r="354">
      <c r="A354" s="69" t="str">
        <f>IFERROR(__xludf.DUMMYFUNCTION("""COMPUTED_VALUE"""),"-30.9043164301473")</f>
        <v>-30.9043164301473</v>
      </c>
      <c r="B354" s="61" t="str">
        <f>IFERROR(__xludf.DUMMYFUNCTION("""COMPUTED_VALUE"""),"-55.5429367281264")</f>
        <v>-55.5429367281264</v>
      </c>
      <c r="C354" s="61">
        <f>IFERROR(__xludf.DUMMYFUNCTION("""COMPUTED_VALUE"""),1.0)</f>
        <v>1</v>
      </c>
      <c r="D354" s="61">
        <f>IFERROR(__xludf.DUMMYFUNCTION("""COMPUTED_VALUE"""),329.0)</f>
        <v>329</v>
      </c>
      <c r="E354" s="61">
        <f>IFERROR(__xludf.DUMMYFUNCTION("""COMPUTED_VALUE"""),22.0)</f>
        <v>22</v>
      </c>
      <c r="F354" s="62" t="str">
        <f>IFERROR(__xludf.DUMMYFUNCTION("""COMPUTED_VALUE"""),"https://www.google.com/maps/search/?api=1&amp;query=-30.9043164301473,-55.5429367281264")</f>
        <v>https://www.google.com/maps/search/?api=1&amp;query=-30.9043164301473,-55.5429367281264</v>
      </c>
      <c r="G354" s="63" t="str">
        <f>IFERROR(__xludf.DUMMYFUNCTION("""COMPUTED_VALUE"""),"https://earth.google.com/web/search/-30.9043164301473,-55.5429367281264")</f>
        <v>https://earth.google.com/web/search/-30.9043164301473,-55.5429367281264</v>
      </c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</row>
    <row r="355">
      <c r="A355" s="65" t="str">
        <f>IFERROR(__xludf.DUMMYFUNCTION("""COMPUTED_VALUE"""),"-30.9043554897188")</f>
        <v>-30.9043554897188</v>
      </c>
      <c r="B355" s="66" t="str">
        <f>IFERROR(__xludf.DUMMYFUNCTION("""COMPUTED_VALUE"""),"-55.5429648407775")</f>
        <v>-55.5429648407775</v>
      </c>
      <c r="C355" s="66">
        <f>IFERROR(__xludf.DUMMYFUNCTION("""COMPUTED_VALUE"""),1.0)</f>
        <v>1</v>
      </c>
      <c r="D355" s="66">
        <f>IFERROR(__xludf.DUMMYFUNCTION("""COMPUTED_VALUE"""),329.0)</f>
        <v>329</v>
      </c>
      <c r="E355" s="66">
        <f>IFERROR(__xludf.DUMMYFUNCTION("""COMPUTED_VALUE"""),23.0)</f>
        <v>23</v>
      </c>
      <c r="F355" s="67" t="str">
        <f>IFERROR(__xludf.DUMMYFUNCTION("""COMPUTED_VALUE"""),"https://www.google.com/maps/search/?api=1&amp;query=-30.9043554897188,-55.5429648407775")</f>
        <v>https://www.google.com/maps/search/?api=1&amp;query=-30.9043554897188,-55.5429648407775</v>
      </c>
      <c r="G355" s="68" t="str">
        <f>IFERROR(__xludf.DUMMYFUNCTION("""COMPUTED_VALUE"""),"https://earth.google.com/web/search/-30.9043554897188,-55.5429648407775")</f>
        <v>https://earth.google.com/web/search/-30.9043554897188,-55.5429648407775</v>
      </c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</row>
    <row r="356">
      <c r="A356" s="69" t="str">
        <f>IFERROR(__xludf.DUMMYFUNCTION("""COMPUTED_VALUE"""),"-30.9043287134649")</f>
        <v>-30.9043287134649</v>
      </c>
      <c r="B356" s="61" t="str">
        <f>IFERROR(__xludf.DUMMYFUNCTION("""COMPUTED_VALUE"""),"-55.5430833622782")</f>
        <v>-55.5430833622782</v>
      </c>
      <c r="C356" s="61">
        <f>IFERROR(__xludf.DUMMYFUNCTION("""COMPUTED_VALUE"""),1.0)</f>
        <v>1</v>
      </c>
      <c r="D356" s="61">
        <f>IFERROR(__xludf.DUMMYFUNCTION("""COMPUTED_VALUE"""),328.0)</f>
        <v>328</v>
      </c>
      <c r="E356" s="61">
        <f>IFERROR(__xludf.DUMMYFUNCTION("""COMPUTED_VALUE"""),1.0)</f>
        <v>1</v>
      </c>
      <c r="F356" s="62" t="str">
        <f>IFERROR(__xludf.DUMMYFUNCTION("""COMPUTED_VALUE"""),"https://www.google.com/maps/search/?api=1&amp;query=-30.9043287134649,-55.5430833622782")</f>
        <v>https://www.google.com/maps/search/?api=1&amp;query=-30.9043287134649,-55.5430833622782</v>
      </c>
      <c r="G356" s="63" t="str">
        <f>IFERROR(__xludf.DUMMYFUNCTION("""COMPUTED_VALUE"""),"https://earth.google.com/web/search/-30.9043287134649,-55.5430833622782")</f>
        <v>https://earth.google.com/web/search/-30.9043287134649,-55.5430833622782</v>
      </c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</row>
    <row r="357">
      <c r="A357" s="65" t="str">
        <f>IFERROR(__xludf.DUMMYFUNCTION("""COMPUTED_VALUE"""),"-30.9042947622983")</f>
        <v>-30.9042947622983</v>
      </c>
      <c r="B357" s="66" t="str">
        <f>IFERROR(__xludf.DUMMYFUNCTION("""COMPUTED_VALUE"""),"-55.5430427130328")</f>
        <v>-55.5430427130328</v>
      </c>
      <c r="C357" s="66">
        <f>IFERROR(__xludf.DUMMYFUNCTION("""COMPUTED_VALUE"""),1.0)</f>
        <v>1</v>
      </c>
      <c r="D357" s="66">
        <f>IFERROR(__xludf.DUMMYFUNCTION("""COMPUTED_VALUE"""),328.0)</f>
        <v>328</v>
      </c>
      <c r="E357" s="66">
        <f>IFERROR(__xludf.DUMMYFUNCTION("""COMPUTED_VALUE"""),2.0)</f>
        <v>2</v>
      </c>
      <c r="F357" s="67" t="str">
        <f>IFERROR(__xludf.DUMMYFUNCTION("""COMPUTED_VALUE"""),"https://www.google.com/maps/search/?api=1&amp;query=-30.9042947622983,-55.5430427130328")</f>
        <v>https://www.google.com/maps/search/?api=1&amp;query=-30.9042947622983,-55.5430427130328</v>
      </c>
      <c r="G357" s="68" t="str">
        <f>IFERROR(__xludf.DUMMYFUNCTION("""COMPUTED_VALUE"""),"https://earth.google.com/web/search/-30.9042947622983,-55.5430427130328")</f>
        <v>https://earth.google.com/web/search/-30.9042947622983,-55.5430427130328</v>
      </c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</row>
    <row r="358">
      <c r="A358" s="69" t="str">
        <f>IFERROR(__xludf.DUMMYFUNCTION("""COMPUTED_VALUE"""),"-30.9042107142048")</f>
        <v>-30.9042107142048</v>
      </c>
      <c r="B358" s="61" t="str">
        <f>IFERROR(__xludf.DUMMYFUNCTION("""COMPUTED_VALUE"""),"-55.5430131978059")</f>
        <v>-55.5430131978059</v>
      </c>
      <c r="C358" s="61">
        <f>IFERROR(__xludf.DUMMYFUNCTION("""COMPUTED_VALUE"""),1.0)</f>
        <v>1</v>
      </c>
      <c r="D358" s="61">
        <f>IFERROR(__xludf.DUMMYFUNCTION("""COMPUTED_VALUE"""),328.0)</f>
        <v>328</v>
      </c>
      <c r="E358" s="61">
        <f>IFERROR(__xludf.DUMMYFUNCTION("""COMPUTED_VALUE"""),3.0)</f>
        <v>3</v>
      </c>
      <c r="F358" s="62" t="str">
        <f>IFERROR(__xludf.DUMMYFUNCTION("""COMPUTED_VALUE"""),"https://www.google.com/maps/search/?api=1&amp;query=-30.9042107142048,-55.5430131978059")</f>
        <v>https://www.google.com/maps/search/?api=1&amp;query=-30.9042107142048,-55.5430131978059</v>
      </c>
      <c r="G358" s="63" t="str">
        <f>IFERROR(__xludf.DUMMYFUNCTION("""COMPUTED_VALUE"""),"https://earth.google.com/web/search/-30.9042107142048,-55.5430131978059")</f>
        <v>https://earth.google.com/web/search/-30.9042107142048,-55.5430131978059</v>
      </c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</row>
    <row r="359">
      <c r="A359" s="65" t="str">
        <f>IFERROR(__xludf.DUMMYFUNCTION("""COMPUTED_VALUE"""),"-30.9039864881068")</f>
        <v>-30.9039864881068</v>
      </c>
      <c r="B359" s="66" t="str">
        <f>IFERROR(__xludf.DUMMYFUNCTION("""COMPUTED_VALUE"""),"-55.5428664299396")</f>
        <v>-55.5428664299396</v>
      </c>
      <c r="C359" s="66">
        <f>IFERROR(__xludf.DUMMYFUNCTION("""COMPUTED_VALUE"""),1.0)</f>
        <v>1</v>
      </c>
      <c r="D359" s="66">
        <f>IFERROR(__xludf.DUMMYFUNCTION("""COMPUTED_VALUE"""),328.0)</f>
        <v>328</v>
      </c>
      <c r="E359" s="66">
        <f>IFERROR(__xludf.DUMMYFUNCTION("""COMPUTED_VALUE"""),4.0)</f>
        <v>4</v>
      </c>
      <c r="F359" s="67" t="str">
        <f>IFERROR(__xludf.DUMMYFUNCTION("""COMPUTED_VALUE"""),"https://www.google.com/maps/search/?api=1&amp;query=-30.9039864881068,-55.5428664299396")</f>
        <v>https://www.google.com/maps/search/?api=1&amp;query=-30.9039864881068,-55.5428664299396</v>
      </c>
      <c r="G359" s="68" t="str">
        <f>IFERROR(__xludf.DUMMYFUNCTION("""COMPUTED_VALUE"""),"https://earth.google.com/web/search/-30.9039864881068,-55.5428664299396")</f>
        <v>https://earth.google.com/web/search/-30.9039864881068,-55.5428664299396</v>
      </c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</row>
    <row r="360">
      <c r="A360" s="69" t="str">
        <f>IFERROR(__xludf.DUMMYFUNCTION("""COMPUTED_VALUE"""),"-30.9039238843078")</f>
        <v>-30.9039238843078</v>
      </c>
      <c r="B360" s="61" t="str">
        <f>IFERROR(__xludf.DUMMYFUNCTION("""COMPUTED_VALUE"""),"-55.5428236823679")</f>
        <v>-55.5428236823679</v>
      </c>
      <c r="C360" s="61">
        <f>IFERROR(__xludf.DUMMYFUNCTION("""COMPUTED_VALUE"""),1.0)</f>
        <v>1</v>
      </c>
      <c r="D360" s="61">
        <f>IFERROR(__xludf.DUMMYFUNCTION("""COMPUTED_VALUE"""),328.0)</f>
        <v>328</v>
      </c>
      <c r="E360" s="61">
        <f>IFERROR(__xludf.DUMMYFUNCTION("""COMPUTED_VALUE"""),5.0)</f>
        <v>5</v>
      </c>
      <c r="F360" s="62" t="str">
        <f>IFERROR(__xludf.DUMMYFUNCTION("""COMPUTED_VALUE"""),"https://www.google.com/maps/search/?api=1&amp;query=-30.9039238843078,-55.5428236823679")</f>
        <v>https://www.google.com/maps/search/?api=1&amp;query=-30.9039238843078,-55.5428236823679</v>
      </c>
      <c r="G360" s="63" t="str">
        <f>IFERROR(__xludf.DUMMYFUNCTION("""COMPUTED_VALUE"""),"https://earth.google.com/web/search/-30.9039238843078,-55.5428236823679")</f>
        <v>https://earth.google.com/web/search/-30.9039238843078,-55.5428236823679</v>
      </c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</row>
    <row r="361">
      <c r="A361" s="65" t="str">
        <f>IFERROR(__xludf.DUMMYFUNCTION("""COMPUTED_VALUE"""),"-30.9037740819769")</f>
        <v>-30.9037740819769</v>
      </c>
      <c r="B361" s="66" t="str">
        <f>IFERROR(__xludf.DUMMYFUNCTION("""COMPUTED_VALUE"""),"-55.5428751457931")</f>
        <v>-55.5428751457931</v>
      </c>
      <c r="C361" s="66">
        <f>IFERROR(__xludf.DUMMYFUNCTION("""COMPUTED_VALUE"""),1.0)</f>
        <v>1</v>
      </c>
      <c r="D361" s="66">
        <f>IFERROR(__xludf.DUMMYFUNCTION("""COMPUTED_VALUE"""),328.0)</f>
        <v>328</v>
      </c>
      <c r="E361" s="66">
        <f>IFERROR(__xludf.DUMMYFUNCTION("""COMPUTED_VALUE"""),6.0)</f>
        <v>6</v>
      </c>
      <c r="F361" s="67" t="str">
        <f>IFERROR(__xludf.DUMMYFUNCTION("""COMPUTED_VALUE"""),"https://www.google.com/maps/search/?api=1&amp;query=-30.9037740819769,-55.5428751457931")</f>
        <v>https://www.google.com/maps/search/?api=1&amp;query=-30.9037740819769,-55.5428751457931</v>
      </c>
      <c r="G361" s="68" t="str">
        <f>IFERROR(__xludf.DUMMYFUNCTION("""COMPUTED_VALUE"""),"https://earth.google.com/web/search/-30.9037740819769,-55.5428751457931")</f>
        <v>https://earth.google.com/web/search/-30.9037740819769,-55.5428751457931</v>
      </c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</row>
    <row r="362">
      <c r="A362" s="69" t="str">
        <f>IFERROR(__xludf.DUMMYFUNCTION("""COMPUTED_VALUE"""),"-30.9037326344909")</f>
        <v>-30.9037326344909</v>
      </c>
      <c r="B362" s="61" t="str">
        <f>IFERROR(__xludf.DUMMYFUNCTION("""COMPUTED_VALUE"""),"-55.5429537956005")</f>
        <v>-55.5429537956005</v>
      </c>
      <c r="C362" s="61">
        <f>IFERROR(__xludf.DUMMYFUNCTION("""COMPUTED_VALUE"""),1.0)</f>
        <v>1</v>
      </c>
      <c r="D362" s="61">
        <f>IFERROR(__xludf.DUMMYFUNCTION("""COMPUTED_VALUE"""),328.0)</f>
        <v>328</v>
      </c>
      <c r="E362" s="61">
        <f>IFERROR(__xludf.DUMMYFUNCTION("""COMPUTED_VALUE"""),7.0)</f>
        <v>7</v>
      </c>
      <c r="F362" s="62" t="str">
        <f>IFERROR(__xludf.DUMMYFUNCTION("""COMPUTED_VALUE"""),"https://www.google.com/maps/search/?api=1&amp;query=-30.9037326344909,-55.5429537956005")</f>
        <v>https://www.google.com/maps/search/?api=1&amp;query=-30.9037326344909,-55.5429537956005</v>
      </c>
      <c r="G362" s="63" t="str">
        <f>IFERROR(__xludf.DUMMYFUNCTION("""COMPUTED_VALUE"""),"https://earth.google.com/web/search/-30.9037326344909,-55.5429537956005")</f>
        <v>https://earth.google.com/web/search/-30.9037326344909,-55.5429537956005</v>
      </c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</row>
    <row r="363">
      <c r="A363" s="65" t="str">
        <f>IFERROR(__xludf.DUMMYFUNCTION("""COMPUTED_VALUE"""),"-30.9035016555571")</f>
        <v>-30.9035016555571</v>
      </c>
      <c r="B363" s="66" t="str">
        <f>IFERROR(__xludf.DUMMYFUNCTION("""COMPUTED_VALUE"""),"-5.5543381010809")</f>
        <v>-5.5543381010809</v>
      </c>
      <c r="C363" s="66">
        <f>IFERROR(__xludf.DUMMYFUNCTION("""COMPUTED_VALUE"""),1.0)</f>
        <v>1</v>
      </c>
      <c r="D363" s="66">
        <f>IFERROR(__xludf.DUMMYFUNCTION("""COMPUTED_VALUE"""),328.0)</f>
        <v>328</v>
      </c>
      <c r="E363" s="66">
        <f>IFERROR(__xludf.DUMMYFUNCTION("""COMPUTED_VALUE"""),8.0)</f>
        <v>8</v>
      </c>
      <c r="F363" s="67" t="str">
        <f>IFERROR(__xludf.DUMMYFUNCTION("""COMPUTED_VALUE"""),"https://www.google.com/maps/search/?api=1&amp;query=-30.9035016555571,-5.5543381010809")</f>
        <v>https://www.google.com/maps/search/?api=1&amp;query=-30.9035016555571,-5.5543381010809</v>
      </c>
      <c r="G363" s="68" t="str">
        <f>IFERROR(__xludf.DUMMYFUNCTION("""COMPUTED_VALUE"""),"https://earth.google.com/web/search/-30.9035016555571,-5.5543381010809")</f>
        <v>https://earth.google.com/web/search/-30.9035016555571,-5.5543381010809</v>
      </c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</row>
    <row r="364">
      <c r="A364" s="69" t="str">
        <f>IFERROR(__xludf.DUMMYFUNCTION("""COMPUTED_VALUE"""),"-30.9034635038154")</f>
        <v>-30.9034635038154</v>
      </c>
      <c r="B364" s="61" t="str">
        <f>IFERROR(__xludf.DUMMYFUNCTION("""COMPUTED_VALUE"""),"-55.5434880495688")</f>
        <v>-55.5434880495688</v>
      </c>
      <c r="C364" s="61">
        <f>IFERROR(__xludf.DUMMYFUNCTION("""COMPUTED_VALUE"""),1.0)</f>
        <v>1</v>
      </c>
      <c r="D364" s="61">
        <f>IFERROR(__xludf.DUMMYFUNCTION("""COMPUTED_VALUE"""),328.0)</f>
        <v>328</v>
      </c>
      <c r="E364" s="61">
        <f>IFERROR(__xludf.DUMMYFUNCTION("""COMPUTED_VALUE"""),9.0)</f>
        <v>9</v>
      </c>
      <c r="F364" s="62" t="str">
        <f>IFERROR(__xludf.DUMMYFUNCTION("""COMPUTED_VALUE"""),"https://www.google.com/maps/search/?api=1&amp;query=-30.9034635038154,-55.5434880495688")</f>
        <v>https://www.google.com/maps/search/?api=1&amp;query=-30.9034635038154,-55.5434880495688</v>
      </c>
      <c r="G364" s="63" t="str">
        <f>IFERROR(__xludf.DUMMYFUNCTION("""COMPUTED_VALUE"""),"https://earth.google.com/web/search/-30.9034635038154,-55.5434880495688")</f>
        <v>https://earth.google.com/web/search/-30.9034635038154,-55.5434880495688</v>
      </c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</row>
    <row r="365">
      <c r="A365" s="65" t="str">
        <f>IFERROR(__xludf.DUMMYFUNCTION("""COMPUTED_VALUE"""),"-30.9034371920426")</f>
        <v>-30.9034371920426</v>
      </c>
      <c r="B365" s="66" t="str">
        <f>IFERROR(__xludf.DUMMYFUNCTION("""COMPUTED_VALUE"""),"-55.5436235851232")</f>
        <v>-55.5436235851232</v>
      </c>
      <c r="C365" s="66">
        <f>IFERROR(__xludf.DUMMYFUNCTION("""COMPUTED_VALUE"""),1.0)</f>
        <v>1</v>
      </c>
      <c r="D365" s="66">
        <f>IFERROR(__xludf.DUMMYFUNCTION("""COMPUTED_VALUE"""),328.0)</f>
        <v>328</v>
      </c>
      <c r="E365" s="66">
        <f>IFERROR(__xludf.DUMMYFUNCTION("""COMPUTED_VALUE"""),10.0)</f>
        <v>10</v>
      </c>
      <c r="F365" s="67" t="str">
        <f>IFERROR(__xludf.DUMMYFUNCTION("""COMPUTED_VALUE"""),"https://www.google.com/maps/search/?api=1&amp;query=-30.9034371920426,-55.5436235851232")</f>
        <v>https://www.google.com/maps/search/?api=1&amp;query=-30.9034371920426,-55.5436235851232</v>
      </c>
      <c r="G365" s="68" t="str">
        <f>IFERROR(__xludf.DUMMYFUNCTION("""COMPUTED_VALUE"""),"https://earth.google.com/web/search/-30.9034371920426,-55.5436235851232")</f>
        <v>https://earth.google.com/web/search/-30.9034371920426,-55.5436235851232</v>
      </c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</row>
    <row r="366">
      <c r="A366" s="69" t="str">
        <f>IFERROR(__xludf.DUMMYFUNCTION("""COMPUTED_VALUE"""),"-30.9034772706099")</f>
        <v>-30.9034772706099</v>
      </c>
      <c r="B366" s="61" t="str">
        <f>IFERROR(__xludf.DUMMYFUNCTION("""COMPUTED_VALUE"""),"-55.5436573428606")</f>
        <v>-55.5436573428606</v>
      </c>
      <c r="C366" s="61">
        <f>IFERROR(__xludf.DUMMYFUNCTION("""COMPUTED_VALUE"""),1.0)</f>
        <v>1</v>
      </c>
      <c r="D366" s="61">
        <f>IFERROR(__xludf.DUMMYFUNCTION("""COMPUTED_VALUE"""),328.0)</f>
        <v>328</v>
      </c>
      <c r="E366" s="61">
        <f>IFERROR(__xludf.DUMMYFUNCTION("""COMPUTED_VALUE"""),11.0)</f>
        <v>11</v>
      </c>
      <c r="F366" s="62" t="str">
        <f>IFERROR(__xludf.DUMMYFUNCTION("""COMPUTED_VALUE"""),"https://www.google.com/maps/search/?api=1&amp;query=-30.9034772706099,-55.5436573428606")</f>
        <v>https://www.google.com/maps/search/?api=1&amp;query=-30.9034772706099,-55.5436573428606</v>
      </c>
      <c r="G366" s="63" t="str">
        <f>IFERROR(__xludf.DUMMYFUNCTION("""COMPUTED_VALUE"""),"https://earth.google.com/web/search/-30.9034772706099,-55.5436573428606")</f>
        <v>https://earth.google.com/web/search/-30.9034772706099,-55.5436573428606</v>
      </c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</row>
    <row r="367">
      <c r="A367" s="65" t="str">
        <f>IFERROR(__xludf.DUMMYFUNCTION("""COMPUTED_VALUE"""),"-30.9035221300649")</f>
        <v>-30.9035221300649</v>
      </c>
      <c r="B367" s="66" t="str">
        <f>IFERROR(__xludf.DUMMYFUNCTION("""COMPUTED_VALUE"""),"-55.5436790318857")</f>
        <v>-55.5436790318857</v>
      </c>
      <c r="C367" s="66">
        <f>IFERROR(__xludf.DUMMYFUNCTION("""COMPUTED_VALUE"""),1.0)</f>
        <v>1</v>
      </c>
      <c r="D367" s="66">
        <f>IFERROR(__xludf.DUMMYFUNCTION("""COMPUTED_VALUE"""),328.0)</f>
        <v>328</v>
      </c>
      <c r="E367" s="66">
        <f>IFERROR(__xludf.DUMMYFUNCTION("""COMPUTED_VALUE"""),12.0)</f>
        <v>12</v>
      </c>
      <c r="F367" s="67" t="str">
        <f>IFERROR(__xludf.DUMMYFUNCTION("""COMPUTED_VALUE"""),"https://www.google.com/maps/search/?api=1&amp;query=-30.9035221300649,-55.5436790318857")</f>
        <v>https://www.google.com/maps/search/?api=1&amp;query=-30.9035221300649,-55.5436790318857</v>
      </c>
      <c r="G367" s="68" t="str">
        <f>IFERROR(__xludf.DUMMYFUNCTION("""COMPUTED_VALUE"""),"https://earth.google.com/web/search/-30.9035221300649,-55.5436790318857")</f>
        <v>https://earth.google.com/web/search/-30.9035221300649,-55.5436790318857</v>
      </c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</row>
    <row r="368">
      <c r="A368" s="69" t="str">
        <f>IFERROR(__xludf.DUMMYFUNCTION("""COMPUTED_VALUE"""),"-30.9035599058351")</f>
        <v>-30.9035599058351</v>
      </c>
      <c r="B368" s="61" t="str">
        <f>IFERROR(__xludf.DUMMYFUNCTION("""COMPUTED_VALUE"""),"-5.5543708521359")</f>
        <v>-5.5543708521359</v>
      </c>
      <c r="C368" s="61">
        <f>IFERROR(__xludf.DUMMYFUNCTION("""COMPUTED_VALUE"""),1.0)</f>
        <v>1</v>
      </c>
      <c r="D368" s="61">
        <f>IFERROR(__xludf.DUMMYFUNCTION("""COMPUTED_VALUE"""),328.0)</f>
        <v>328</v>
      </c>
      <c r="E368" s="61">
        <f>IFERROR(__xludf.DUMMYFUNCTION("""COMPUTED_VALUE"""),13.0)</f>
        <v>13</v>
      </c>
      <c r="F368" s="62" t="str">
        <f>IFERROR(__xludf.DUMMYFUNCTION("""COMPUTED_VALUE"""),"https://www.google.com/maps/search/?api=1&amp;query=-30.9035599058351,-5.5543708521359")</f>
        <v>https://www.google.com/maps/search/?api=1&amp;query=-30.9035599058351,-5.5543708521359</v>
      </c>
      <c r="G368" s="63" t="str">
        <f>IFERROR(__xludf.DUMMYFUNCTION("""COMPUTED_VALUE"""),"https://earth.google.com/web/search/-30.9035599058351,-5.5543708521359")</f>
        <v>https://earth.google.com/web/search/-30.9035599058351,-5.5543708521359</v>
      </c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</row>
    <row r="369">
      <c r="A369" s="65" t="str">
        <f>IFERROR(__xludf.DUMMYFUNCTION("""COMPUTED_VALUE"""),"-30.9036906690202")</f>
        <v>-30.9036906690202</v>
      </c>
      <c r="B369" s="66" t="str">
        <f>IFERROR(__xludf.DUMMYFUNCTION("""COMPUTED_VALUE"""),"-55.5437877272325")</f>
        <v>-55.5437877272325</v>
      </c>
      <c r="C369" s="66">
        <f>IFERROR(__xludf.DUMMYFUNCTION("""COMPUTED_VALUE"""),1.0)</f>
        <v>1</v>
      </c>
      <c r="D369" s="66">
        <f>IFERROR(__xludf.DUMMYFUNCTION("""COMPUTED_VALUE"""),328.0)</f>
        <v>328</v>
      </c>
      <c r="E369" s="66">
        <f>IFERROR(__xludf.DUMMYFUNCTION("""COMPUTED_VALUE"""),14.0)</f>
        <v>14</v>
      </c>
      <c r="F369" s="67" t="str">
        <f>IFERROR(__xludf.DUMMYFUNCTION("""COMPUTED_VALUE"""),"https://www.google.com/maps/search/?api=1&amp;query=-30.9036906690202,-55.5437877272325")</f>
        <v>https://www.google.com/maps/search/?api=1&amp;query=-30.9036906690202,-55.5437877272325</v>
      </c>
      <c r="G369" s="68" t="str">
        <f>IFERROR(__xludf.DUMMYFUNCTION("""COMPUTED_VALUE"""),"https://earth.google.com/web/search/-30.9036906690202,-55.5437877272325")</f>
        <v>https://earth.google.com/web/search/-30.9036906690202,-55.5437877272325</v>
      </c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</row>
    <row r="370">
      <c r="A370" s="69" t="str">
        <f>IFERROR(__xludf.DUMMYFUNCTION("""COMPUTED_VALUE"""),"-30.9037365066353")</f>
        <v>-30.9037365066353</v>
      </c>
      <c r="B370" s="61" t="str">
        <f>IFERROR(__xludf.DUMMYFUNCTION("""COMPUTED_VALUE"""),"-55.5438315826274")</f>
        <v>-55.5438315826274</v>
      </c>
      <c r="C370" s="61">
        <f>IFERROR(__xludf.DUMMYFUNCTION("""COMPUTED_VALUE"""),1.0)</f>
        <v>1</v>
      </c>
      <c r="D370" s="61">
        <f>IFERROR(__xludf.DUMMYFUNCTION("""COMPUTED_VALUE"""),328.0)</f>
        <v>328</v>
      </c>
      <c r="E370" s="61">
        <f>IFERROR(__xludf.DUMMYFUNCTION("""COMPUTED_VALUE"""),15.0)</f>
        <v>15</v>
      </c>
      <c r="F370" s="62" t="str">
        <f>IFERROR(__xludf.DUMMYFUNCTION("""COMPUTED_VALUE"""),"https://www.google.com/maps/search/?api=1&amp;query=-30.9037365066353,-55.5438315826274")</f>
        <v>https://www.google.com/maps/search/?api=1&amp;query=-30.9037365066353,-55.5438315826274</v>
      </c>
      <c r="G370" s="63" t="str">
        <f>IFERROR(__xludf.DUMMYFUNCTION("""COMPUTED_VALUE"""),"https://earth.google.com/web/search/-30.9037365066353,-55.5438315826274")</f>
        <v>https://earth.google.com/web/search/-30.9037365066353,-55.5438315826274</v>
      </c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</row>
    <row r="371">
      <c r="A371" s="65" t="str">
        <f>IFERROR(__xludf.DUMMYFUNCTION("""COMPUTED_VALUE"""),"-30.9036855703475")</f>
        <v>-30.9036855703475</v>
      </c>
      <c r="B371" s="66" t="str">
        <f>IFERROR(__xludf.DUMMYFUNCTION("""COMPUTED_VALUE"""),"-55.5448862726465")</f>
        <v>-55.5448862726465</v>
      </c>
      <c r="C371" s="66">
        <f>IFERROR(__xludf.DUMMYFUNCTION("""COMPUTED_VALUE"""),1.0)</f>
        <v>1</v>
      </c>
      <c r="D371" s="66">
        <f>IFERROR(__xludf.DUMMYFUNCTION("""COMPUTED_VALUE"""),327.0)</f>
        <v>327</v>
      </c>
      <c r="E371" s="66">
        <f>IFERROR(__xludf.DUMMYFUNCTION("""COMPUTED_VALUE"""),1.0)</f>
        <v>1</v>
      </c>
      <c r="F371" s="67" t="str">
        <f>IFERROR(__xludf.DUMMYFUNCTION("""COMPUTED_VALUE"""),"https://www.google.com/maps/search/?api=1&amp;query=-30.9036855703475,-55.5448862726465")</f>
        <v>https://www.google.com/maps/search/?api=1&amp;query=-30.9036855703475,-55.5448862726465</v>
      </c>
      <c r="G371" s="68" t="str">
        <f>IFERROR(__xludf.DUMMYFUNCTION("""COMPUTED_VALUE"""),"https://earth.google.com/web/search/-30.9036855703475,-55.5448862726465")</f>
        <v>https://earth.google.com/web/search/-30.9036855703475,-55.5448862726465</v>
      </c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</row>
    <row r="372">
      <c r="A372" s="69" t="str">
        <f>IFERROR(__xludf.DUMMYFUNCTION("""COMPUTED_VALUE"""),"-30.9037851591917")</f>
        <v>-30.9037851591917</v>
      </c>
      <c r="B372" s="61" t="str">
        <f>IFERROR(__xludf.DUMMYFUNCTION("""COMPUTED_VALUE"""),"-55.5447123746647")</f>
        <v>-55.5447123746647</v>
      </c>
      <c r="C372" s="61">
        <f>IFERROR(__xludf.DUMMYFUNCTION("""COMPUTED_VALUE"""),1.0)</f>
        <v>1</v>
      </c>
      <c r="D372" s="61">
        <f>IFERROR(__xludf.DUMMYFUNCTION("""COMPUTED_VALUE"""),327.0)</f>
        <v>327</v>
      </c>
      <c r="E372" s="61">
        <f>IFERROR(__xludf.DUMMYFUNCTION("""COMPUTED_VALUE"""),2.0)</f>
        <v>2</v>
      </c>
      <c r="F372" s="62" t="str">
        <f>IFERROR(__xludf.DUMMYFUNCTION("""COMPUTED_VALUE"""),"https://www.google.com/maps/search/?api=1&amp;query=-30.9037851591917,-55.5447123746647")</f>
        <v>https://www.google.com/maps/search/?api=1&amp;query=-30.9037851591917,-55.5447123746647</v>
      </c>
      <c r="G372" s="63" t="str">
        <f>IFERROR(__xludf.DUMMYFUNCTION("""COMPUTED_VALUE"""),"https://earth.google.com/web/search/-30.9037851591917,-55.5447123746647")</f>
        <v>https://earth.google.com/web/search/-30.9037851591917,-55.5447123746647</v>
      </c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</row>
    <row r="373">
      <c r="A373" s="65" t="str">
        <f>IFERROR(__xludf.DUMMYFUNCTION("""COMPUTED_VALUE"""),"-30.9039068137378")</f>
        <v>-30.9039068137378</v>
      </c>
      <c r="B373" s="66" t="str">
        <f>IFERROR(__xludf.DUMMYFUNCTION("""COMPUTED_VALUE"""),"-55.5444463142144")</f>
        <v>-55.5444463142144</v>
      </c>
      <c r="C373" s="66">
        <f>IFERROR(__xludf.DUMMYFUNCTION("""COMPUTED_VALUE"""),1.0)</f>
        <v>1</v>
      </c>
      <c r="D373" s="66">
        <f>IFERROR(__xludf.DUMMYFUNCTION("""COMPUTED_VALUE"""),327.0)</f>
        <v>327</v>
      </c>
      <c r="E373" s="66">
        <f>IFERROR(__xludf.DUMMYFUNCTION("""COMPUTED_VALUE"""),3.0)</f>
        <v>3</v>
      </c>
      <c r="F373" s="67" t="str">
        <f>IFERROR(__xludf.DUMMYFUNCTION("""COMPUTED_VALUE"""),"https://www.google.com/maps/search/?api=1&amp;query=-30.9039068137378,-55.5444463142144")</f>
        <v>https://www.google.com/maps/search/?api=1&amp;query=-30.9039068137378,-55.5444463142144</v>
      </c>
      <c r="G373" s="68" t="str">
        <f>IFERROR(__xludf.DUMMYFUNCTION("""COMPUTED_VALUE"""),"https://earth.google.com/web/search/-30.9039068137378,-55.5444463142144")</f>
        <v>https://earth.google.com/web/search/-30.9039068137378,-55.5444463142144</v>
      </c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</row>
    <row r="374">
      <c r="A374" s="69" t="str">
        <f>IFERROR(__xludf.DUMMYFUNCTION("""COMPUTED_VALUE"""),"-30.9039863755868")</f>
        <v>-30.9039863755868</v>
      </c>
      <c r="B374" s="61" t="str">
        <f>IFERROR(__xludf.DUMMYFUNCTION("""COMPUTED_VALUE"""),"-55.5441209489927")</f>
        <v>-55.5441209489927</v>
      </c>
      <c r="C374" s="61">
        <f>IFERROR(__xludf.DUMMYFUNCTION("""COMPUTED_VALUE"""),1.0)</f>
        <v>1</v>
      </c>
      <c r="D374" s="61">
        <f>IFERROR(__xludf.DUMMYFUNCTION("""COMPUTED_VALUE"""),327.0)</f>
        <v>327</v>
      </c>
      <c r="E374" s="61">
        <f>IFERROR(__xludf.DUMMYFUNCTION("""COMPUTED_VALUE"""),4.0)</f>
        <v>4</v>
      </c>
      <c r="F374" s="62" t="str">
        <f>IFERROR(__xludf.DUMMYFUNCTION("""COMPUTED_VALUE"""),"https://www.google.com/maps/search/?api=1&amp;query=-30.9039863755868,-55.5441209489927")</f>
        <v>https://www.google.com/maps/search/?api=1&amp;query=-30.9039863755868,-55.5441209489927</v>
      </c>
      <c r="G374" s="63" t="str">
        <f>IFERROR(__xludf.DUMMYFUNCTION("""COMPUTED_VALUE"""),"https://earth.google.com/web/search/-30.9039863755868,-55.5441209489927")</f>
        <v>https://earth.google.com/web/search/-30.9039863755868,-55.5441209489927</v>
      </c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</row>
    <row r="375">
      <c r="A375" s="65" t="str">
        <f>IFERROR(__xludf.DUMMYFUNCTION("""COMPUTED_VALUE"""),"-3.0903906266257")</f>
        <v>-3.0903906266257</v>
      </c>
      <c r="B375" s="66" t="str">
        <f>IFERROR(__xludf.DUMMYFUNCTION("""COMPUTED_VALUE"""),"-55.5440581999956")</f>
        <v>-55.5440581999956</v>
      </c>
      <c r="C375" s="66">
        <f>IFERROR(__xludf.DUMMYFUNCTION("""COMPUTED_VALUE"""),1.0)</f>
        <v>1</v>
      </c>
      <c r="D375" s="66">
        <f>IFERROR(__xludf.DUMMYFUNCTION("""COMPUTED_VALUE"""),327.0)</f>
        <v>327</v>
      </c>
      <c r="E375" s="66">
        <f>IFERROR(__xludf.DUMMYFUNCTION("""COMPUTED_VALUE"""),5.0)</f>
        <v>5</v>
      </c>
      <c r="F375" s="67" t="str">
        <f>IFERROR(__xludf.DUMMYFUNCTION("""COMPUTED_VALUE"""),"https://www.google.com/maps/search/?api=1&amp;query=-3.0903906266257,-55.5440581999956")</f>
        <v>https://www.google.com/maps/search/?api=1&amp;query=-3.0903906266257,-55.5440581999956</v>
      </c>
      <c r="G375" s="68" t="str">
        <f>IFERROR(__xludf.DUMMYFUNCTION("""COMPUTED_VALUE"""),"https://earth.google.com/web/search/-3.0903906266257,-55.5440581999956")</f>
        <v>https://earth.google.com/web/search/-3.0903906266257,-55.5440581999956</v>
      </c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</row>
    <row r="376">
      <c r="A376" s="69" t="str">
        <f>IFERROR(__xludf.DUMMYFUNCTION("""COMPUTED_VALUE"""),"-30.9038147879052")</f>
        <v>-30.9038147879052</v>
      </c>
      <c r="B376" s="61" t="str">
        <f>IFERROR(__xludf.DUMMYFUNCTION("""COMPUTED_VALUE"""),"-55.5440060886097")</f>
        <v>-55.5440060886097</v>
      </c>
      <c r="C376" s="61">
        <f>IFERROR(__xludf.DUMMYFUNCTION("""COMPUTED_VALUE"""),1.0)</f>
        <v>1</v>
      </c>
      <c r="D376" s="61">
        <f>IFERROR(__xludf.DUMMYFUNCTION("""COMPUTED_VALUE"""),327.0)</f>
        <v>327</v>
      </c>
      <c r="E376" s="61">
        <f>IFERROR(__xludf.DUMMYFUNCTION("""COMPUTED_VALUE"""),6.0)</f>
        <v>6</v>
      </c>
      <c r="F376" s="62" t="str">
        <f>IFERROR(__xludf.DUMMYFUNCTION("""COMPUTED_VALUE"""),"https://www.google.com/maps/search/?api=1&amp;query=-30.9038147879052,-55.5440060886097")</f>
        <v>https://www.google.com/maps/search/?api=1&amp;query=-30.9038147879052,-55.5440060886097</v>
      </c>
      <c r="G376" s="63" t="str">
        <f>IFERROR(__xludf.DUMMYFUNCTION("""COMPUTED_VALUE"""),"https://earth.google.com/web/search/-30.9038147879052,-55.5440060886097")</f>
        <v>https://earth.google.com/web/search/-30.9038147879052,-55.5440060886097</v>
      </c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</row>
    <row r="377">
      <c r="A377" s="65" t="str">
        <f>IFERROR(__xludf.DUMMYFUNCTION("""COMPUTED_VALUE"""),"-30.9037294641053")</f>
        <v>-30.9037294641053</v>
      </c>
      <c r="B377" s="66" t="str">
        <f>IFERROR(__xludf.DUMMYFUNCTION("""COMPUTED_VALUE"""),"-55.5439448506212")</f>
        <v>-55.5439448506212</v>
      </c>
      <c r="C377" s="66">
        <f>IFERROR(__xludf.DUMMYFUNCTION("""COMPUTED_VALUE"""),1.0)</f>
        <v>1</v>
      </c>
      <c r="D377" s="66">
        <f>IFERROR(__xludf.DUMMYFUNCTION("""COMPUTED_VALUE"""),327.0)</f>
        <v>327</v>
      </c>
      <c r="E377" s="66">
        <f>IFERROR(__xludf.DUMMYFUNCTION("""COMPUTED_VALUE"""),7.0)</f>
        <v>7</v>
      </c>
      <c r="F377" s="67" t="str">
        <f>IFERROR(__xludf.DUMMYFUNCTION("""COMPUTED_VALUE"""),"https://www.google.com/maps/search/?api=1&amp;query=-30.9037294641053,-55.5439448506212")</f>
        <v>https://www.google.com/maps/search/?api=1&amp;query=-30.9037294641053,-55.5439448506212</v>
      </c>
      <c r="G377" s="68" t="str">
        <f>IFERROR(__xludf.DUMMYFUNCTION("""COMPUTED_VALUE"""),"https://earth.google.com/web/search/-30.9037294641053,-55.5439448506212")</f>
        <v>https://earth.google.com/web/search/-30.9037294641053,-55.5439448506212</v>
      </c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</row>
    <row r="378">
      <c r="A378" s="69" t="str">
        <f>IFERROR(__xludf.DUMMYFUNCTION("""COMPUTED_VALUE"""),"-30.9035670204376")</f>
        <v>-30.9035670204376</v>
      </c>
      <c r="B378" s="61" t="str">
        <f>IFERROR(__xludf.DUMMYFUNCTION("""COMPUTED_VALUE"""),"-55.5438304200754")</f>
        <v>-55.5438304200754</v>
      </c>
      <c r="C378" s="61">
        <f>IFERROR(__xludf.DUMMYFUNCTION("""COMPUTED_VALUE"""),1.0)</f>
        <v>1</v>
      </c>
      <c r="D378" s="61">
        <f>IFERROR(__xludf.DUMMYFUNCTION("""COMPUTED_VALUE"""),327.0)</f>
        <v>327</v>
      </c>
      <c r="E378" s="61">
        <f>IFERROR(__xludf.DUMMYFUNCTION("""COMPUTED_VALUE"""),8.0)</f>
        <v>8</v>
      </c>
      <c r="F378" s="62" t="str">
        <f>IFERROR(__xludf.DUMMYFUNCTION("""COMPUTED_VALUE"""),"https://www.google.com/maps/search/?api=1&amp;query=-30.9035670204376,-55.5438304200754")</f>
        <v>https://www.google.com/maps/search/?api=1&amp;query=-30.9035670204376,-55.5438304200754</v>
      </c>
      <c r="G378" s="63" t="str">
        <f>IFERROR(__xludf.DUMMYFUNCTION("""COMPUTED_VALUE"""),"https://earth.google.com/web/search/-30.9035670204376,-55.5438304200754")</f>
        <v>https://earth.google.com/web/search/-30.9035670204376,-55.5438304200754</v>
      </c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</row>
    <row r="379">
      <c r="A379" s="65" t="str">
        <f>IFERROR(__xludf.DUMMYFUNCTION("""COMPUTED_VALUE"""),"-30.9034738459597")</f>
        <v>-30.9034738459597</v>
      </c>
      <c r="B379" s="66" t="str">
        <f>IFERROR(__xludf.DUMMYFUNCTION("""COMPUTED_VALUE"""),"-5.5543758053095")</f>
        <v>-5.5543758053095</v>
      </c>
      <c r="C379" s="66">
        <f>IFERROR(__xludf.DUMMYFUNCTION("""COMPUTED_VALUE"""),1.0)</f>
        <v>1</v>
      </c>
      <c r="D379" s="66">
        <f>IFERROR(__xludf.DUMMYFUNCTION("""COMPUTED_VALUE"""),327.0)</f>
        <v>327</v>
      </c>
      <c r="E379" s="66">
        <f>IFERROR(__xludf.DUMMYFUNCTION("""COMPUTED_VALUE"""),9.0)</f>
        <v>9</v>
      </c>
      <c r="F379" s="67" t="str">
        <f>IFERROR(__xludf.DUMMYFUNCTION("""COMPUTED_VALUE"""),"https://www.google.com/maps/search/?api=1&amp;query=-30.9034738459597,-5.5543758053095")</f>
        <v>https://www.google.com/maps/search/?api=1&amp;query=-30.9034738459597,-5.5543758053095</v>
      </c>
      <c r="G379" s="68" t="str">
        <f>IFERROR(__xludf.DUMMYFUNCTION("""COMPUTED_VALUE"""),"https://earth.google.com/web/search/-30.9034738459597,-5.5543758053095")</f>
        <v>https://earth.google.com/web/search/-30.9034738459597,-5.5543758053095</v>
      </c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</row>
    <row r="380">
      <c r="A380" s="69" t="str">
        <f>IFERROR(__xludf.DUMMYFUNCTION("""COMPUTED_VALUE"""),"-30.9032648209029")</f>
        <v>-30.9032648209029</v>
      </c>
      <c r="B380" s="61" t="str">
        <f>IFERROR(__xludf.DUMMYFUNCTION("""COMPUTED_VALUE"""),"-55.5438705842896")</f>
        <v>-55.5438705842896</v>
      </c>
      <c r="C380" s="61">
        <f>IFERROR(__xludf.DUMMYFUNCTION("""COMPUTED_VALUE"""),1.0)</f>
        <v>1</v>
      </c>
      <c r="D380" s="61">
        <f>IFERROR(__xludf.DUMMYFUNCTION("""COMPUTED_VALUE"""),327.0)</f>
        <v>327</v>
      </c>
      <c r="E380" s="61">
        <f>IFERROR(__xludf.DUMMYFUNCTION("""COMPUTED_VALUE"""),10.0)</f>
        <v>10</v>
      </c>
      <c r="F380" s="62" t="str">
        <f>IFERROR(__xludf.DUMMYFUNCTION("""COMPUTED_VALUE"""),"https://www.google.com/maps/search/?api=1&amp;query=-30.9032648209029,-55.5438705842896")</f>
        <v>https://www.google.com/maps/search/?api=1&amp;query=-30.9032648209029,-55.5438705842896</v>
      </c>
      <c r="G380" s="63" t="str">
        <f>IFERROR(__xludf.DUMMYFUNCTION("""COMPUTED_VALUE"""),"https://earth.google.com/web/search/-30.9032648209029,-55.5438705842896")</f>
        <v>https://earth.google.com/web/search/-30.9032648209029,-55.5438705842896</v>
      </c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</row>
    <row r="381">
      <c r="A381" s="65" t="str">
        <f>IFERROR(__xludf.DUMMYFUNCTION("""COMPUTED_VALUE"""),"-30.9031321867305")</f>
        <v>-30.9031321867305</v>
      </c>
      <c r="B381" s="66" t="str">
        <f>IFERROR(__xludf.DUMMYFUNCTION("""COMPUTED_VALUE"""),"-5.5544111313636")</f>
        <v>-5.5544111313636</v>
      </c>
      <c r="C381" s="66">
        <f>IFERROR(__xludf.DUMMYFUNCTION("""COMPUTED_VALUE"""),1.0)</f>
        <v>1</v>
      </c>
      <c r="D381" s="66">
        <f>IFERROR(__xludf.DUMMYFUNCTION("""COMPUTED_VALUE"""),327.0)</f>
        <v>327</v>
      </c>
      <c r="E381" s="66">
        <f>IFERROR(__xludf.DUMMYFUNCTION("""COMPUTED_VALUE"""),11.0)</f>
        <v>11</v>
      </c>
      <c r="F381" s="67" t="str">
        <f>IFERROR(__xludf.DUMMYFUNCTION("""COMPUTED_VALUE"""),"https://www.google.com/maps/search/?api=1&amp;query=-30.9031321867305,-5.5544111313636")</f>
        <v>https://www.google.com/maps/search/?api=1&amp;query=-30.9031321867305,-5.5544111313636</v>
      </c>
      <c r="G381" s="68" t="str">
        <f>IFERROR(__xludf.DUMMYFUNCTION("""COMPUTED_VALUE"""),"https://earth.google.com/web/search/-30.9031321867305,-5.5544111313636")</f>
        <v>https://earth.google.com/web/search/-30.9031321867305,-5.5544111313636</v>
      </c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</row>
    <row r="382">
      <c r="A382" s="69" t="str">
        <f>IFERROR(__xludf.DUMMYFUNCTION("""COMPUTED_VALUE"""),"-30.9030706957733")</f>
        <v>-30.9030706957733</v>
      </c>
      <c r="B382" s="61" t="str">
        <f>IFERROR(__xludf.DUMMYFUNCTION("""COMPUTED_VALUE"""),"-55.5442358442992")</f>
        <v>-55.5442358442992</v>
      </c>
      <c r="C382" s="61">
        <f>IFERROR(__xludf.DUMMYFUNCTION("""COMPUTED_VALUE"""),1.0)</f>
        <v>1</v>
      </c>
      <c r="D382" s="61">
        <f>IFERROR(__xludf.DUMMYFUNCTION("""COMPUTED_VALUE"""),327.0)</f>
        <v>327</v>
      </c>
      <c r="E382" s="61">
        <f>IFERROR(__xludf.DUMMYFUNCTION("""COMPUTED_VALUE"""),12.0)</f>
        <v>12</v>
      </c>
      <c r="F382" s="62" t="str">
        <f>IFERROR(__xludf.DUMMYFUNCTION("""COMPUTED_VALUE"""),"https://www.google.com/maps/search/?api=1&amp;query=-30.9030706957733,-55.5442358442992")</f>
        <v>https://www.google.com/maps/search/?api=1&amp;query=-30.9030706957733,-55.5442358442992</v>
      </c>
      <c r="G382" s="63" t="str">
        <f>IFERROR(__xludf.DUMMYFUNCTION("""COMPUTED_VALUE"""),"https://earth.google.com/web/search/-30.9030706957733,-55.5442358442992")</f>
        <v>https://earth.google.com/web/search/-30.9030706957733,-55.5442358442992</v>
      </c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</row>
    <row r="383">
      <c r="A383" s="65" t="str">
        <f>IFERROR(__xludf.DUMMYFUNCTION("""COMPUTED_VALUE"""),"-30.9029700060409")</f>
        <v>-30.9029700060409</v>
      </c>
      <c r="B383" s="66" t="str">
        <f>IFERROR(__xludf.DUMMYFUNCTION("""COMPUTED_VALUE"""),"-55.5444200649392")</f>
        <v>-55.5444200649392</v>
      </c>
      <c r="C383" s="66">
        <f>IFERROR(__xludf.DUMMYFUNCTION("""COMPUTED_VALUE"""),1.0)</f>
        <v>1</v>
      </c>
      <c r="D383" s="66">
        <f>IFERROR(__xludf.DUMMYFUNCTION("""COMPUTED_VALUE"""),327.0)</f>
        <v>327</v>
      </c>
      <c r="E383" s="66">
        <f>IFERROR(__xludf.DUMMYFUNCTION("""COMPUTED_VALUE"""),13.0)</f>
        <v>13</v>
      </c>
      <c r="F383" s="67" t="str">
        <f>IFERROR(__xludf.DUMMYFUNCTION("""COMPUTED_VALUE"""),"https://www.google.com/maps/search/?api=1&amp;query=-30.9029700060409,-55.5444200649392")</f>
        <v>https://www.google.com/maps/search/?api=1&amp;query=-30.9029700060409,-55.5444200649392</v>
      </c>
      <c r="G383" s="68" t="str">
        <f>IFERROR(__xludf.DUMMYFUNCTION("""COMPUTED_VALUE"""),"https://earth.google.com/web/search/-30.9029700060409,-55.5444200649392")</f>
        <v>https://earth.google.com/web/search/-30.9029700060409,-55.5444200649392</v>
      </c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</row>
    <row r="384">
      <c r="A384" s="69" t="str">
        <f>IFERROR(__xludf.DUMMYFUNCTION("""COMPUTED_VALUE"""),"-30.9033865060893")</f>
        <v>-30.9033865060893</v>
      </c>
      <c r="B384" s="61" t="str">
        <f>IFERROR(__xludf.DUMMYFUNCTION("""COMPUTED_VALUE"""),"-55.5448286387854")</f>
        <v>-55.5448286387854</v>
      </c>
      <c r="C384" s="61">
        <f>IFERROR(__xludf.DUMMYFUNCTION("""COMPUTED_VALUE"""),1.0)</f>
        <v>1</v>
      </c>
      <c r="D384" s="61">
        <f>IFERROR(__xludf.DUMMYFUNCTION("""COMPUTED_VALUE"""),327.0)</f>
        <v>327</v>
      </c>
      <c r="E384" s="61">
        <f>IFERROR(__xludf.DUMMYFUNCTION("""COMPUTED_VALUE"""),14.0)</f>
        <v>14</v>
      </c>
      <c r="F384" s="62" t="str">
        <f>IFERROR(__xludf.DUMMYFUNCTION("""COMPUTED_VALUE"""),"https://www.google.com/maps/search/?api=1&amp;query=-30.9033865060893,-55.5448286387854")</f>
        <v>https://www.google.com/maps/search/?api=1&amp;query=-30.9033865060893,-55.5448286387854</v>
      </c>
      <c r="G384" s="63" t="str">
        <f>IFERROR(__xludf.DUMMYFUNCTION("""COMPUTED_VALUE"""),"https://earth.google.com/web/search/-30.9033865060893,-55.5448286387854")</f>
        <v>https://earth.google.com/web/search/-30.9033865060893,-55.5448286387854</v>
      </c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</row>
    <row r="385">
      <c r="A385" s="65" t="str">
        <f>IFERROR(__xludf.DUMMYFUNCTION("""COMPUTED_VALUE"""),"-30.9053601220487")</f>
        <v>-30.9053601220487</v>
      </c>
      <c r="B385" s="66" t="str">
        <f>IFERROR(__xludf.DUMMYFUNCTION("""COMPUTED_VALUE"""),"-55.5397034235913")</f>
        <v>-55.5397034235913</v>
      </c>
      <c r="C385" s="66">
        <f>IFERROR(__xludf.DUMMYFUNCTION("""COMPUTED_VALUE"""),1.0)</f>
        <v>1</v>
      </c>
      <c r="D385" s="66">
        <f>IFERROR(__xludf.DUMMYFUNCTION("""COMPUTED_VALUE"""),287.0)</f>
        <v>287</v>
      </c>
      <c r="E385" s="66">
        <f>IFERROR(__xludf.DUMMYFUNCTION("""COMPUTED_VALUE"""),1.0)</f>
        <v>1</v>
      </c>
      <c r="F385" s="67" t="str">
        <f>IFERROR(__xludf.DUMMYFUNCTION("""COMPUTED_VALUE"""),"https://www.google.com/maps/search/?api=1&amp;query=-30.9053601220487,-55.5397034235913")</f>
        <v>https://www.google.com/maps/search/?api=1&amp;query=-30.9053601220487,-55.5397034235913</v>
      </c>
      <c r="G385" s="68" t="str">
        <f>IFERROR(__xludf.DUMMYFUNCTION("""COMPUTED_VALUE"""),"https://earth.google.com/web/search/-30.9053601220487,-55.5397034235913")</f>
        <v>https://earth.google.com/web/search/-30.9053601220487,-55.5397034235913</v>
      </c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</row>
    <row r="386">
      <c r="A386" s="69" t="str">
        <f>IFERROR(__xludf.DUMMYFUNCTION("""COMPUTED_VALUE"""),"-30.9054000023043")</f>
        <v>-30.9054000023043</v>
      </c>
      <c r="B386" s="61" t="str">
        <f>IFERROR(__xludf.DUMMYFUNCTION("""COMPUTED_VALUE"""),"-55.5396352572232")</f>
        <v>-55.5396352572232</v>
      </c>
      <c r="C386" s="61">
        <f>IFERROR(__xludf.DUMMYFUNCTION("""COMPUTED_VALUE"""),1.0)</f>
        <v>1</v>
      </c>
      <c r="D386" s="61">
        <f>IFERROR(__xludf.DUMMYFUNCTION("""COMPUTED_VALUE"""),287.0)</f>
        <v>287</v>
      </c>
      <c r="E386" s="61">
        <f>IFERROR(__xludf.DUMMYFUNCTION("""COMPUTED_VALUE"""),2.0)</f>
        <v>2</v>
      </c>
      <c r="F386" s="62" t="str">
        <f>IFERROR(__xludf.DUMMYFUNCTION("""COMPUTED_VALUE"""),"https://www.google.com/maps/search/?api=1&amp;query=-30.9054000023043,-55.5396352572232")</f>
        <v>https://www.google.com/maps/search/?api=1&amp;query=-30.9054000023043,-55.5396352572232</v>
      </c>
      <c r="G386" s="63" t="str">
        <f>IFERROR(__xludf.DUMMYFUNCTION("""COMPUTED_VALUE"""),"https://earth.google.com/web/search/-30.9054000023043,-55.5396352572232")</f>
        <v>https://earth.google.com/web/search/-30.9054000023043,-55.5396352572232</v>
      </c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</row>
    <row r="387">
      <c r="A387" s="65" t="str">
        <f>IFERROR(__xludf.DUMMYFUNCTION("""COMPUTED_VALUE"""),"-30.9054687850875")</f>
        <v>-30.9054687850875</v>
      </c>
      <c r="B387" s="66" t="str">
        <f>IFERROR(__xludf.DUMMYFUNCTION("""COMPUTED_VALUE"""),"-55.5395051997123")</f>
        <v>-55.5395051997123</v>
      </c>
      <c r="C387" s="66">
        <f>IFERROR(__xludf.DUMMYFUNCTION("""COMPUTED_VALUE"""),1.0)</f>
        <v>1</v>
      </c>
      <c r="D387" s="66">
        <f>IFERROR(__xludf.DUMMYFUNCTION("""COMPUTED_VALUE"""),287.0)</f>
        <v>287</v>
      </c>
      <c r="E387" s="66">
        <f>IFERROR(__xludf.DUMMYFUNCTION("""COMPUTED_VALUE"""),3.0)</f>
        <v>3</v>
      </c>
      <c r="F387" s="67" t="str">
        <f>IFERROR(__xludf.DUMMYFUNCTION("""COMPUTED_VALUE"""),"https://www.google.com/maps/search/?api=1&amp;query=-30.9054687850875,-55.5395051997123")</f>
        <v>https://www.google.com/maps/search/?api=1&amp;query=-30.9054687850875,-55.5395051997123</v>
      </c>
      <c r="G387" s="68" t="str">
        <f>IFERROR(__xludf.DUMMYFUNCTION("""COMPUTED_VALUE"""),"https://earth.google.com/web/search/-30.9054687850875,-55.5395051997123")</f>
        <v>https://earth.google.com/web/search/-30.9054687850875,-55.5395051997123</v>
      </c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</row>
    <row r="388">
      <c r="A388" s="69" t="str">
        <f>IFERROR(__xludf.DUMMYFUNCTION("""COMPUTED_VALUE"""),"-30.9055017589884")</f>
        <v>-30.9055017589884</v>
      </c>
      <c r="B388" s="61" t="str">
        <f>IFERROR(__xludf.DUMMYFUNCTION("""COMPUTED_VALUE"""),"-55.5394538304954")</f>
        <v>-55.5394538304954</v>
      </c>
      <c r="C388" s="61">
        <f>IFERROR(__xludf.DUMMYFUNCTION("""COMPUTED_VALUE"""),1.0)</f>
        <v>1</v>
      </c>
      <c r="D388" s="61">
        <f>IFERROR(__xludf.DUMMYFUNCTION("""COMPUTED_VALUE"""),287.0)</f>
        <v>287</v>
      </c>
      <c r="E388" s="61">
        <f>IFERROR(__xludf.DUMMYFUNCTION("""COMPUTED_VALUE"""),4.0)</f>
        <v>4</v>
      </c>
      <c r="F388" s="62" t="str">
        <f>IFERROR(__xludf.DUMMYFUNCTION("""COMPUTED_VALUE"""),"https://www.google.com/maps/search/?api=1&amp;query=-30.9055017589884,-55.5394538304954")</f>
        <v>https://www.google.com/maps/search/?api=1&amp;query=-30.9055017589884,-55.5394538304954</v>
      </c>
      <c r="G388" s="63" t="str">
        <f>IFERROR(__xludf.DUMMYFUNCTION("""COMPUTED_VALUE"""),"https://earth.google.com/web/search/-30.9055017589884,-55.5394538304954")</f>
        <v>https://earth.google.com/web/search/-30.9055017589884,-55.5394538304954</v>
      </c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</row>
    <row r="389">
      <c r="A389" s="65" t="str">
        <f>IFERROR(__xludf.DUMMYFUNCTION("""COMPUTED_VALUE"""),"-30.9055553743806")</f>
        <v>-30.9055553743806</v>
      </c>
      <c r="B389" s="66" t="str">
        <f>IFERROR(__xludf.DUMMYFUNCTION("""COMPUTED_VALUE"""),"-55.5393405659298")</f>
        <v>-55.5393405659298</v>
      </c>
      <c r="C389" s="66">
        <f>IFERROR(__xludf.DUMMYFUNCTION("""COMPUTED_VALUE"""),1.0)</f>
        <v>1</v>
      </c>
      <c r="D389" s="66">
        <f>IFERROR(__xludf.DUMMYFUNCTION("""COMPUTED_VALUE"""),287.0)</f>
        <v>287</v>
      </c>
      <c r="E389" s="66">
        <f>IFERROR(__xludf.DUMMYFUNCTION("""COMPUTED_VALUE"""),5.0)</f>
        <v>5</v>
      </c>
      <c r="F389" s="67" t="str">
        <f>IFERROR(__xludf.DUMMYFUNCTION("""COMPUTED_VALUE"""),"https://www.google.com/maps/search/?api=1&amp;query=-30.9055553743806,-55.5393405659298")</f>
        <v>https://www.google.com/maps/search/?api=1&amp;query=-30.9055553743806,-55.5393405659298</v>
      </c>
      <c r="G389" s="68" t="str">
        <f>IFERROR(__xludf.DUMMYFUNCTION("""COMPUTED_VALUE"""),"https://earth.google.com/web/search/-30.9055553743806,-55.5393405659298")</f>
        <v>https://earth.google.com/web/search/-30.9055553743806,-55.5393405659298</v>
      </c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</row>
    <row r="390">
      <c r="A390" s="69" t="str">
        <f>IFERROR(__xludf.DUMMYFUNCTION("""COMPUTED_VALUE"""),"-30.9054903456613")</f>
        <v>-30.9054903456613</v>
      </c>
      <c r="B390" s="61" t="str">
        <f>IFERROR(__xludf.DUMMYFUNCTION("""COMPUTED_VALUE"""),"-55.5389004448409")</f>
        <v>-55.5389004448409</v>
      </c>
      <c r="C390" s="61">
        <f>IFERROR(__xludf.DUMMYFUNCTION("""COMPUTED_VALUE"""),1.0)</f>
        <v>1</v>
      </c>
      <c r="D390" s="61">
        <f>IFERROR(__xludf.DUMMYFUNCTION("""COMPUTED_VALUE"""),287.0)</f>
        <v>287</v>
      </c>
      <c r="E390" s="61">
        <f>IFERROR(__xludf.DUMMYFUNCTION("""COMPUTED_VALUE"""),6.0)</f>
        <v>6</v>
      </c>
      <c r="F390" s="62" t="str">
        <f>IFERROR(__xludf.DUMMYFUNCTION("""COMPUTED_VALUE"""),"https://www.google.com/maps/search/?api=1&amp;query=-30.9054903456613,-55.5389004448409")</f>
        <v>https://www.google.com/maps/search/?api=1&amp;query=-30.9054903456613,-55.5389004448409</v>
      </c>
      <c r="G390" s="63" t="str">
        <f>IFERROR(__xludf.DUMMYFUNCTION("""COMPUTED_VALUE"""),"https://earth.google.com/web/search/-30.9054903456613,-55.5389004448409")</f>
        <v>https://earth.google.com/web/search/-30.9054903456613,-55.5389004448409</v>
      </c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</row>
    <row r="391">
      <c r="A391" s="65" t="str">
        <f>IFERROR(__xludf.DUMMYFUNCTION("""COMPUTED_VALUE"""),"-30.9053588462555")</f>
        <v>-30.9053588462555</v>
      </c>
      <c r="B391" s="66" t="str">
        <f>IFERROR(__xludf.DUMMYFUNCTION("""COMPUTED_VALUE"""),"-55.5388160897694")</f>
        <v>-55.5388160897694</v>
      </c>
      <c r="C391" s="66">
        <f>IFERROR(__xludf.DUMMYFUNCTION("""COMPUTED_VALUE"""),1.0)</f>
        <v>1</v>
      </c>
      <c r="D391" s="66">
        <f>IFERROR(__xludf.DUMMYFUNCTION("""COMPUTED_VALUE"""),287.0)</f>
        <v>287</v>
      </c>
      <c r="E391" s="66">
        <f>IFERROR(__xludf.DUMMYFUNCTION("""COMPUTED_VALUE"""),7.0)</f>
        <v>7</v>
      </c>
      <c r="F391" s="67" t="str">
        <f>IFERROR(__xludf.DUMMYFUNCTION("""COMPUTED_VALUE"""),"https://www.google.com/maps/search/?api=1&amp;query=-30.9053588462555,-55.5388160897694")</f>
        <v>https://www.google.com/maps/search/?api=1&amp;query=-30.9053588462555,-55.5388160897694</v>
      </c>
      <c r="G391" s="68" t="str">
        <f>IFERROR(__xludf.DUMMYFUNCTION("""COMPUTED_VALUE"""),"https://earth.google.com/web/search/-30.9053588462555,-55.5388160897694")</f>
        <v>https://earth.google.com/web/search/-30.9053588462555,-55.5388160897694</v>
      </c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</row>
    <row r="392">
      <c r="A392" s="69" t="str">
        <f>IFERROR(__xludf.DUMMYFUNCTION("""COMPUTED_VALUE"""),"-30.9052523778597")</f>
        <v>-30.9052523778597</v>
      </c>
      <c r="B392" s="61" t="str">
        <f>IFERROR(__xludf.DUMMYFUNCTION("""COMPUTED_VALUE"""),"-55.5387357217085")</f>
        <v>-55.5387357217085</v>
      </c>
      <c r="C392" s="61">
        <f>IFERROR(__xludf.DUMMYFUNCTION("""COMPUTED_VALUE"""),1.0)</f>
        <v>1</v>
      </c>
      <c r="D392" s="61">
        <f>IFERROR(__xludf.DUMMYFUNCTION("""COMPUTED_VALUE"""),287.0)</f>
        <v>287</v>
      </c>
      <c r="E392" s="61">
        <f>IFERROR(__xludf.DUMMYFUNCTION("""COMPUTED_VALUE"""),8.0)</f>
        <v>8</v>
      </c>
      <c r="F392" s="62" t="str">
        <f>IFERROR(__xludf.DUMMYFUNCTION("""COMPUTED_VALUE"""),"https://www.google.com/maps/search/?api=1&amp;query=-30.9052523778597,-55.5387357217085")</f>
        <v>https://www.google.com/maps/search/?api=1&amp;query=-30.9052523778597,-55.5387357217085</v>
      </c>
      <c r="G392" s="63" t="str">
        <f>IFERROR(__xludf.DUMMYFUNCTION("""COMPUTED_VALUE"""),"https://earth.google.com/web/search/-30.9052523778597,-55.5387357217085")</f>
        <v>https://earth.google.com/web/search/-30.9052523778597,-55.5387357217085</v>
      </c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</row>
    <row r="393">
      <c r="A393" s="65" t="str">
        <f>IFERROR(__xludf.DUMMYFUNCTION("""COMPUTED_VALUE"""),"-30.9048416104368")</f>
        <v>-30.9048416104368</v>
      </c>
      <c r="B393" s="66" t="str">
        <f>IFERROR(__xludf.DUMMYFUNCTION("""COMPUTED_VALUE"""),"-55.5388149256693")</f>
        <v>-55.5388149256693</v>
      </c>
      <c r="C393" s="66">
        <f>IFERROR(__xludf.DUMMYFUNCTION("""COMPUTED_VALUE"""),1.0)</f>
        <v>1</v>
      </c>
      <c r="D393" s="66">
        <f>IFERROR(__xludf.DUMMYFUNCTION("""COMPUTED_VALUE"""),287.0)</f>
        <v>287</v>
      </c>
      <c r="E393" s="66">
        <f>IFERROR(__xludf.DUMMYFUNCTION("""COMPUTED_VALUE"""),9.0)</f>
        <v>9</v>
      </c>
      <c r="F393" s="67" t="str">
        <f>IFERROR(__xludf.DUMMYFUNCTION("""COMPUTED_VALUE"""),"https://www.google.com/maps/search/?api=1&amp;query=-30.9048416104368,-55.5388149256693")</f>
        <v>https://www.google.com/maps/search/?api=1&amp;query=-30.9048416104368,-55.5388149256693</v>
      </c>
      <c r="G393" s="68" t="str">
        <f>IFERROR(__xludf.DUMMYFUNCTION("""COMPUTED_VALUE"""),"https://earth.google.com/web/search/-30.9048416104368,-55.5388149256693")</f>
        <v>https://earth.google.com/web/search/-30.9048416104368,-55.5388149256693</v>
      </c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</row>
    <row r="394">
      <c r="A394" s="69" t="str">
        <f>IFERROR(__xludf.DUMMYFUNCTION("""COMPUTED_VALUE"""),"-30.9045731068168")</f>
        <v>-30.9045731068168</v>
      </c>
      <c r="B394" s="61" t="str">
        <f>IFERROR(__xludf.DUMMYFUNCTION("""COMPUTED_VALUE"""),"-55.5393398965533")</f>
        <v>-55.5393398965533</v>
      </c>
      <c r="C394" s="61">
        <f>IFERROR(__xludf.DUMMYFUNCTION("""COMPUTED_VALUE"""),1.0)</f>
        <v>1</v>
      </c>
      <c r="D394" s="61">
        <f>IFERROR(__xludf.DUMMYFUNCTION("""COMPUTED_VALUE"""),287.0)</f>
        <v>287</v>
      </c>
      <c r="E394" s="61">
        <f>IFERROR(__xludf.DUMMYFUNCTION("""COMPUTED_VALUE"""),10.0)</f>
        <v>10</v>
      </c>
      <c r="F394" s="62" t="str">
        <f>IFERROR(__xludf.DUMMYFUNCTION("""COMPUTED_VALUE"""),"https://www.google.com/maps/search/?api=1&amp;query=-30.9045731068168,-55.5393398965533")</f>
        <v>https://www.google.com/maps/search/?api=1&amp;query=-30.9045731068168,-55.5393398965533</v>
      </c>
      <c r="G394" s="63" t="str">
        <f>IFERROR(__xludf.DUMMYFUNCTION("""COMPUTED_VALUE"""),"https://earth.google.com/web/search/-30.9045731068168,-55.5393398965533")</f>
        <v>https://earth.google.com/web/search/-30.9045731068168,-55.5393398965533</v>
      </c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</row>
    <row r="395">
      <c r="A395" s="65" t="str">
        <f>IFERROR(__xludf.DUMMYFUNCTION("""COMPUTED_VALUE"""),"-30.9046554309334")</f>
        <v>-30.9046554309334</v>
      </c>
      <c r="B395" s="66" t="str">
        <f>IFERROR(__xludf.DUMMYFUNCTION("""COMPUTED_VALUE"""),"-55.5394547687761")</f>
        <v>-55.5394547687761</v>
      </c>
      <c r="C395" s="66">
        <f>IFERROR(__xludf.DUMMYFUNCTION("""COMPUTED_VALUE"""),1.0)</f>
        <v>1</v>
      </c>
      <c r="D395" s="66">
        <f>IFERROR(__xludf.DUMMYFUNCTION("""COMPUTED_VALUE"""),287.0)</f>
        <v>287</v>
      </c>
      <c r="E395" s="66">
        <f>IFERROR(__xludf.DUMMYFUNCTION("""COMPUTED_VALUE"""),11.0)</f>
        <v>11</v>
      </c>
      <c r="F395" s="67" t="str">
        <f>IFERROR(__xludf.DUMMYFUNCTION("""COMPUTED_VALUE"""),"https://www.google.com/maps/search/?api=1&amp;query=-30.9046554309334,-55.5394547687761")</f>
        <v>https://www.google.com/maps/search/?api=1&amp;query=-30.9046554309334,-55.5394547687761</v>
      </c>
      <c r="G395" s="68" t="str">
        <f>IFERROR(__xludf.DUMMYFUNCTION("""COMPUTED_VALUE"""),"https://earth.google.com/web/search/-30.9046554309334,-55.5394547687761")</f>
        <v>https://earth.google.com/web/search/-30.9046554309334,-55.5394547687761</v>
      </c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</row>
    <row r="396">
      <c r="A396" s="69" t="str">
        <f>IFERROR(__xludf.DUMMYFUNCTION("""COMPUTED_VALUE"""),"-30.9048511256733")</f>
        <v>-30.9048511256733</v>
      </c>
      <c r="B396" s="61" t="str">
        <f>IFERROR(__xludf.DUMMYFUNCTION("""COMPUTED_VALUE"""),"-55.5395848099566")</f>
        <v>-55.5395848099566</v>
      </c>
      <c r="C396" s="61">
        <f>IFERROR(__xludf.DUMMYFUNCTION("""COMPUTED_VALUE"""),1.0)</f>
        <v>1</v>
      </c>
      <c r="D396" s="61">
        <f>IFERROR(__xludf.DUMMYFUNCTION("""COMPUTED_VALUE"""),287.0)</f>
        <v>287</v>
      </c>
      <c r="E396" s="61">
        <f>IFERROR(__xludf.DUMMYFUNCTION("""COMPUTED_VALUE"""),12.0)</f>
        <v>12</v>
      </c>
      <c r="F396" s="62" t="str">
        <f>IFERROR(__xludf.DUMMYFUNCTION("""COMPUTED_VALUE"""),"https://www.google.com/maps/search/?api=1&amp;query=-30.9048511256733,-55.5395848099566")</f>
        <v>https://www.google.com/maps/search/?api=1&amp;query=-30.9048511256733,-55.5395848099566</v>
      </c>
      <c r="G396" s="63" t="str">
        <f>IFERROR(__xludf.DUMMYFUNCTION("""COMPUTED_VALUE"""),"https://earth.google.com/web/search/-30.9048511256733,-55.5395848099566")</f>
        <v>https://earth.google.com/web/search/-30.9048511256733,-55.5395848099566</v>
      </c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</row>
    <row r="397">
      <c r="A397" s="65" t="str">
        <f>IFERROR(__xludf.DUMMYFUNCTION("""COMPUTED_VALUE"""),"-30.9049650534079")</f>
        <v>-30.9049650534079</v>
      </c>
      <c r="B397" s="66" t="str">
        <f>IFERROR(__xludf.DUMMYFUNCTION("""COMPUTED_VALUE"""),"-55.5404606572872")</f>
        <v>-55.5404606572872</v>
      </c>
      <c r="C397" s="66">
        <f>IFERROR(__xludf.DUMMYFUNCTION("""COMPUTED_VALUE"""),1.0)</f>
        <v>1</v>
      </c>
      <c r="D397" s="66">
        <f>IFERROR(__xludf.DUMMYFUNCTION("""COMPUTED_VALUE"""),288.0)</f>
        <v>288</v>
      </c>
      <c r="E397" s="66">
        <f>IFERROR(__xludf.DUMMYFUNCTION("""COMPUTED_VALUE"""),1.0)</f>
        <v>1</v>
      </c>
      <c r="F397" s="67" t="str">
        <f>IFERROR(__xludf.DUMMYFUNCTION("""COMPUTED_VALUE"""),"https://www.google.com/maps/search/?api=1&amp;query=-30.9049650534079,-55.5404606572872")</f>
        <v>https://www.google.com/maps/search/?api=1&amp;query=-30.9049650534079,-55.5404606572872</v>
      </c>
      <c r="G397" s="68" t="str">
        <f>IFERROR(__xludf.DUMMYFUNCTION("""COMPUTED_VALUE"""),"https://earth.google.com/web/search/-30.9049650534079,-55.5404606572872")</f>
        <v>https://earth.google.com/web/search/-30.9049650534079,-55.5404606572872</v>
      </c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</row>
    <row r="398">
      <c r="A398" s="69" t="str">
        <f>IFERROR(__xludf.DUMMYFUNCTION("""COMPUTED_VALUE"""),"-30.9050779407045")</f>
        <v>-30.9050779407045</v>
      </c>
      <c r="B398" s="61" t="str">
        <f>IFERROR(__xludf.DUMMYFUNCTION("""COMPUTED_VALUE"""),"-55.5402320031408")</f>
        <v>-55.5402320031408</v>
      </c>
      <c r="C398" s="61">
        <f>IFERROR(__xludf.DUMMYFUNCTION("""COMPUTED_VALUE"""),1.0)</f>
        <v>1</v>
      </c>
      <c r="D398" s="61">
        <f>IFERROR(__xludf.DUMMYFUNCTION("""COMPUTED_VALUE"""),288.0)</f>
        <v>288</v>
      </c>
      <c r="E398" s="61">
        <f>IFERROR(__xludf.DUMMYFUNCTION("""COMPUTED_VALUE"""),2.0)</f>
        <v>2</v>
      </c>
      <c r="F398" s="62" t="str">
        <f>IFERROR(__xludf.DUMMYFUNCTION("""COMPUTED_VALUE"""),"https://www.google.com/maps/search/?api=1&amp;query=-30.9050779407045,-55.5402320031408")</f>
        <v>https://www.google.com/maps/search/?api=1&amp;query=-30.9050779407045,-55.5402320031408</v>
      </c>
      <c r="G398" s="63" t="str">
        <f>IFERROR(__xludf.DUMMYFUNCTION("""COMPUTED_VALUE"""),"https://earth.google.com/web/search/-30.9050779407045,-55.5402320031408")</f>
        <v>https://earth.google.com/web/search/-30.9050779407045,-55.5402320031408</v>
      </c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</row>
    <row r="399">
      <c r="A399" s="65" t="str">
        <f>IFERROR(__xludf.DUMMYFUNCTION("""COMPUTED_VALUE"""),"-30.9051327838222")</f>
        <v>-30.9051327838222</v>
      </c>
      <c r="B399" s="66" t="str">
        <f>IFERROR(__xludf.DUMMYFUNCTION("""COMPUTED_VALUE"""),"-55.5401499889573")</f>
        <v>-55.5401499889573</v>
      </c>
      <c r="C399" s="66">
        <f>IFERROR(__xludf.DUMMYFUNCTION("""COMPUTED_VALUE"""),1.0)</f>
        <v>1</v>
      </c>
      <c r="D399" s="66">
        <f>IFERROR(__xludf.DUMMYFUNCTION("""COMPUTED_VALUE"""),288.0)</f>
        <v>288</v>
      </c>
      <c r="E399" s="66">
        <f>IFERROR(__xludf.DUMMYFUNCTION("""COMPUTED_VALUE"""),3.0)</f>
        <v>3</v>
      </c>
      <c r="F399" s="67" t="str">
        <f>IFERROR(__xludf.DUMMYFUNCTION("""COMPUTED_VALUE"""),"https://www.google.com/maps/search/?api=1&amp;query=-30.9051327838222,-55.5401499889573")</f>
        <v>https://www.google.com/maps/search/?api=1&amp;query=-30.9051327838222,-55.5401499889573</v>
      </c>
      <c r="G399" s="68" t="str">
        <f>IFERROR(__xludf.DUMMYFUNCTION("""COMPUTED_VALUE"""),"https://earth.google.com/web/search/-30.9051327838222,-55.5401499889573")</f>
        <v>https://earth.google.com/web/search/-30.9051327838222,-55.5401499889573</v>
      </c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</row>
    <row r="400">
      <c r="A400" s="69" t="str">
        <f>IFERROR(__xludf.DUMMYFUNCTION("""COMPUTED_VALUE"""),"-30.9050368191053")</f>
        <v>-30.9050368191053</v>
      </c>
      <c r="B400" s="61" t="str">
        <f>IFERROR(__xludf.DUMMYFUNCTION("""COMPUTED_VALUE"""),"-5.5539832675776")</f>
        <v>-5.5539832675776</v>
      </c>
      <c r="C400" s="61">
        <f>IFERROR(__xludf.DUMMYFUNCTION("""COMPUTED_VALUE"""),1.0)</f>
        <v>1</v>
      </c>
      <c r="D400" s="61">
        <f>IFERROR(__xludf.DUMMYFUNCTION("""COMPUTED_VALUE"""),288.0)</f>
        <v>288</v>
      </c>
      <c r="E400" s="61">
        <f>IFERROR(__xludf.DUMMYFUNCTION("""COMPUTED_VALUE"""),4.0)</f>
        <v>4</v>
      </c>
      <c r="F400" s="62" t="str">
        <f>IFERROR(__xludf.DUMMYFUNCTION("""COMPUTED_VALUE"""),"https://www.google.com/maps/search/?api=1&amp;query=-30.9050368191053,-5.5539832675776")</f>
        <v>https://www.google.com/maps/search/?api=1&amp;query=-30.9050368191053,-5.5539832675776</v>
      </c>
      <c r="G400" s="63" t="str">
        <f>IFERROR(__xludf.DUMMYFUNCTION("""COMPUTED_VALUE"""),"https://earth.google.com/web/search/-30.9050368191053,-5.5539832675776")</f>
        <v>https://earth.google.com/web/search/-30.9050368191053,-5.5539832675776</v>
      </c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</row>
    <row r="401">
      <c r="A401" s="65" t="str">
        <f>IFERROR(__xludf.DUMMYFUNCTION("""COMPUTED_VALUE"""),"-30.9049650446156")</f>
        <v>-30.9049650446156</v>
      </c>
      <c r="B401" s="66" t="str">
        <f>IFERROR(__xludf.DUMMYFUNCTION("""COMPUTED_VALUE"""),"-55.5397877052387")</f>
        <v>-55.5397877052387</v>
      </c>
      <c r="C401" s="66">
        <f>IFERROR(__xludf.DUMMYFUNCTION("""COMPUTED_VALUE"""),1.0)</f>
        <v>1</v>
      </c>
      <c r="D401" s="66">
        <f>IFERROR(__xludf.DUMMYFUNCTION("""COMPUTED_VALUE"""),288.0)</f>
        <v>288</v>
      </c>
      <c r="E401" s="66">
        <f>IFERROR(__xludf.DUMMYFUNCTION("""COMPUTED_VALUE"""),5.0)</f>
        <v>5</v>
      </c>
      <c r="F401" s="67" t="str">
        <f>IFERROR(__xludf.DUMMYFUNCTION("""COMPUTED_VALUE"""),"https://www.google.com/maps/search/?api=1&amp;query=-30.9049650446156,-55.5397877052387")</f>
        <v>https://www.google.com/maps/search/?api=1&amp;query=-30.9049650446156,-55.5397877052387</v>
      </c>
      <c r="G401" s="68" t="str">
        <f>IFERROR(__xludf.DUMMYFUNCTION("""COMPUTED_VALUE"""),"https://earth.google.com/web/search/-30.9049650446156,-55.5397877052387")</f>
        <v>https://earth.google.com/web/search/-30.9049650446156,-55.5397877052387</v>
      </c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</row>
    <row r="402">
      <c r="A402" s="69" t="str">
        <f>IFERROR(__xludf.DUMMYFUNCTION("""COMPUTED_VALUE"""),"-30.9047467651177")</f>
        <v>-30.9047467651177</v>
      </c>
      <c r="B402" s="61" t="str">
        <f>IFERROR(__xludf.DUMMYFUNCTION("""COMPUTED_VALUE"""),"-55.5396241739542")</f>
        <v>-55.5396241739542</v>
      </c>
      <c r="C402" s="61">
        <f>IFERROR(__xludf.DUMMYFUNCTION("""COMPUTED_VALUE"""),1.0)</f>
        <v>1</v>
      </c>
      <c r="D402" s="61">
        <f>IFERROR(__xludf.DUMMYFUNCTION("""COMPUTED_VALUE"""),288.0)</f>
        <v>288</v>
      </c>
      <c r="E402" s="61">
        <f>IFERROR(__xludf.DUMMYFUNCTION("""COMPUTED_VALUE"""),6.0)</f>
        <v>6</v>
      </c>
      <c r="F402" s="62" t="str">
        <f>IFERROR(__xludf.DUMMYFUNCTION("""COMPUTED_VALUE"""),"https://www.google.com/maps/search/?api=1&amp;query=-30.9047467651177,-55.5396241739542")</f>
        <v>https://www.google.com/maps/search/?api=1&amp;query=-30.9047467651177,-55.5396241739542</v>
      </c>
      <c r="G402" s="63" t="str">
        <f>IFERROR(__xludf.DUMMYFUNCTION("""COMPUTED_VALUE"""),"https://earth.google.com/web/search/-30.9047467651177,-55.5396241739542")</f>
        <v>https://earth.google.com/web/search/-30.9047467651177,-55.5396241739542</v>
      </c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</row>
    <row r="403">
      <c r="A403" s="65" t="str">
        <f>IFERROR(__xludf.DUMMYFUNCTION("""COMPUTED_VALUE"""),"-30.9043532264327")</f>
        <v>-30.9043532264327</v>
      </c>
      <c r="B403" s="66" t="str">
        <f>IFERROR(__xludf.DUMMYFUNCTION("""COMPUTED_VALUE"""),"-55.5397665249431")</f>
        <v>-55.5397665249431</v>
      </c>
      <c r="C403" s="66">
        <f>IFERROR(__xludf.DUMMYFUNCTION("""COMPUTED_VALUE"""),1.0)</f>
        <v>1</v>
      </c>
      <c r="D403" s="66">
        <f>IFERROR(__xludf.DUMMYFUNCTION("""COMPUTED_VALUE"""),288.0)</f>
        <v>288</v>
      </c>
      <c r="E403" s="66">
        <f>IFERROR(__xludf.DUMMYFUNCTION("""COMPUTED_VALUE"""),7.0)</f>
        <v>7</v>
      </c>
      <c r="F403" s="67" t="str">
        <f>IFERROR(__xludf.DUMMYFUNCTION("""COMPUTED_VALUE"""),"https://www.google.com/maps/search/?api=1&amp;query=-30.9043532264327,-55.5397665249431")</f>
        <v>https://www.google.com/maps/search/?api=1&amp;query=-30.9043532264327,-55.5397665249431</v>
      </c>
      <c r="G403" s="68" t="str">
        <f>IFERROR(__xludf.DUMMYFUNCTION("""COMPUTED_VALUE"""),"https://earth.google.com/web/search/-30.9043532264327,-55.5397665249431")</f>
        <v>https://earth.google.com/web/search/-30.9043532264327,-55.5397665249431</v>
      </c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</row>
    <row r="404">
      <c r="A404" s="69" t="str">
        <f>IFERROR(__xludf.DUMMYFUNCTION("""COMPUTED_VALUE"""),"-30.9042615270054")</f>
        <v>-30.9042615270054</v>
      </c>
      <c r="B404" s="61" t="str">
        <f>IFERROR(__xludf.DUMMYFUNCTION("""COMPUTED_VALUE"""),"-55.5399379614439")</f>
        <v>-55.5399379614439</v>
      </c>
      <c r="C404" s="61">
        <f>IFERROR(__xludf.DUMMYFUNCTION("""COMPUTED_VALUE"""),1.0)</f>
        <v>1</v>
      </c>
      <c r="D404" s="61">
        <f>IFERROR(__xludf.DUMMYFUNCTION("""COMPUTED_VALUE"""),288.0)</f>
        <v>288</v>
      </c>
      <c r="E404" s="61">
        <f>IFERROR(__xludf.DUMMYFUNCTION("""COMPUTED_VALUE"""),8.0)</f>
        <v>8</v>
      </c>
      <c r="F404" s="62" t="str">
        <f>IFERROR(__xludf.DUMMYFUNCTION("""COMPUTED_VALUE"""),"https://www.google.com/maps/search/?api=1&amp;query=-30.9042615270054,-55.5399379614439")</f>
        <v>https://www.google.com/maps/search/?api=1&amp;query=-30.9042615270054,-55.5399379614439</v>
      </c>
      <c r="G404" s="63" t="str">
        <f>IFERROR(__xludf.DUMMYFUNCTION("""COMPUTED_VALUE"""),"https://earth.google.com/web/search/-30.9042615270054,-55.5399379614439")</f>
        <v>https://earth.google.com/web/search/-30.9042615270054,-55.5399379614439</v>
      </c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</row>
    <row r="405">
      <c r="A405" s="65" t="str">
        <f>IFERROR(__xludf.DUMMYFUNCTION("""COMPUTED_VALUE"""),"-30.9041469559614")</f>
        <v>-30.9041469559614</v>
      </c>
      <c r="B405" s="66" t="str">
        <f>IFERROR(__xludf.DUMMYFUNCTION("""COMPUTED_VALUE"""),"-5.5540144618786")</f>
        <v>-5.5540144618786</v>
      </c>
      <c r="C405" s="66">
        <f>IFERROR(__xludf.DUMMYFUNCTION("""COMPUTED_VALUE"""),1.0)</f>
        <v>1</v>
      </c>
      <c r="D405" s="66">
        <f>IFERROR(__xludf.DUMMYFUNCTION("""COMPUTED_VALUE"""),288.0)</f>
        <v>288</v>
      </c>
      <c r="E405" s="66">
        <f>IFERROR(__xludf.DUMMYFUNCTION("""COMPUTED_VALUE"""),9.0)</f>
        <v>9</v>
      </c>
      <c r="F405" s="67" t="str">
        <f>IFERROR(__xludf.DUMMYFUNCTION("""COMPUTED_VALUE"""),"https://www.google.com/maps/search/?api=1&amp;query=-30.9041469559614,-5.5540144618786")</f>
        <v>https://www.google.com/maps/search/?api=1&amp;query=-30.9041469559614,-5.5540144618786</v>
      </c>
      <c r="G405" s="68" t="str">
        <f>IFERROR(__xludf.DUMMYFUNCTION("""COMPUTED_VALUE"""),"https://earth.google.com/web/search/-30.9041469559614,-5.5540144618786")</f>
        <v>https://earth.google.com/web/search/-30.9041469559614,-5.5540144618786</v>
      </c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</row>
    <row r="406">
      <c r="A406" s="69" t="str">
        <f>IFERROR(__xludf.DUMMYFUNCTION("""COMPUTED_VALUE"""),"-30.9045256146764")</f>
        <v>-30.9045256146764</v>
      </c>
      <c r="B406" s="61" t="str">
        <f>IFERROR(__xludf.DUMMYFUNCTION("""COMPUTED_VALUE"""),"-55.5406071151513")</f>
        <v>-55.5406071151513</v>
      </c>
      <c r="C406" s="61">
        <f>IFERROR(__xludf.DUMMYFUNCTION("""COMPUTED_VALUE"""),1.0)</f>
        <v>1</v>
      </c>
      <c r="D406" s="61">
        <f>IFERROR(__xludf.DUMMYFUNCTION("""COMPUTED_VALUE"""),288.0)</f>
        <v>288</v>
      </c>
      <c r="E406" s="61">
        <f>IFERROR(__xludf.DUMMYFUNCTION("""COMPUTED_VALUE"""),10.0)</f>
        <v>10</v>
      </c>
      <c r="F406" s="62" t="str">
        <f>IFERROR(__xludf.DUMMYFUNCTION("""COMPUTED_VALUE"""),"https://www.google.com/maps/search/?api=1&amp;query=-30.9045256146764,-55.5406071151513")</f>
        <v>https://www.google.com/maps/search/?api=1&amp;query=-30.9045256146764,-55.5406071151513</v>
      </c>
      <c r="G406" s="63" t="str">
        <f>IFERROR(__xludf.DUMMYFUNCTION("""COMPUTED_VALUE"""),"https://earth.google.com/web/search/-30.9045256146764,-55.5406071151513")</f>
        <v>https://earth.google.com/web/search/-30.9045256146764,-55.5406071151513</v>
      </c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</row>
    <row r="407">
      <c r="A407" s="65" t="str">
        <f>IFERROR(__xludf.DUMMYFUNCTION("""COMPUTED_VALUE"""),"-30.9043612961341")</f>
        <v>-30.9043612961341</v>
      </c>
      <c r="B407" s="66" t="str">
        <f>IFERROR(__xludf.DUMMYFUNCTION("""COMPUTED_VALUE"""),"-55.5416140498916")</f>
        <v>-55.5416140498916</v>
      </c>
      <c r="C407" s="66">
        <f>IFERROR(__xludf.DUMMYFUNCTION("""COMPUTED_VALUE"""),1.0)</f>
        <v>1</v>
      </c>
      <c r="D407" s="66">
        <f>IFERROR(__xludf.DUMMYFUNCTION("""COMPUTED_VALUE"""),289.0)</f>
        <v>289</v>
      </c>
      <c r="E407" s="66">
        <f>IFERROR(__xludf.DUMMYFUNCTION("""COMPUTED_VALUE"""),1.0)</f>
        <v>1</v>
      </c>
      <c r="F407" s="67" t="str">
        <f>IFERROR(__xludf.DUMMYFUNCTION("""COMPUTED_VALUE"""),"https://www.google.com/maps/search/?api=1&amp;query=-30.9043612961341,-55.5416140498916")</f>
        <v>https://www.google.com/maps/search/?api=1&amp;query=-30.9043612961341,-55.5416140498916</v>
      </c>
      <c r="G407" s="68" t="str">
        <f>IFERROR(__xludf.DUMMYFUNCTION("""COMPUTED_VALUE"""),"https://earth.google.com/web/search/-30.9043612961341,-55.5416140498916")</f>
        <v>https://earth.google.com/web/search/-30.9043612961341,-55.5416140498916</v>
      </c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</row>
    <row r="408">
      <c r="A408" s="69" t="str">
        <f>IFERROR(__xludf.DUMMYFUNCTION("""COMPUTED_VALUE"""),"-3.0904416492246")</f>
        <v>-3.0904416492246</v>
      </c>
      <c r="B408" s="61" t="str">
        <f>IFERROR(__xludf.DUMMYFUNCTION("""COMPUTED_VALUE"""),"-55.5415121772057")</f>
        <v>-55.5415121772057</v>
      </c>
      <c r="C408" s="61">
        <f>IFERROR(__xludf.DUMMYFUNCTION("""COMPUTED_VALUE"""),1.0)</f>
        <v>1</v>
      </c>
      <c r="D408" s="61">
        <f>IFERROR(__xludf.DUMMYFUNCTION("""COMPUTED_VALUE"""),289.0)</f>
        <v>289</v>
      </c>
      <c r="E408" s="61">
        <f>IFERROR(__xludf.DUMMYFUNCTION("""COMPUTED_VALUE"""),2.0)</f>
        <v>2</v>
      </c>
      <c r="F408" s="62" t="str">
        <f>IFERROR(__xludf.DUMMYFUNCTION("""COMPUTED_VALUE"""),"https://www.google.com/maps/search/?api=1&amp;query=-3.0904416492246,-55.5415121772057")</f>
        <v>https://www.google.com/maps/search/?api=1&amp;query=-3.0904416492246,-55.5415121772057</v>
      </c>
      <c r="G408" s="63" t="str">
        <f>IFERROR(__xludf.DUMMYFUNCTION("""COMPUTED_VALUE"""),"https://earth.google.com/web/search/-3.0904416492246,-55.5415121772057")</f>
        <v>https://earth.google.com/web/search/-3.0904416492246,-55.5415121772057</v>
      </c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</row>
    <row r="409">
      <c r="A409" s="65" t="str">
        <f>IFERROR(__xludf.DUMMYFUNCTION("""COMPUTED_VALUE"""),"-30.9044375074736")</f>
        <v>-30.9044375074736</v>
      </c>
      <c r="B409" s="66" t="str">
        <f>IFERROR(__xludf.DUMMYFUNCTION("""COMPUTED_VALUE"""),"-55.5414754626226")</f>
        <v>-55.5414754626226</v>
      </c>
      <c r="C409" s="66">
        <f>IFERROR(__xludf.DUMMYFUNCTION("""COMPUTED_VALUE"""),1.0)</f>
        <v>1</v>
      </c>
      <c r="D409" s="66">
        <f>IFERROR(__xludf.DUMMYFUNCTION("""COMPUTED_VALUE"""),289.0)</f>
        <v>289</v>
      </c>
      <c r="E409" s="66">
        <f>IFERROR(__xludf.DUMMYFUNCTION("""COMPUTED_VALUE"""),3.0)</f>
        <v>3</v>
      </c>
      <c r="F409" s="67" t="str">
        <f>IFERROR(__xludf.DUMMYFUNCTION("""COMPUTED_VALUE"""),"https://www.google.com/maps/search/?api=1&amp;query=-30.9044375074736,-55.5414754626226")</f>
        <v>https://www.google.com/maps/search/?api=1&amp;query=-30.9044375074736,-55.5414754626226</v>
      </c>
      <c r="G409" s="68" t="str">
        <f>IFERROR(__xludf.DUMMYFUNCTION("""COMPUTED_VALUE"""),"https://earth.google.com/web/search/-30.9044375074736,-55.5414754626226")</f>
        <v>https://earth.google.com/web/search/-30.9044375074736,-55.5414754626226</v>
      </c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</row>
    <row r="410">
      <c r="A410" s="69" t="str">
        <f>IFERROR(__xludf.DUMMYFUNCTION("""COMPUTED_VALUE"""),"-30.9044557764356")</f>
        <v>-30.9044557764356</v>
      </c>
      <c r="B410" s="61" t="str">
        <f>IFERROR(__xludf.DUMMYFUNCTION("""COMPUTED_VALUE"""),"-55.5414230066052")</f>
        <v>-55.5414230066052</v>
      </c>
      <c r="C410" s="61">
        <f>IFERROR(__xludf.DUMMYFUNCTION("""COMPUTED_VALUE"""),1.0)</f>
        <v>1</v>
      </c>
      <c r="D410" s="61">
        <f>IFERROR(__xludf.DUMMYFUNCTION("""COMPUTED_VALUE"""),289.0)</f>
        <v>289</v>
      </c>
      <c r="E410" s="61">
        <f>IFERROR(__xludf.DUMMYFUNCTION("""COMPUTED_VALUE"""),4.0)</f>
        <v>4</v>
      </c>
      <c r="F410" s="62" t="str">
        <f>IFERROR(__xludf.DUMMYFUNCTION("""COMPUTED_VALUE"""),"https://www.google.com/maps/search/?api=1&amp;query=-30.9044557764356,-55.5414230066052")</f>
        <v>https://www.google.com/maps/search/?api=1&amp;query=-30.9044557764356,-55.5414230066052</v>
      </c>
      <c r="G410" s="63" t="str">
        <f>IFERROR(__xludf.DUMMYFUNCTION("""COMPUTED_VALUE"""),"https://earth.google.com/web/search/-30.9044557764356,-55.5414230066052")</f>
        <v>https://earth.google.com/web/search/-30.9044557764356,-55.5414230066052</v>
      </c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</row>
    <row r="411">
      <c r="A411" s="65" t="str">
        <f>IFERROR(__xludf.DUMMYFUNCTION("""COMPUTED_VALUE"""),"-30.9045895592694")</f>
        <v>-30.9045895592694</v>
      </c>
      <c r="B411" s="66" t="str">
        <f>IFERROR(__xludf.DUMMYFUNCTION("""COMPUTED_VALUE"""),"-55.5411616354195")</f>
        <v>-55.5411616354195</v>
      </c>
      <c r="C411" s="66">
        <f>IFERROR(__xludf.DUMMYFUNCTION("""COMPUTED_VALUE"""),1.0)</f>
        <v>1</v>
      </c>
      <c r="D411" s="66">
        <f>IFERROR(__xludf.DUMMYFUNCTION("""COMPUTED_VALUE"""),289.0)</f>
        <v>289</v>
      </c>
      <c r="E411" s="66">
        <f>IFERROR(__xludf.DUMMYFUNCTION("""COMPUTED_VALUE"""),5.0)</f>
        <v>5</v>
      </c>
      <c r="F411" s="67" t="str">
        <f>IFERROR(__xludf.DUMMYFUNCTION("""COMPUTED_VALUE"""),"https://www.google.com/maps/search/?api=1&amp;query=-30.9045895592694,-55.5411616354195")</f>
        <v>https://www.google.com/maps/search/?api=1&amp;query=-30.9045895592694,-55.5411616354195</v>
      </c>
      <c r="G411" s="68" t="str">
        <f>IFERROR(__xludf.DUMMYFUNCTION("""COMPUTED_VALUE"""),"https://earth.google.com/web/search/-30.9045895592694,-55.5411616354195")</f>
        <v>https://earth.google.com/web/search/-30.9045895592694,-55.5411616354195</v>
      </c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</row>
    <row r="412">
      <c r="A412" s="69" t="str">
        <f>IFERROR(__xludf.DUMMYFUNCTION("""COMPUTED_VALUE"""),"-30.9045937266384")</f>
        <v>-30.9045937266384</v>
      </c>
      <c r="B412" s="61" t="str">
        <f>IFERROR(__xludf.DUMMYFUNCTION("""COMPUTED_VALUE"""),"-55.5407655377893")</f>
        <v>-55.5407655377893</v>
      </c>
      <c r="C412" s="61">
        <f>IFERROR(__xludf.DUMMYFUNCTION("""COMPUTED_VALUE"""),1.0)</f>
        <v>1</v>
      </c>
      <c r="D412" s="61">
        <f>IFERROR(__xludf.DUMMYFUNCTION("""COMPUTED_VALUE"""),289.0)</f>
        <v>289</v>
      </c>
      <c r="E412" s="61">
        <f>IFERROR(__xludf.DUMMYFUNCTION("""COMPUTED_VALUE"""),6.0)</f>
        <v>6</v>
      </c>
      <c r="F412" s="62" t="str">
        <f>IFERROR(__xludf.DUMMYFUNCTION("""COMPUTED_VALUE"""),"https://www.google.com/maps/search/?api=1&amp;query=-30.9045937266384,-55.5407655377893")</f>
        <v>https://www.google.com/maps/search/?api=1&amp;query=-30.9045937266384,-55.5407655377893</v>
      </c>
      <c r="G412" s="63" t="str">
        <f>IFERROR(__xludf.DUMMYFUNCTION("""COMPUTED_VALUE"""),"https://earth.google.com/web/search/-30.9045937266384,-55.5407655377893")</f>
        <v>https://earth.google.com/web/search/-30.9045937266384,-55.5407655377893</v>
      </c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</row>
    <row r="413">
      <c r="A413" s="65" t="str">
        <f>IFERROR(__xludf.DUMMYFUNCTION("""COMPUTED_VALUE"""),"-30.9043402400069")</f>
        <v>-30.9043402400069</v>
      </c>
      <c r="B413" s="66" t="str">
        <f>IFERROR(__xludf.DUMMYFUNCTION("""COMPUTED_VALUE"""),"-55.5405891018383")</f>
        <v>-55.5405891018383</v>
      </c>
      <c r="C413" s="66">
        <f>IFERROR(__xludf.DUMMYFUNCTION("""COMPUTED_VALUE"""),1.0)</f>
        <v>1</v>
      </c>
      <c r="D413" s="66">
        <f>IFERROR(__xludf.DUMMYFUNCTION("""COMPUTED_VALUE"""),289.0)</f>
        <v>289</v>
      </c>
      <c r="E413" s="66">
        <f>IFERROR(__xludf.DUMMYFUNCTION("""COMPUTED_VALUE"""),7.0)</f>
        <v>7</v>
      </c>
      <c r="F413" s="67" t="str">
        <f>IFERROR(__xludf.DUMMYFUNCTION("""COMPUTED_VALUE"""),"https://www.google.com/maps/search/?api=1&amp;query=-30.9043402400069,-55.5405891018383")</f>
        <v>https://www.google.com/maps/search/?api=1&amp;query=-30.9043402400069,-55.5405891018383</v>
      </c>
      <c r="G413" s="68" t="str">
        <f>IFERROR(__xludf.DUMMYFUNCTION("""COMPUTED_VALUE"""),"https://earth.google.com/web/search/-30.9043402400069,-55.5405891018383")</f>
        <v>https://earth.google.com/web/search/-30.9043402400069,-55.5405891018383</v>
      </c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</row>
    <row r="414">
      <c r="A414" s="69" t="str">
        <f>IFERROR(__xludf.DUMMYFUNCTION("""COMPUTED_VALUE"""),"-30.9040864526718")</f>
        <v>-30.9040864526718</v>
      </c>
      <c r="B414" s="61" t="str">
        <f>IFERROR(__xludf.DUMMYFUNCTION("""COMPUTED_VALUE"""),"-55.5403998651235")</f>
        <v>-55.5403998651235</v>
      </c>
      <c r="C414" s="61">
        <f>IFERROR(__xludf.DUMMYFUNCTION("""COMPUTED_VALUE"""),1.0)</f>
        <v>1</v>
      </c>
      <c r="D414" s="61">
        <f>IFERROR(__xludf.DUMMYFUNCTION("""COMPUTED_VALUE"""),289.0)</f>
        <v>289</v>
      </c>
      <c r="E414" s="61">
        <f>IFERROR(__xludf.DUMMYFUNCTION("""COMPUTED_VALUE"""),8.0)</f>
        <v>8</v>
      </c>
      <c r="F414" s="62" t="str">
        <f>IFERROR(__xludf.DUMMYFUNCTION("""COMPUTED_VALUE"""),"https://www.google.com/maps/search/?api=1&amp;query=-30.9040864526718,-55.5403998651235")</f>
        <v>https://www.google.com/maps/search/?api=1&amp;query=-30.9040864526718,-55.5403998651235</v>
      </c>
      <c r="G414" s="63" t="str">
        <f>IFERROR(__xludf.DUMMYFUNCTION("""COMPUTED_VALUE"""),"https://earth.google.com/web/search/-30.9040864526718,-55.5403998651235")</f>
        <v>https://earth.google.com/web/search/-30.9040864526718,-55.5403998651235</v>
      </c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</row>
    <row r="415">
      <c r="A415" s="65" t="str">
        <f>IFERROR(__xludf.DUMMYFUNCTION("""COMPUTED_VALUE"""),"-30.9039606279111")</f>
        <v>-30.9039606279111</v>
      </c>
      <c r="B415" s="66" t="str">
        <f>IFERROR(__xludf.DUMMYFUNCTION("""COMPUTED_VALUE"""),"-55.5405192602538")</f>
        <v>-55.5405192602538</v>
      </c>
      <c r="C415" s="66">
        <f>IFERROR(__xludf.DUMMYFUNCTION("""COMPUTED_VALUE"""),1.0)</f>
        <v>1</v>
      </c>
      <c r="D415" s="66">
        <f>IFERROR(__xludf.DUMMYFUNCTION("""COMPUTED_VALUE"""),289.0)</f>
        <v>289</v>
      </c>
      <c r="E415" s="66">
        <f>IFERROR(__xludf.DUMMYFUNCTION("""COMPUTED_VALUE"""),9.0)</f>
        <v>9</v>
      </c>
      <c r="F415" s="67" t="str">
        <f>IFERROR(__xludf.DUMMYFUNCTION("""COMPUTED_VALUE"""),"https://www.google.com/maps/search/?api=1&amp;query=-30.9039606279111,-55.5405192602538")</f>
        <v>https://www.google.com/maps/search/?api=1&amp;query=-30.9039606279111,-55.5405192602538</v>
      </c>
      <c r="G415" s="68" t="str">
        <f>IFERROR(__xludf.DUMMYFUNCTION("""COMPUTED_VALUE"""),"https://earth.google.com/web/search/-30.9039606279111,-55.5405192602538")</f>
        <v>https://earth.google.com/web/search/-30.9039606279111,-55.5405192602538</v>
      </c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</row>
    <row r="416">
      <c r="A416" s="69" t="str">
        <f>IFERROR(__xludf.DUMMYFUNCTION("""COMPUTED_VALUE"""),"-30.9038553351549")</f>
        <v>-30.9038553351549</v>
      </c>
      <c r="B416" s="61" t="str">
        <f>IFERROR(__xludf.DUMMYFUNCTION("""COMPUTED_VALUE"""),"-5.5540706262972")</f>
        <v>-5.5540706262972</v>
      </c>
      <c r="C416" s="61">
        <f>IFERROR(__xludf.DUMMYFUNCTION("""COMPUTED_VALUE"""),1.0)</f>
        <v>1</v>
      </c>
      <c r="D416" s="61">
        <f>IFERROR(__xludf.DUMMYFUNCTION("""COMPUTED_VALUE"""),289.0)</f>
        <v>289</v>
      </c>
      <c r="E416" s="61">
        <f>IFERROR(__xludf.DUMMYFUNCTION("""COMPUTED_VALUE"""),10.0)</f>
        <v>10</v>
      </c>
      <c r="F416" s="62" t="str">
        <f>IFERROR(__xludf.DUMMYFUNCTION("""COMPUTED_VALUE"""),"https://www.google.com/maps/search/?api=1&amp;query=-30.9038553351549,-5.5540706262972")</f>
        <v>https://www.google.com/maps/search/?api=1&amp;query=-30.9038553351549,-5.5540706262972</v>
      </c>
      <c r="G416" s="63" t="str">
        <f>IFERROR(__xludf.DUMMYFUNCTION("""COMPUTED_VALUE"""),"https://earth.google.com/web/search/-30.9038553351549,-5.5540706262972")</f>
        <v>https://earth.google.com/web/search/-30.9038553351549,-5.5540706262972</v>
      </c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</row>
    <row r="417">
      <c r="A417" s="65" t="str">
        <f>IFERROR(__xludf.DUMMYFUNCTION("""COMPUTED_VALUE"""),"-30.9037248774904")</f>
        <v>-30.9037248774904</v>
      </c>
      <c r="B417" s="66" t="str">
        <f>IFERROR(__xludf.DUMMYFUNCTION("""COMPUTED_VALUE"""),"-5.5541271181173")</f>
        <v>-5.5541271181173</v>
      </c>
      <c r="C417" s="66">
        <f>IFERROR(__xludf.DUMMYFUNCTION("""COMPUTED_VALUE"""),1.0)</f>
        <v>1</v>
      </c>
      <c r="D417" s="66">
        <f>IFERROR(__xludf.DUMMYFUNCTION("""COMPUTED_VALUE"""),289.0)</f>
        <v>289</v>
      </c>
      <c r="E417" s="66">
        <f>IFERROR(__xludf.DUMMYFUNCTION("""COMPUTED_VALUE"""),11.0)</f>
        <v>11</v>
      </c>
      <c r="F417" s="67" t="str">
        <f>IFERROR(__xludf.DUMMYFUNCTION("""COMPUTED_VALUE"""),"https://www.google.com/maps/search/?api=1&amp;query=-30.9037248774904,-5.5541271181173")</f>
        <v>https://www.google.com/maps/search/?api=1&amp;query=-30.9037248774904,-5.5541271181173</v>
      </c>
      <c r="G417" s="68" t="str">
        <f>IFERROR(__xludf.DUMMYFUNCTION("""COMPUTED_VALUE"""),"https://earth.google.com/web/search/-30.9037248774904,-5.5541271181173")</f>
        <v>https://earth.google.com/web/search/-30.9037248774904,-5.5541271181173</v>
      </c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</row>
    <row r="418">
      <c r="A418" s="69" t="str">
        <f>IFERROR(__xludf.DUMMYFUNCTION("""COMPUTED_VALUE"""),"-30.9038290399571")</f>
        <v>-30.9038290399571</v>
      </c>
      <c r="B418" s="61" t="str">
        <f>IFERROR(__xludf.DUMMYFUNCTION("""COMPUTED_VALUE"""),"-5.5541337883376")</f>
        <v>-5.5541337883376</v>
      </c>
      <c r="C418" s="61">
        <f>IFERROR(__xludf.DUMMYFUNCTION("""COMPUTED_VALUE"""),1.0)</f>
        <v>1</v>
      </c>
      <c r="D418" s="61">
        <f>IFERROR(__xludf.DUMMYFUNCTION("""COMPUTED_VALUE"""),289.0)</f>
        <v>289</v>
      </c>
      <c r="E418" s="61">
        <f>IFERROR(__xludf.DUMMYFUNCTION("""COMPUTED_VALUE"""),12.0)</f>
        <v>12</v>
      </c>
      <c r="F418" s="62" t="str">
        <f>IFERROR(__xludf.DUMMYFUNCTION("""COMPUTED_VALUE"""),"https://www.google.com/maps/search/?api=1&amp;query=-30.9038290399571,-5.5541337883376")</f>
        <v>https://www.google.com/maps/search/?api=1&amp;query=-30.9038290399571,-5.5541337883376</v>
      </c>
      <c r="G418" s="63" t="str">
        <f>IFERROR(__xludf.DUMMYFUNCTION("""COMPUTED_VALUE"""),"https://earth.google.com/web/search/-30.9038290399571,-5.5541337883376")</f>
        <v>https://earth.google.com/web/search/-30.9038290399571,-5.5541337883376</v>
      </c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</row>
    <row r="419">
      <c r="A419" s="65" t="str">
        <f>IFERROR(__xludf.DUMMYFUNCTION("""COMPUTED_VALUE"""),"-30.9041054929728")</f>
        <v>-30.9041054929728</v>
      </c>
      <c r="B419" s="66" t="str">
        <f>IFERROR(__xludf.DUMMYFUNCTION("""COMPUTED_VALUE"""),"-5.5541538085413")</f>
        <v>-5.5541538085413</v>
      </c>
      <c r="C419" s="66">
        <f>IFERROR(__xludf.DUMMYFUNCTION("""COMPUTED_VALUE"""),1.0)</f>
        <v>1</v>
      </c>
      <c r="D419" s="66">
        <f>IFERROR(__xludf.DUMMYFUNCTION("""COMPUTED_VALUE"""),289.0)</f>
        <v>289</v>
      </c>
      <c r="E419" s="66">
        <f>IFERROR(__xludf.DUMMYFUNCTION("""COMPUTED_VALUE"""),13.0)</f>
        <v>13</v>
      </c>
      <c r="F419" s="67" t="str">
        <f>IFERROR(__xludf.DUMMYFUNCTION("""COMPUTED_VALUE"""),"https://www.google.com/maps/search/?api=1&amp;query=-30.9041054929728,-5.5541538085413")</f>
        <v>https://www.google.com/maps/search/?api=1&amp;query=-30.9041054929728,-5.5541538085413</v>
      </c>
      <c r="G419" s="68" t="str">
        <f>IFERROR(__xludf.DUMMYFUNCTION("""COMPUTED_VALUE"""),"https://earth.google.com/web/search/-30.9041054929728,-5.5541538085413")</f>
        <v>https://earth.google.com/web/search/-30.9041054929728,-5.5541538085413</v>
      </c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</row>
    <row r="420">
      <c r="A420" s="69" t="str">
        <f>IFERROR(__xludf.DUMMYFUNCTION("""COMPUTED_VALUE"""),"-30.9041754282199")</f>
        <v>-30.9041754282199</v>
      </c>
      <c r="B420" s="61" t="str">
        <f>IFERROR(__xludf.DUMMYFUNCTION("""COMPUTED_VALUE"""),"-55.5415942573733")</f>
        <v>-55.5415942573733</v>
      </c>
      <c r="C420" s="61">
        <f>IFERROR(__xludf.DUMMYFUNCTION("""COMPUTED_VALUE"""),1.0)</f>
        <v>1</v>
      </c>
      <c r="D420" s="61">
        <f>IFERROR(__xludf.DUMMYFUNCTION("""COMPUTED_VALUE"""),289.0)</f>
        <v>289</v>
      </c>
      <c r="E420" s="61">
        <f>IFERROR(__xludf.DUMMYFUNCTION("""COMPUTED_VALUE"""),14.0)</f>
        <v>14</v>
      </c>
      <c r="F420" s="62" t="str">
        <f>IFERROR(__xludf.DUMMYFUNCTION("""COMPUTED_VALUE"""),"https://www.google.com/maps/search/?api=1&amp;query=-30.9041754282199,-55.5415942573733")</f>
        <v>https://www.google.com/maps/search/?api=1&amp;query=-30.9041754282199,-55.5415942573733</v>
      </c>
      <c r="G420" s="63" t="str">
        <f>IFERROR(__xludf.DUMMYFUNCTION("""COMPUTED_VALUE"""),"https://earth.google.com/web/search/-30.9041754282199,-55.5415942573733")</f>
        <v>https://earth.google.com/web/search/-30.9041754282199,-55.5415942573733</v>
      </c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</row>
    <row r="421">
      <c r="A421" s="65" t="str">
        <f>IFERROR(__xludf.DUMMYFUNCTION("""COMPUTED_VALUE"""),"-30.9042664648748")</f>
        <v>-30.9042664648748</v>
      </c>
      <c r="B421" s="66" t="str">
        <f>IFERROR(__xludf.DUMMYFUNCTION("""COMPUTED_VALUE"""),"-55.5416518128623")</f>
        <v>-55.5416518128623</v>
      </c>
      <c r="C421" s="66">
        <f>IFERROR(__xludf.DUMMYFUNCTION("""COMPUTED_VALUE"""),1.0)</f>
        <v>1</v>
      </c>
      <c r="D421" s="66">
        <f>IFERROR(__xludf.DUMMYFUNCTION("""COMPUTED_VALUE"""),289.0)</f>
        <v>289</v>
      </c>
      <c r="E421" s="66">
        <f>IFERROR(__xludf.DUMMYFUNCTION("""COMPUTED_VALUE"""),15.0)</f>
        <v>15</v>
      </c>
      <c r="F421" s="67" t="str">
        <f>IFERROR(__xludf.DUMMYFUNCTION("""COMPUTED_VALUE"""),"https://www.google.com/maps/search/?api=1&amp;query=-30.9042664648748,-55.5416518128623")</f>
        <v>https://www.google.com/maps/search/?api=1&amp;query=-30.9042664648748,-55.5416518128623</v>
      </c>
      <c r="G421" s="68" t="str">
        <f>IFERROR(__xludf.DUMMYFUNCTION("""COMPUTED_VALUE"""),"https://earth.google.com/web/search/-30.9042664648748,-55.5416518128623")</f>
        <v>https://earth.google.com/web/search/-30.9042664648748,-55.5416518128623</v>
      </c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</row>
    <row r="422">
      <c r="A422" s="69" t="str">
        <f>IFERROR(__xludf.DUMMYFUNCTION("""COMPUTED_VALUE"""),"-30.9039481156916")</f>
        <v>-30.9039481156916</v>
      </c>
      <c r="B422" s="61" t="str">
        <f>IFERROR(__xludf.DUMMYFUNCTION("""COMPUTED_VALUE"""),"-55.5423430920321")</f>
        <v>-55.5423430920321</v>
      </c>
      <c r="C422" s="61">
        <f>IFERROR(__xludf.DUMMYFUNCTION("""COMPUTED_VALUE"""),1.0)</f>
        <v>1</v>
      </c>
      <c r="D422" s="61">
        <f>IFERROR(__xludf.DUMMYFUNCTION("""COMPUTED_VALUE"""),290.0)</f>
        <v>290</v>
      </c>
      <c r="E422" s="61">
        <f>IFERROR(__xludf.DUMMYFUNCTION("""COMPUTED_VALUE"""),1.0)</f>
        <v>1</v>
      </c>
      <c r="F422" s="62" t="str">
        <f>IFERROR(__xludf.DUMMYFUNCTION("""COMPUTED_VALUE"""),"https://www.google.com/maps/search/?api=1&amp;query=-30.9039481156916,-55.5423430920321")</f>
        <v>https://www.google.com/maps/search/?api=1&amp;query=-30.9039481156916,-55.5423430920321</v>
      </c>
      <c r="G422" s="63" t="str">
        <f>IFERROR(__xludf.DUMMYFUNCTION("""COMPUTED_VALUE"""),"https://earth.google.com/web/search/-30.9039481156916,-55.5423430920321")</f>
        <v>https://earth.google.com/web/search/-30.9039481156916,-55.5423430920321</v>
      </c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</row>
    <row r="423">
      <c r="A423" s="65" t="str">
        <f>IFERROR(__xludf.DUMMYFUNCTION("""COMPUTED_VALUE"""),"-3.0903997770787")</f>
        <v>-3.0903997770787</v>
      </c>
      <c r="B423" s="66" t="str">
        <f>IFERROR(__xludf.DUMMYFUNCTION("""COMPUTED_VALUE"""),"-55.5422482827677")</f>
        <v>-55.5422482827677</v>
      </c>
      <c r="C423" s="66">
        <f>IFERROR(__xludf.DUMMYFUNCTION("""COMPUTED_VALUE"""),1.0)</f>
        <v>1</v>
      </c>
      <c r="D423" s="66">
        <f>IFERROR(__xludf.DUMMYFUNCTION("""COMPUTED_VALUE"""),290.0)</f>
        <v>290</v>
      </c>
      <c r="E423" s="66">
        <f>IFERROR(__xludf.DUMMYFUNCTION("""COMPUTED_VALUE"""),2.0)</f>
        <v>2</v>
      </c>
      <c r="F423" s="67" t="str">
        <f>IFERROR(__xludf.DUMMYFUNCTION("""COMPUTED_VALUE"""),"https://www.google.com/maps/search/?api=1&amp;query=-3.0903997770787,-55.5422482827677")</f>
        <v>https://www.google.com/maps/search/?api=1&amp;query=-3.0903997770787,-55.5422482827677</v>
      </c>
      <c r="G423" s="68" t="str">
        <f>IFERROR(__xludf.DUMMYFUNCTION("""COMPUTED_VALUE"""),"https://earth.google.com/web/search/-3.0903997770787,-55.5422482827677")</f>
        <v>https://earth.google.com/web/search/-3.0903997770787,-55.5422482827677</v>
      </c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</row>
    <row r="424">
      <c r="A424" s="69" t="str">
        <f>IFERROR(__xludf.DUMMYFUNCTION("""COMPUTED_VALUE"""),"-30.9040835651218")</f>
        <v>-30.9040835651218</v>
      </c>
      <c r="B424" s="61" t="str">
        <f>IFERROR(__xludf.DUMMYFUNCTION("""COMPUTED_VALUE"""),"-55.5421120713012")</f>
        <v>-55.5421120713012</v>
      </c>
      <c r="C424" s="61">
        <f>IFERROR(__xludf.DUMMYFUNCTION("""COMPUTED_VALUE"""),1.0)</f>
        <v>1</v>
      </c>
      <c r="D424" s="61">
        <f>IFERROR(__xludf.DUMMYFUNCTION("""COMPUTED_VALUE"""),290.0)</f>
        <v>290</v>
      </c>
      <c r="E424" s="61">
        <f>IFERROR(__xludf.DUMMYFUNCTION("""COMPUTED_VALUE"""),3.0)</f>
        <v>3</v>
      </c>
      <c r="F424" s="62" t="str">
        <f>IFERROR(__xludf.DUMMYFUNCTION("""COMPUTED_VALUE"""),"https://www.google.com/maps/search/?api=1&amp;query=-30.9040835651218,-55.5421120713012")</f>
        <v>https://www.google.com/maps/search/?api=1&amp;query=-30.9040835651218,-55.5421120713012</v>
      </c>
      <c r="G424" s="63" t="str">
        <f>IFERROR(__xludf.DUMMYFUNCTION("""COMPUTED_VALUE"""),"https://earth.google.com/web/search/-30.9040835651218,-55.5421120713012")</f>
        <v>https://earth.google.com/web/search/-30.9040835651218,-55.5421120713012</v>
      </c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</row>
    <row r="425">
      <c r="A425" s="65" t="str">
        <f>IFERROR(__xludf.DUMMYFUNCTION("""COMPUTED_VALUE"""),"-30.9041351641465")</f>
        <v>-30.9041351641465</v>
      </c>
      <c r="B425" s="66" t="str">
        <f>IFERROR(__xludf.DUMMYFUNCTION("""COMPUTED_VALUE"""),"-55.5420231320605")</f>
        <v>-55.5420231320605</v>
      </c>
      <c r="C425" s="66">
        <f>IFERROR(__xludf.DUMMYFUNCTION("""COMPUTED_VALUE"""),1.0)</f>
        <v>1</v>
      </c>
      <c r="D425" s="66">
        <f>IFERROR(__xludf.DUMMYFUNCTION("""COMPUTED_VALUE"""),290.0)</f>
        <v>290</v>
      </c>
      <c r="E425" s="66">
        <f>IFERROR(__xludf.DUMMYFUNCTION("""COMPUTED_VALUE"""),4.0)</f>
        <v>4</v>
      </c>
      <c r="F425" s="67" t="str">
        <f>IFERROR(__xludf.DUMMYFUNCTION("""COMPUTED_VALUE"""),"https://www.google.com/maps/search/?api=1&amp;query=-30.9041351641465,-55.5420231320605")</f>
        <v>https://www.google.com/maps/search/?api=1&amp;query=-30.9041351641465,-55.5420231320605</v>
      </c>
      <c r="G425" s="68" t="str">
        <f>IFERROR(__xludf.DUMMYFUNCTION("""COMPUTED_VALUE"""),"https://earth.google.com/web/search/-30.9041351641465,-55.5420231320605")</f>
        <v>https://earth.google.com/web/search/-30.9041351641465,-55.5420231320605</v>
      </c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</row>
    <row r="426">
      <c r="A426" s="69" t="str">
        <f>IFERROR(__xludf.DUMMYFUNCTION("""COMPUTED_VALUE"""),"-3.0904203989649")</f>
        <v>-3.0904203989649</v>
      </c>
      <c r="B426" s="61" t="str">
        <f>IFERROR(__xludf.DUMMYFUNCTION("""COMPUTED_VALUE"""),"-55.5419010501337")</f>
        <v>-55.5419010501337</v>
      </c>
      <c r="C426" s="61">
        <f>IFERROR(__xludf.DUMMYFUNCTION("""COMPUTED_VALUE"""),1.0)</f>
        <v>1</v>
      </c>
      <c r="D426" s="61">
        <f>IFERROR(__xludf.DUMMYFUNCTION("""COMPUTED_VALUE"""),290.0)</f>
        <v>290</v>
      </c>
      <c r="E426" s="61">
        <f>IFERROR(__xludf.DUMMYFUNCTION("""COMPUTED_VALUE"""),5.0)</f>
        <v>5</v>
      </c>
      <c r="F426" s="62" t="str">
        <f>IFERROR(__xludf.DUMMYFUNCTION("""COMPUTED_VALUE"""),"https://www.google.com/maps/search/?api=1&amp;query=-3.0904203989649,-55.5419010501337")</f>
        <v>https://www.google.com/maps/search/?api=1&amp;query=-3.0904203989649,-55.5419010501337</v>
      </c>
      <c r="G426" s="63" t="str">
        <f>IFERROR(__xludf.DUMMYFUNCTION("""COMPUTED_VALUE"""),"https://earth.google.com/web/search/-3.0904203989649,-55.5419010501337")</f>
        <v>https://earth.google.com/web/search/-3.0904203989649,-55.5419010501337</v>
      </c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</row>
    <row r="427">
      <c r="A427" s="65" t="str">
        <f>IFERROR(__xludf.DUMMYFUNCTION("""COMPUTED_VALUE"""),"-30.9042557918236")</f>
        <v>-30.9042557918236</v>
      </c>
      <c r="B427" s="66" t="str">
        <f>IFERROR(__xludf.DUMMYFUNCTION("""COMPUTED_VALUE"""),"-55.5418313205167")</f>
        <v>-55.5418313205167</v>
      </c>
      <c r="C427" s="66">
        <f>IFERROR(__xludf.DUMMYFUNCTION("""COMPUTED_VALUE"""),1.0)</f>
        <v>1</v>
      </c>
      <c r="D427" s="66">
        <f>IFERROR(__xludf.DUMMYFUNCTION("""COMPUTED_VALUE"""),290.0)</f>
        <v>290</v>
      </c>
      <c r="E427" s="66">
        <f>IFERROR(__xludf.DUMMYFUNCTION("""COMPUTED_VALUE"""),6.0)</f>
        <v>6</v>
      </c>
      <c r="F427" s="67" t="str">
        <f>IFERROR(__xludf.DUMMYFUNCTION("""COMPUTED_VALUE"""),"https://www.google.com/maps/search/?api=1&amp;query=-30.9042557918236,-55.5418313205167")</f>
        <v>https://www.google.com/maps/search/?api=1&amp;query=-30.9042557918236,-55.5418313205167</v>
      </c>
      <c r="G427" s="68" t="str">
        <f>IFERROR(__xludf.DUMMYFUNCTION("""COMPUTED_VALUE"""),"https://earth.google.com/web/search/-30.9042557918236,-55.5418313205167")</f>
        <v>https://earth.google.com/web/search/-30.9042557918236,-55.5418313205167</v>
      </c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</row>
    <row r="428">
      <c r="A428" s="69" t="str">
        <f>IFERROR(__xludf.DUMMYFUNCTION("""COMPUTED_VALUE"""),"-30.9042442539515")</f>
        <v>-30.9042442539515</v>
      </c>
      <c r="B428" s="61" t="str">
        <f>IFERROR(__xludf.DUMMYFUNCTION("""COMPUTED_VALUE"""),"-55.5417476257556")</f>
        <v>-55.5417476257556</v>
      </c>
      <c r="C428" s="61">
        <f>IFERROR(__xludf.DUMMYFUNCTION("""COMPUTED_VALUE"""),1.0)</f>
        <v>1</v>
      </c>
      <c r="D428" s="61">
        <f>IFERROR(__xludf.DUMMYFUNCTION("""COMPUTED_VALUE"""),290.0)</f>
        <v>290</v>
      </c>
      <c r="E428" s="61">
        <f>IFERROR(__xludf.DUMMYFUNCTION("""COMPUTED_VALUE"""),7.0)</f>
        <v>7</v>
      </c>
      <c r="F428" s="62" t="str">
        <f>IFERROR(__xludf.DUMMYFUNCTION("""COMPUTED_VALUE"""),"https://www.google.com/maps/search/?api=1&amp;query=-30.9042442539515,-55.5417476257556")</f>
        <v>https://www.google.com/maps/search/?api=1&amp;query=-30.9042442539515,-55.5417476257556</v>
      </c>
      <c r="G428" s="63" t="str">
        <f>IFERROR(__xludf.DUMMYFUNCTION("""COMPUTED_VALUE"""),"https://earth.google.com/web/search/-30.9042442539515,-55.5417476257556")</f>
        <v>https://earth.google.com/web/search/-30.9042442539515,-55.5417476257556</v>
      </c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</row>
    <row r="429">
      <c r="A429" s="65" t="str">
        <f>IFERROR(__xludf.DUMMYFUNCTION("""COMPUTED_VALUE"""),"-30.9041888562651")</f>
        <v>-30.9041888562651</v>
      </c>
      <c r="B429" s="66" t="str">
        <f>IFERROR(__xludf.DUMMYFUNCTION("""COMPUTED_VALUE"""),"-55.5417127752977")</f>
        <v>-55.5417127752977</v>
      </c>
      <c r="C429" s="66">
        <f>IFERROR(__xludf.DUMMYFUNCTION("""COMPUTED_VALUE"""),1.0)</f>
        <v>1</v>
      </c>
      <c r="D429" s="66">
        <f>IFERROR(__xludf.DUMMYFUNCTION("""COMPUTED_VALUE"""),290.0)</f>
        <v>290</v>
      </c>
      <c r="E429" s="66">
        <f>IFERROR(__xludf.DUMMYFUNCTION("""COMPUTED_VALUE"""),8.0)</f>
        <v>8</v>
      </c>
      <c r="F429" s="67" t="str">
        <f>IFERROR(__xludf.DUMMYFUNCTION("""COMPUTED_VALUE"""),"https://www.google.com/maps/search/?api=1&amp;query=-30.9041888562651,-55.5417127752977")</f>
        <v>https://www.google.com/maps/search/?api=1&amp;query=-30.9041888562651,-55.5417127752977</v>
      </c>
      <c r="G429" s="68" t="str">
        <f>IFERROR(__xludf.DUMMYFUNCTION("""COMPUTED_VALUE"""),"https://earth.google.com/web/search/-30.9041888562651,-55.5417127752977")</f>
        <v>https://earth.google.com/web/search/-30.9041888562651,-55.5417127752977</v>
      </c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</row>
    <row r="430">
      <c r="A430" s="69" t="str">
        <f>IFERROR(__xludf.DUMMYFUNCTION("""COMPUTED_VALUE"""),"-3.0904078831548")</f>
        <v>-3.0904078831548</v>
      </c>
      <c r="B430" s="61" t="str">
        <f>IFERROR(__xludf.DUMMYFUNCTION("""COMPUTED_VALUE"""),"-55.5416473023974")</f>
        <v>-55.5416473023974</v>
      </c>
      <c r="C430" s="61">
        <f>IFERROR(__xludf.DUMMYFUNCTION("""COMPUTED_VALUE"""),1.0)</f>
        <v>1</v>
      </c>
      <c r="D430" s="61">
        <f>IFERROR(__xludf.DUMMYFUNCTION("""COMPUTED_VALUE"""),290.0)</f>
        <v>290</v>
      </c>
      <c r="E430" s="61">
        <f>IFERROR(__xludf.DUMMYFUNCTION("""COMPUTED_VALUE"""),9.0)</f>
        <v>9</v>
      </c>
      <c r="F430" s="62" t="str">
        <f>IFERROR(__xludf.DUMMYFUNCTION("""COMPUTED_VALUE"""),"https://www.google.com/maps/search/?api=1&amp;query=-3.0904078831548,-55.5416473023974")</f>
        <v>https://www.google.com/maps/search/?api=1&amp;query=-3.0904078831548,-55.5416473023974</v>
      </c>
      <c r="G430" s="63" t="str">
        <f>IFERROR(__xludf.DUMMYFUNCTION("""COMPUTED_VALUE"""),"https://earth.google.com/web/search/-3.0904078831548,-55.5416473023974")</f>
        <v>https://earth.google.com/web/search/-3.0904078831548,-55.5416473023974</v>
      </c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</row>
    <row r="431">
      <c r="A431" s="65" t="str">
        <f>IFERROR(__xludf.DUMMYFUNCTION("""COMPUTED_VALUE"""),"-30.9038214869356")</f>
        <v>-30.9038214869356</v>
      </c>
      <c r="B431" s="66" t="str">
        <f>IFERROR(__xludf.DUMMYFUNCTION("""COMPUTED_VALUE"""),"-55.5414810763546")</f>
        <v>-55.5414810763546</v>
      </c>
      <c r="C431" s="66">
        <f>IFERROR(__xludf.DUMMYFUNCTION("""COMPUTED_VALUE"""),1.0)</f>
        <v>1</v>
      </c>
      <c r="D431" s="66">
        <f>IFERROR(__xludf.DUMMYFUNCTION("""COMPUTED_VALUE"""),290.0)</f>
        <v>290</v>
      </c>
      <c r="E431" s="66">
        <f>IFERROR(__xludf.DUMMYFUNCTION("""COMPUTED_VALUE"""),10.0)</f>
        <v>10</v>
      </c>
      <c r="F431" s="67" t="str">
        <f>IFERROR(__xludf.DUMMYFUNCTION("""COMPUTED_VALUE"""),"https://www.google.com/maps/search/?api=1&amp;query=-30.9038214869356,-55.5414810763546")</f>
        <v>https://www.google.com/maps/search/?api=1&amp;query=-30.9038214869356,-55.5414810763546</v>
      </c>
      <c r="G431" s="68" t="str">
        <f>IFERROR(__xludf.DUMMYFUNCTION("""COMPUTED_VALUE"""),"https://earth.google.com/web/search/-30.9038214869356,-55.5414810763546")</f>
        <v>https://earth.google.com/web/search/-30.9038214869356,-55.5414810763546</v>
      </c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</row>
    <row r="432">
      <c r="A432" s="69" t="str">
        <f>IFERROR(__xludf.DUMMYFUNCTION("""COMPUTED_VALUE"""),"-30.9037634868338")</f>
        <v>-30.9037634868338</v>
      </c>
      <c r="B432" s="61" t="str">
        <f>IFERROR(__xludf.DUMMYFUNCTION("""COMPUTED_VALUE"""),"-55.5414269704628")</f>
        <v>-55.5414269704628</v>
      </c>
      <c r="C432" s="61">
        <f>IFERROR(__xludf.DUMMYFUNCTION("""COMPUTED_VALUE"""),1.0)</f>
        <v>1</v>
      </c>
      <c r="D432" s="61">
        <f>IFERROR(__xludf.DUMMYFUNCTION("""COMPUTED_VALUE"""),290.0)</f>
        <v>290</v>
      </c>
      <c r="E432" s="61">
        <f>IFERROR(__xludf.DUMMYFUNCTION("""COMPUTED_VALUE"""),11.0)</f>
        <v>11</v>
      </c>
      <c r="F432" s="62" t="str">
        <f>IFERROR(__xludf.DUMMYFUNCTION("""COMPUTED_VALUE"""),"https://www.google.com/maps/search/?api=1&amp;query=-30.9037634868338,-55.5414269704628")</f>
        <v>https://www.google.com/maps/search/?api=1&amp;query=-30.9037634868338,-55.5414269704628</v>
      </c>
      <c r="G432" s="63" t="str">
        <f>IFERROR(__xludf.DUMMYFUNCTION("""COMPUTED_VALUE"""),"https://earth.google.com/web/search/-30.9037634868338,-55.5414269704628")</f>
        <v>https://earth.google.com/web/search/-30.9037634868338,-55.5414269704628</v>
      </c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</row>
    <row r="433">
      <c r="A433" s="65" t="str">
        <f>IFERROR(__xludf.DUMMYFUNCTION("""COMPUTED_VALUE"""),"-30.9033654018921")</f>
        <v>-30.9033654018921</v>
      </c>
      <c r="B433" s="66" t="str">
        <f>IFERROR(__xludf.DUMMYFUNCTION("""COMPUTED_VALUE"""),"-55.5416136990112")</f>
        <v>-55.5416136990112</v>
      </c>
      <c r="C433" s="66">
        <f>IFERROR(__xludf.DUMMYFUNCTION("""COMPUTED_VALUE"""),1.0)</f>
        <v>1</v>
      </c>
      <c r="D433" s="66">
        <f>IFERROR(__xludf.DUMMYFUNCTION("""COMPUTED_VALUE"""),290.0)</f>
        <v>290</v>
      </c>
      <c r="E433" s="66">
        <f>IFERROR(__xludf.DUMMYFUNCTION("""COMPUTED_VALUE"""),12.0)</f>
        <v>12</v>
      </c>
      <c r="F433" s="67" t="str">
        <f>IFERROR(__xludf.DUMMYFUNCTION("""COMPUTED_VALUE"""),"https://www.google.com/maps/search/?api=1&amp;query=-30.9033654018921,-55.5416136990112")</f>
        <v>https://www.google.com/maps/search/?api=1&amp;query=-30.9033654018921,-55.5416136990112</v>
      </c>
      <c r="G433" s="68" t="str">
        <f>IFERROR(__xludf.DUMMYFUNCTION("""COMPUTED_VALUE"""),"https://earth.google.com/web/search/-30.9033654018921,-55.5416136990112")</f>
        <v>https://earth.google.com/web/search/-30.9033654018921,-55.5416136990112</v>
      </c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</row>
    <row r="434">
      <c r="A434" s="69" t="str">
        <f>IFERROR(__xludf.DUMMYFUNCTION("""COMPUTED_VALUE"""),"-30.9032015729671")</f>
        <v>-30.9032015729671</v>
      </c>
      <c r="B434" s="61" t="str">
        <f>IFERROR(__xludf.DUMMYFUNCTION("""COMPUTED_VALUE"""),"-55.5419145040312")</f>
        <v>-55.5419145040312</v>
      </c>
      <c r="C434" s="61">
        <f>IFERROR(__xludf.DUMMYFUNCTION("""COMPUTED_VALUE"""),1.0)</f>
        <v>1</v>
      </c>
      <c r="D434" s="61">
        <f>IFERROR(__xludf.DUMMYFUNCTION("""COMPUTED_VALUE"""),290.0)</f>
        <v>290</v>
      </c>
      <c r="E434" s="61">
        <f>IFERROR(__xludf.DUMMYFUNCTION("""COMPUTED_VALUE"""),13.0)</f>
        <v>13</v>
      </c>
      <c r="F434" s="62" t="str">
        <f>IFERROR(__xludf.DUMMYFUNCTION("""COMPUTED_VALUE"""),"https://www.google.com/maps/search/?api=1&amp;query=-30.9032015729671,-55.5419145040312")</f>
        <v>https://www.google.com/maps/search/?api=1&amp;query=-30.9032015729671,-55.5419145040312</v>
      </c>
      <c r="G434" s="63" t="str">
        <f>IFERROR(__xludf.DUMMYFUNCTION("""COMPUTED_VALUE"""),"https://earth.google.com/web/search/-30.9032015729671,-55.5419145040312")</f>
        <v>https://earth.google.com/web/search/-30.9032015729671,-55.5419145040312</v>
      </c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</row>
    <row r="435">
      <c r="A435" s="65" t="str">
        <f>IFERROR(__xludf.DUMMYFUNCTION("""COMPUTED_VALUE"""),"-3.0903211800722")</f>
        <v>-3.0903211800722</v>
      </c>
      <c r="B435" s="66" t="str">
        <f>IFERROR(__xludf.DUMMYFUNCTION("""COMPUTED_VALUE"""),"-55.5421840349196")</f>
        <v>-55.5421840349196</v>
      </c>
      <c r="C435" s="66">
        <f>IFERROR(__xludf.DUMMYFUNCTION("""COMPUTED_VALUE"""),1.0)</f>
        <v>1</v>
      </c>
      <c r="D435" s="66">
        <f>IFERROR(__xludf.DUMMYFUNCTION("""COMPUTED_VALUE"""),290.0)</f>
        <v>290</v>
      </c>
      <c r="E435" s="66">
        <f>IFERROR(__xludf.DUMMYFUNCTION("""COMPUTED_VALUE"""),14.0)</f>
        <v>14</v>
      </c>
      <c r="F435" s="67" t="str">
        <f>IFERROR(__xludf.DUMMYFUNCTION("""COMPUTED_VALUE"""),"https://www.google.com/maps/search/?api=1&amp;query=-3.0903211800722,-55.5421840349196")</f>
        <v>https://www.google.com/maps/search/?api=1&amp;query=-3.0903211800722,-55.5421840349196</v>
      </c>
      <c r="G435" s="68" t="str">
        <f>IFERROR(__xludf.DUMMYFUNCTION("""COMPUTED_VALUE"""),"https://earth.google.com/web/search/-3.0903211800722,-55.5421840349196")</f>
        <v>https://earth.google.com/web/search/-3.0903211800722,-55.5421840349196</v>
      </c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</row>
    <row r="436">
      <c r="A436" s="69" t="str">
        <f>IFERROR(__xludf.DUMMYFUNCTION("""COMPUTED_VALUE"""),"-30.9032944141527")</f>
        <v>-30.9032944141527</v>
      </c>
      <c r="B436" s="61" t="str">
        <f>IFERROR(__xludf.DUMMYFUNCTION("""COMPUTED_VALUE"""),"-55.5422271366941")</f>
        <v>-55.5422271366941</v>
      </c>
      <c r="C436" s="61">
        <f>IFERROR(__xludf.DUMMYFUNCTION("""COMPUTED_VALUE"""),1.0)</f>
        <v>1</v>
      </c>
      <c r="D436" s="61">
        <f>IFERROR(__xludf.DUMMYFUNCTION("""COMPUTED_VALUE"""),290.0)</f>
        <v>290</v>
      </c>
      <c r="E436" s="61">
        <f>IFERROR(__xludf.DUMMYFUNCTION("""COMPUTED_VALUE"""),15.0)</f>
        <v>15</v>
      </c>
      <c r="F436" s="62" t="str">
        <f>IFERROR(__xludf.DUMMYFUNCTION("""COMPUTED_VALUE"""),"https://www.google.com/maps/search/?api=1&amp;query=-30.9032944141527,-55.5422271366941")</f>
        <v>https://www.google.com/maps/search/?api=1&amp;query=-30.9032944141527,-55.5422271366941</v>
      </c>
      <c r="G436" s="63" t="str">
        <f>IFERROR(__xludf.DUMMYFUNCTION("""COMPUTED_VALUE"""),"https://earth.google.com/web/search/-30.9032944141527,-55.5422271366941")</f>
        <v>https://earth.google.com/web/search/-30.9032944141527,-55.5422271366941</v>
      </c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</row>
    <row r="437">
      <c r="A437" s="65" t="str">
        <f>IFERROR(__xludf.DUMMYFUNCTION("""COMPUTED_VALUE"""),"-30.9034087053907")</f>
        <v>-30.9034087053907</v>
      </c>
      <c r="B437" s="66" t="str">
        <f>IFERROR(__xludf.DUMMYFUNCTION("""COMPUTED_VALUE"""),"-55.5422988902268")</f>
        <v>-55.5422988902268</v>
      </c>
      <c r="C437" s="66">
        <f>IFERROR(__xludf.DUMMYFUNCTION("""COMPUTED_VALUE"""),1.0)</f>
        <v>1</v>
      </c>
      <c r="D437" s="66">
        <f>IFERROR(__xludf.DUMMYFUNCTION("""COMPUTED_VALUE"""),290.0)</f>
        <v>290</v>
      </c>
      <c r="E437" s="66">
        <f>IFERROR(__xludf.DUMMYFUNCTION("""COMPUTED_VALUE"""),16.0)</f>
        <v>16</v>
      </c>
      <c r="F437" s="67" t="str">
        <f>IFERROR(__xludf.DUMMYFUNCTION("""COMPUTED_VALUE"""),"https://www.google.com/maps/search/?api=1&amp;query=-30.9034087053907,-55.5422988902268")</f>
        <v>https://www.google.com/maps/search/?api=1&amp;query=-30.9034087053907,-55.5422988902268</v>
      </c>
      <c r="G437" s="68" t="str">
        <f>IFERROR(__xludf.DUMMYFUNCTION("""COMPUTED_VALUE"""),"https://earth.google.com/web/search/-30.9034087053907,-55.5422988902268")</f>
        <v>https://earth.google.com/web/search/-30.9034087053907,-55.5422988902268</v>
      </c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</row>
    <row r="438">
      <c r="A438" s="69" t="str">
        <f>IFERROR(__xludf.DUMMYFUNCTION("""COMPUTED_VALUE"""),"-30.9034503615007")</f>
        <v>-30.9034503615007</v>
      </c>
      <c r="B438" s="61" t="str">
        <f>IFERROR(__xludf.DUMMYFUNCTION("""COMPUTED_VALUE"""),"-55.5423300417974")</f>
        <v>-55.5423300417974</v>
      </c>
      <c r="C438" s="61">
        <f>IFERROR(__xludf.DUMMYFUNCTION("""COMPUTED_VALUE"""),1.0)</f>
        <v>1</v>
      </c>
      <c r="D438" s="61">
        <f>IFERROR(__xludf.DUMMYFUNCTION("""COMPUTED_VALUE"""),290.0)</f>
        <v>290</v>
      </c>
      <c r="E438" s="61">
        <f>IFERROR(__xludf.DUMMYFUNCTION("""COMPUTED_VALUE"""),17.0)</f>
        <v>17</v>
      </c>
      <c r="F438" s="62" t="str">
        <f>IFERROR(__xludf.DUMMYFUNCTION("""COMPUTED_VALUE"""),"https://www.google.com/maps/search/?api=1&amp;query=-30.9034503615007,-55.5423300417974")</f>
        <v>https://www.google.com/maps/search/?api=1&amp;query=-30.9034503615007,-55.5423300417974</v>
      </c>
      <c r="G438" s="63" t="str">
        <f>IFERROR(__xludf.DUMMYFUNCTION("""COMPUTED_VALUE"""),"https://earth.google.com/web/search/-30.9034503615007,-55.5423300417974")</f>
        <v>https://earth.google.com/web/search/-30.9034503615007,-55.5423300417974</v>
      </c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</row>
    <row r="439">
      <c r="A439" s="65" t="str">
        <f>IFERROR(__xludf.DUMMYFUNCTION("""COMPUTED_VALUE"""),"-3.0903514630312")</f>
        <v>-3.0903514630312</v>
      </c>
      <c r="B439" s="66" t="str">
        <f>IFERROR(__xludf.DUMMYFUNCTION("""COMPUTED_VALUE"""),"-55.5423564587366")</f>
        <v>-55.5423564587366</v>
      </c>
      <c r="C439" s="66">
        <f>IFERROR(__xludf.DUMMYFUNCTION("""COMPUTED_VALUE"""),1.0)</f>
        <v>1</v>
      </c>
      <c r="D439" s="66">
        <f>IFERROR(__xludf.DUMMYFUNCTION("""COMPUTED_VALUE"""),290.0)</f>
        <v>290</v>
      </c>
      <c r="E439" s="66">
        <f>IFERROR(__xludf.DUMMYFUNCTION("""COMPUTED_VALUE"""),18.0)</f>
        <v>18</v>
      </c>
      <c r="F439" s="67" t="str">
        <f>IFERROR(__xludf.DUMMYFUNCTION("""COMPUTED_VALUE"""),"https://www.google.com/maps/search/?api=1&amp;query=-3.0903514630312,-55.5423564587366")</f>
        <v>https://www.google.com/maps/search/?api=1&amp;query=-3.0903514630312,-55.5423564587366</v>
      </c>
      <c r="G439" s="68" t="str">
        <f>IFERROR(__xludf.DUMMYFUNCTION("""COMPUTED_VALUE"""),"https://earth.google.com/web/search/-3.0903514630312,-55.5423564587366")</f>
        <v>https://earth.google.com/web/search/-3.0903514630312,-55.5423564587366</v>
      </c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</row>
    <row r="440">
      <c r="A440" s="69" t="str">
        <f>IFERROR(__xludf.DUMMYFUNCTION("""COMPUTED_VALUE"""),"-30.9036528915907")</f>
        <v>-30.9036528915907</v>
      </c>
      <c r="B440" s="61" t="str">
        <f>IFERROR(__xludf.DUMMYFUNCTION("""COMPUTED_VALUE"""),"-55.5424753536404")</f>
        <v>-55.5424753536404</v>
      </c>
      <c r="C440" s="61">
        <f>IFERROR(__xludf.DUMMYFUNCTION("""COMPUTED_VALUE"""),1.0)</f>
        <v>1</v>
      </c>
      <c r="D440" s="61">
        <f>IFERROR(__xludf.DUMMYFUNCTION("""COMPUTED_VALUE"""),290.0)</f>
        <v>290</v>
      </c>
      <c r="E440" s="61">
        <f>IFERROR(__xludf.DUMMYFUNCTION("""COMPUTED_VALUE"""),19.0)</f>
        <v>19</v>
      </c>
      <c r="F440" s="62" t="str">
        <f>IFERROR(__xludf.DUMMYFUNCTION("""COMPUTED_VALUE"""),"https://www.google.com/maps/search/?api=1&amp;query=-30.9036528915907,-55.5424753536404")</f>
        <v>https://www.google.com/maps/search/?api=1&amp;query=-30.9036528915907,-55.5424753536404</v>
      </c>
      <c r="G440" s="63" t="str">
        <f>IFERROR(__xludf.DUMMYFUNCTION("""COMPUTED_VALUE"""),"https://earth.google.com/web/search/-30.9036528915907,-55.5424753536404")</f>
        <v>https://earth.google.com/web/search/-30.9036528915907,-55.5424753536404</v>
      </c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</row>
    <row r="441">
      <c r="A441" s="65" t="str">
        <f>IFERROR(__xludf.DUMMYFUNCTION("""COMPUTED_VALUE"""),"-30.9037205747196")</f>
        <v>-30.9037205747196</v>
      </c>
      <c r="B441" s="66" t="str">
        <f>IFERROR(__xludf.DUMMYFUNCTION("""COMPUTED_VALUE"""),"-55.5425106875653")</f>
        <v>-55.5425106875653</v>
      </c>
      <c r="C441" s="66">
        <f>IFERROR(__xludf.DUMMYFUNCTION("""COMPUTED_VALUE"""),1.0)</f>
        <v>1</v>
      </c>
      <c r="D441" s="66">
        <f>IFERROR(__xludf.DUMMYFUNCTION("""COMPUTED_VALUE"""),290.0)</f>
        <v>290</v>
      </c>
      <c r="E441" s="66">
        <f>IFERROR(__xludf.DUMMYFUNCTION("""COMPUTED_VALUE"""),20.0)</f>
        <v>20</v>
      </c>
      <c r="F441" s="67" t="str">
        <f>IFERROR(__xludf.DUMMYFUNCTION("""COMPUTED_VALUE"""),"https://www.google.com/maps/search/?api=1&amp;query=-30.9037205747196,-55.5425106875653")</f>
        <v>https://www.google.com/maps/search/?api=1&amp;query=-30.9037205747196,-55.5425106875653</v>
      </c>
      <c r="G441" s="68" t="str">
        <f>IFERROR(__xludf.DUMMYFUNCTION("""COMPUTED_VALUE"""),"https://earth.google.com/web/search/-30.9037205747196,-55.5425106875653")</f>
        <v>https://earth.google.com/web/search/-30.9037205747196,-55.5425106875653</v>
      </c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</row>
    <row r="442">
      <c r="A442" s="69" t="str">
        <f>IFERROR(__xludf.DUMMYFUNCTION("""COMPUTED_VALUE"""),"-30.9033521050337")</f>
        <v>-30.9033521050337</v>
      </c>
      <c r="B442" s="61" t="str">
        <f>IFERROR(__xludf.DUMMYFUNCTION("""COMPUTED_VALUE"""),"-55.5434835535927")</f>
        <v>-55.5434835535927</v>
      </c>
      <c r="C442" s="61">
        <f>IFERROR(__xludf.DUMMYFUNCTION("""COMPUTED_VALUE"""),1.0)</f>
        <v>1</v>
      </c>
      <c r="D442" s="61">
        <f>IFERROR(__xludf.DUMMYFUNCTION("""COMPUTED_VALUE"""),291.0)</f>
        <v>291</v>
      </c>
      <c r="E442" s="61">
        <f>IFERROR(__xludf.DUMMYFUNCTION("""COMPUTED_VALUE"""),1.0)</f>
        <v>1</v>
      </c>
      <c r="F442" s="62" t="str">
        <f>IFERROR(__xludf.DUMMYFUNCTION("""COMPUTED_VALUE"""),"https://www.google.com/maps/search/?api=1&amp;query=-30.9033521050337,-55.5434835535927")</f>
        <v>https://www.google.com/maps/search/?api=1&amp;query=-30.9033521050337,-55.5434835535927</v>
      </c>
      <c r="G442" s="63" t="str">
        <f>IFERROR(__xludf.DUMMYFUNCTION("""COMPUTED_VALUE"""),"https://earth.google.com/web/search/-30.9033521050337,-55.5434835535927")</f>
        <v>https://earth.google.com/web/search/-30.9033521050337,-55.5434835535927</v>
      </c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</row>
    <row r="443">
      <c r="A443" s="65" t="str">
        <f>IFERROR(__xludf.DUMMYFUNCTION("""COMPUTED_VALUE"""),"-30.9034063792362")</f>
        <v>-30.9034063792362</v>
      </c>
      <c r="B443" s="66" t="str">
        <f>IFERROR(__xludf.DUMMYFUNCTION("""COMPUTED_VALUE"""),"-55.5433748923063")</f>
        <v>-55.5433748923063</v>
      </c>
      <c r="C443" s="66">
        <f>IFERROR(__xludf.DUMMYFUNCTION("""COMPUTED_VALUE"""),1.0)</f>
        <v>1</v>
      </c>
      <c r="D443" s="66">
        <f>IFERROR(__xludf.DUMMYFUNCTION("""COMPUTED_VALUE"""),291.0)</f>
        <v>291</v>
      </c>
      <c r="E443" s="66">
        <f>IFERROR(__xludf.DUMMYFUNCTION("""COMPUTED_VALUE"""),2.0)</f>
        <v>2</v>
      </c>
      <c r="F443" s="67" t="str">
        <f>IFERROR(__xludf.DUMMYFUNCTION("""COMPUTED_VALUE"""),"https://www.google.com/maps/search/?api=1&amp;query=-30.9034063792362,-55.5433748923063")</f>
        <v>https://www.google.com/maps/search/?api=1&amp;query=-30.9034063792362,-55.5433748923063</v>
      </c>
      <c r="G443" s="68" t="str">
        <f>IFERROR(__xludf.DUMMYFUNCTION("""COMPUTED_VALUE"""),"https://earth.google.com/web/search/-30.9034063792362,-55.5433748923063")</f>
        <v>https://earth.google.com/web/search/-30.9034063792362,-55.5433748923063</v>
      </c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</row>
    <row r="444">
      <c r="A444" s="69" t="str">
        <f>IFERROR(__xludf.DUMMYFUNCTION("""COMPUTED_VALUE"""),"-30.9035173110155")</f>
        <v>-30.9035173110155</v>
      </c>
      <c r="B444" s="61" t="str">
        <f>IFERROR(__xludf.DUMMYFUNCTION("""COMPUTED_VALUE"""),"-55.5431985528175")</f>
        <v>-55.5431985528175</v>
      </c>
      <c r="C444" s="61">
        <f>IFERROR(__xludf.DUMMYFUNCTION("""COMPUTED_VALUE"""),1.0)</f>
        <v>1</v>
      </c>
      <c r="D444" s="61">
        <f>IFERROR(__xludf.DUMMYFUNCTION("""COMPUTED_VALUE"""),291.0)</f>
        <v>291</v>
      </c>
      <c r="E444" s="61">
        <f>IFERROR(__xludf.DUMMYFUNCTION("""COMPUTED_VALUE"""),3.0)</f>
        <v>3</v>
      </c>
      <c r="F444" s="62" t="str">
        <f>IFERROR(__xludf.DUMMYFUNCTION("""COMPUTED_VALUE"""),"https://www.google.com/maps/search/?api=1&amp;query=-30.9035173110155,-55.5431985528175")</f>
        <v>https://www.google.com/maps/search/?api=1&amp;query=-30.9035173110155,-55.5431985528175</v>
      </c>
      <c r="G444" s="63" t="str">
        <f>IFERROR(__xludf.DUMMYFUNCTION("""COMPUTED_VALUE"""),"https://earth.google.com/web/search/-30.9035173110155,-55.5431985528175")</f>
        <v>https://earth.google.com/web/search/-30.9035173110155,-55.5431985528175</v>
      </c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</row>
    <row r="445">
      <c r="A445" s="65" t="str">
        <f>IFERROR(__xludf.DUMMYFUNCTION("""COMPUTED_VALUE"""),"-30.9037218083958")</f>
        <v>-30.9037218083958</v>
      </c>
      <c r="B445" s="66" t="str">
        <f>IFERROR(__xludf.DUMMYFUNCTION("""COMPUTED_VALUE"""),"-5.5542798257938")</f>
        <v>-5.5542798257938</v>
      </c>
      <c r="C445" s="66">
        <f>IFERROR(__xludf.DUMMYFUNCTION("""COMPUTED_VALUE"""),1.0)</f>
        <v>1</v>
      </c>
      <c r="D445" s="66">
        <f>IFERROR(__xludf.DUMMYFUNCTION("""COMPUTED_VALUE"""),291.0)</f>
        <v>291</v>
      </c>
      <c r="E445" s="66">
        <f>IFERROR(__xludf.DUMMYFUNCTION("""COMPUTED_VALUE"""),4.0)</f>
        <v>4</v>
      </c>
      <c r="F445" s="67" t="str">
        <f>IFERROR(__xludf.DUMMYFUNCTION("""COMPUTED_VALUE"""),"https://www.google.com/maps/search/?api=1&amp;query=-30.9037218083958,-5.5542798257938")</f>
        <v>https://www.google.com/maps/search/?api=1&amp;query=-30.9037218083958,-5.5542798257938</v>
      </c>
      <c r="G445" s="68" t="str">
        <f>IFERROR(__xludf.DUMMYFUNCTION("""COMPUTED_VALUE"""),"https://earth.google.com/web/search/-30.9037218083958,-5.5542798257938")</f>
        <v>https://earth.google.com/web/search/-30.9037218083958,-5.5542798257938</v>
      </c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</row>
    <row r="446">
      <c r="A446" s="69" t="str">
        <f>IFERROR(__xludf.DUMMYFUNCTION("""COMPUTED_VALUE"""),"-30.9030163010041")</f>
        <v>-30.9030163010041</v>
      </c>
      <c r="B446" s="61" t="str">
        <f>IFERROR(__xludf.DUMMYFUNCTION("""COMPUTED_VALUE"""),"-55.5422931459431")</f>
        <v>-55.5422931459431</v>
      </c>
      <c r="C446" s="61">
        <f>IFERROR(__xludf.DUMMYFUNCTION("""COMPUTED_VALUE"""),1.0)</f>
        <v>1</v>
      </c>
      <c r="D446" s="61">
        <f>IFERROR(__xludf.DUMMYFUNCTION("""COMPUTED_VALUE"""),291.0)</f>
        <v>291</v>
      </c>
      <c r="E446" s="61">
        <f>IFERROR(__xludf.DUMMYFUNCTION("""COMPUTED_VALUE"""),5.0)</f>
        <v>5</v>
      </c>
      <c r="F446" s="62" t="str">
        <f>IFERROR(__xludf.DUMMYFUNCTION("""COMPUTED_VALUE"""),"https://www.google.com/maps/search/?api=1&amp;query=-30.9030163010041,-55.5422931459431")</f>
        <v>https://www.google.com/maps/search/?api=1&amp;query=-30.9030163010041,-55.5422931459431</v>
      </c>
      <c r="G446" s="63" t="str">
        <f>IFERROR(__xludf.DUMMYFUNCTION("""COMPUTED_VALUE"""),"https://earth.google.com/web/search/-30.9030163010041,-55.5422931459431")</f>
        <v>https://earth.google.com/web/search/-30.9030163010041,-55.5422931459431</v>
      </c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</row>
    <row r="447">
      <c r="A447" s="65" t="str">
        <f>IFERROR(__xludf.DUMMYFUNCTION("""COMPUTED_VALUE"""),"-30.9029778047813")</f>
        <v>-30.9029778047813</v>
      </c>
      <c r="B447" s="66" t="str">
        <f>IFERROR(__xludf.DUMMYFUNCTION("""COMPUTED_VALUE"""),"-55.5423618335823")</f>
        <v>-55.5423618335823</v>
      </c>
      <c r="C447" s="66">
        <f>IFERROR(__xludf.DUMMYFUNCTION("""COMPUTED_VALUE"""),1.0)</f>
        <v>1</v>
      </c>
      <c r="D447" s="66">
        <f>IFERROR(__xludf.DUMMYFUNCTION("""COMPUTED_VALUE"""),291.0)</f>
        <v>291</v>
      </c>
      <c r="E447" s="66">
        <f>IFERROR(__xludf.DUMMYFUNCTION("""COMPUTED_VALUE"""),6.0)</f>
        <v>6</v>
      </c>
      <c r="F447" s="67" t="str">
        <f>IFERROR(__xludf.DUMMYFUNCTION("""COMPUTED_VALUE"""),"https://www.google.com/maps/search/?api=1&amp;query=-30.9029778047813,-55.5423618335823")</f>
        <v>https://www.google.com/maps/search/?api=1&amp;query=-30.9029778047813,-55.5423618335823</v>
      </c>
      <c r="G447" s="68" t="str">
        <f>IFERROR(__xludf.DUMMYFUNCTION("""COMPUTED_VALUE"""),"https://earth.google.com/web/search/-30.9029778047813,-55.5423618335823")</f>
        <v>https://earth.google.com/web/search/-30.9029778047813,-55.5423618335823</v>
      </c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</row>
    <row r="448">
      <c r="A448" s="69" t="str">
        <f>IFERROR(__xludf.DUMMYFUNCTION("""COMPUTED_VALUE"""),"-30.9028159883525")</f>
        <v>-30.9028159883525</v>
      </c>
      <c r="B448" s="61" t="str">
        <f>IFERROR(__xludf.DUMMYFUNCTION("""COMPUTED_VALUE"""),"-55.5426767753358")</f>
        <v>-55.5426767753358</v>
      </c>
      <c r="C448" s="61">
        <f>IFERROR(__xludf.DUMMYFUNCTION("""COMPUTED_VALUE"""),1.0)</f>
        <v>1</v>
      </c>
      <c r="D448" s="61">
        <f>IFERROR(__xludf.DUMMYFUNCTION("""COMPUTED_VALUE"""),291.0)</f>
        <v>291</v>
      </c>
      <c r="E448" s="61">
        <f>IFERROR(__xludf.DUMMYFUNCTION("""COMPUTED_VALUE"""),7.0)</f>
        <v>7</v>
      </c>
      <c r="F448" s="62" t="str">
        <f>IFERROR(__xludf.DUMMYFUNCTION("""COMPUTED_VALUE"""),"https://www.google.com/maps/search/?api=1&amp;query=-30.9028159883525,-55.5426767753358")</f>
        <v>https://www.google.com/maps/search/?api=1&amp;query=-30.9028159883525,-55.5426767753358</v>
      </c>
      <c r="G448" s="63" t="str">
        <f>IFERROR(__xludf.DUMMYFUNCTION("""COMPUTED_VALUE"""),"https://earth.google.com/web/search/-30.9028159883525,-55.5426767753358")</f>
        <v>https://earth.google.com/web/search/-30.9028159883525,-55.5426767753358</v>
      </c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</row>
    <row r="449">
      <c r="A449" s="65" t="str">
        <f>IFERROR(__xludf.DUMMYFUNCTION("""COMPUTED_VALUE"""),"-30.9026834467219")</f>
        <v>-30.9026834467219</v>
      </c>
      <c r="B449" s="66" t="str">
        <f>IFERROR(__xludf.DUMMYFUNCTION("""COMPUTED_VALUE"""),"-55.5428944539438")</f>
        <v>-55.5428944539438</v>
      </c>
      <c r="C449" s="66">
        <f>IFERROR(__xludf.DUMMYFUNCTION("""COMPUTED_VALUE"""),1.0)</f>
        <v>1</v>
      </c>
      <c r="D449" s="66">
        <f>IFERROR(__xludf.DUMMYFUNCTION("""COMPUTED_VALUE"""),291.0)</f>
        <v>291</v>
      </c>
      <c r="E449" s="66">
        <f>IFERROR(__xludf.DUMMYFUNCTION("""COMPUTED_VALUE"""),8.0)</f>
        <v>8</v>
      </c>
      <c r="F449" s="67" t="str">
        <f>IFERROR(__xludf.DUMMYFUNCTION("""COMPUTED_VALUE"""),"https://www.google.com/maps/search/?api=1&amp;query=-30.9026834467219,-55.5428944539438")</f>
        <v>https://www.google.com/maps/search/?api=1&amp;query=-30.9026834467219,-55.5428944539438</v>
      </c>
      <c r="G449" s="68" t="str">
        <f>IFERROR(__xludf.DUMMYFUNCTION("""COMPUTED_VALUE"""),"https://earth.google.com/web/search/-30.9026834467219,-55.5428944539438")</f>
        <v>https://earth.google.com/web/search/-30.9026834467219,-55.5428944539438</v>
      </c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</row>
    <row r="450">
      <c r="A450" s="69" t="str">
        <f>IFERROR(__xludf.DUMMYFUNCTION("""COMPUTED_VALUE"""),"-30.9026435776479")</f>
        <v>-30.9026435776479</v>
      </c>
      <c r="B450" s="61" t="str">
        <f>IFERROR(__xludf.DUMMYFUNCTION("""COMPUTED_VALUE"""),"-55.5429587551105")</f>
        <v>-55.5429587551105</v>
      </c>
      <c r="C450" s="61">
        <f>IFERROR(__xludf.DUMMYFUNCTION("""COMPUTED_VALUE"""),1.0)</f>
        <v>1</v>
      </c>
      <c r="D450" s="61">
        <f>IFERROR(__xludf.DUMMYFUNCTION("""COMPUTED_VALUE"""),291.0)</f>
        <v>291</v>
      </c>
      <c r="E450" s="61">
        <f>IFERROR(__xludf.DUMMYFUNCTION("""COMPUTED_VALUE"""),9.0)</f>
        <v>9</v>
      </c>
      <c r="F450" s="62" t="str">
        <f>IFERROR(__xludf.DUMMYFUNCTION("""COMPUTED_VALUE"""),"https://www.google.com/maps/search/?api=1&amp;query=-30.9026435776479,-55.5429587551105")</f>
        <v>https://www.google.com/maps/search/?api=1&amp;query=-30.9026435776479,-55.5429587551105</v>
      </c>
      <c r="G450" s="63" t="str">
        <f>IFERROR(__xludf.DUMMYFUNCTION("""COMPUTED_VALUE"""),"https://earth.google.com/web/search/-30.9026435776479,-55.5429587551105")</f>
        <v>https://earth.google.com/web/search/-30.9026435776479,-55.5429587551105</v>
      </c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</row>
    <row r="451">
      <c r="A451" s="65" t="str">
        <f>IFERROR(__xludf.DUMMYFUNCTION("""COMPUTED_VALUE"""),"-30.9026481578459")</f>
        <v>-30.9026481578459</v>
      </c>
      <c r="B451" s="66" t="str">
        <f>IFERROR(__xludf.DUMMYFUNCTION("""COMPUTED_VALUE"""),"-55.5430628643197")</f>
        <v>-55.5430628643197</v>
      </c>
      <c r="C451" s="66">
        <f>IFERROR(__xludf.DUMMYFUNCTION("""COMPUTED_VALUE"""),1.0)</f>
        <v>1</v>
      </c>
      <c r="D451" s="66">
        <f>IFERROR(__xludf.DUMMYFUNCTION("""COMPUTED_VALUE"""),291.0)</f>
        <v>291</v>
      </c>
      <c r="E451" s="66">
        <f>IFERROR(__xludf.DUMMYFUNCTION("""COMPUTED_VALUE"""),10.0)</f>
        <v>10</v>
      </c>
      <c r="F451" s="67" t="str">
        <f>IFERROR(__xludf.DUMMYFUNCTION("""COMPUTED_VALUE"""),"https://www.google.com/maps/search/?api=1&amp;query=-30.9026481578459,-55.5430628643197")</f>
        <v>https://www.google.com/maps/search/?api=1&amp;query=-30.9026481578459,-55.5430628643197</v>
      </c>
      <c r="G451" s="68" t="str">
        <f>IFERROR(__xludf.DUMMYFUNCTION("""COMPUTED_VALUE"""),"https://earth.google.com/web/search/-30.9026481578459,-55.5430628643197")</f>
        <v>https://earth.google.com/web/search/-30.9026481578459,-55.5430628643197</v>
      </c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</row>
    <row r="452">
      <c r="A452" s="69" t="str">
        <f>IFERROR(__xludf.DUMMYFUNCTION("""COMPUTED_VALUE"""),"-3.0902685668526")</f>
        <v>-3.0902685668526</v>
      </c>
      <c r="B452" s="61" t="str">
        <f>IFERROR(__xludf.DUMMYFUNCTION("""COMPUTED_VALUE"""),"-5.5543087000884")</f>
        <v>-5.5543087000884</v>
      </c>
      <c r="C452" s="61">
        <f>IFERROR(__xludf.DUMMYFUNCTION("""COMPUTED_VALUE"""),1.0)</f>
        <v>1</v>
      </c>
      <c r="D452" s="61">
        <f>IFERROR(__xludf.DUMMYFUNCTION("""COMPUTED_VALUE"""),291.0)</f>
        <v>291</v>
      </c>
      <c r="E452" s="61">
        <f>IFERROR(__xludf.DUMMYFUNCTION("""COMPUTED_VALUE"""),11.0)</f>
        <v>11</v>
      </c>
      <c r="F452" s="62" t="str">
        <f>IFERROR(__xludf.DUMMYFUNCTION("""COMPUTED_VALUE"""),"https://www.google.com/maps/search/?api=1&amp;query=-3.0902685668526,-5.5543087000884")</f>
        <v>https://www.google.com/maps/search/?api=1&amp;query=-3.0902685668526,-5.5543087000884</v>
      </c>
      <c r="G452" s="63" t="str">
        <f>IFERROR(__xludf.DUMMYFUNCTION("""COMPUTED_VALUE"""),"https://earth.google.com/web/search/-3.0902685668526,-5.5543087000884")</f>
        <v>https://earth.google.com/web/search/-3.0902685668526,-5.5543087000884</v>
      </c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</row>
    <row r="453">
      <c r="A453" s="65" t="str">
        <f>IFERROR(__xludf.DUMMYFUNCTION("""COMPUTED_VALUE"""),"-30.9027330778345")</f>
        <v>-30.9027330778345</v>
      </c>
      <c r="B453" s="66" t="str">
        <f>IFERROR(__xludf.DUMMYFUNCTION("""COMPUTED_VALUE"""),"-55.5431221291269")</f>
        <v>-55.5431221291269</v>
      </c>
      <c r="C453" s="66">
        <f>IFERROR(__xludf.DUMMYFUNCTION("""COMPUTED_VALUE"""),1.0)</f>
        <v>1</v>
      </c>
      <c r="D453" s="66">
        <f>IFERROR(__xludf.DUMMYFUNCTION("""COMPUTED_VALUE"""),291.0)</f>
        <v>291</v>
      </c>
      <c r="E453" s="66">
        <f>IFERROR(__xludf.DUMMYFUNCTION("""COMPUTED_VALUE"""),12.0)</f>
        <v>12</v>
      </c>
      <c r="F453" s="67" t="str">
        <f>IFERROR(__xludf.DUMMYFUNCTION("""COMPUTED_VALUE"""),"https://www.google.com/maps/search/?api=1&amp;query=-30.9027330778345,-55.5431221291269")</f>
        <v>https://www.google.com/maps/search/?api=1&amp;query=-30.9027330778345,-55.5431221291269</v>
      </c>
      <c r="G453" s="68" t="str">
        <f>IFERROR(__xludf.DUMMYFUNCTION("""COMPUTED_VALUE"""),"https://earth.google.com/web/search/-30.9027330778345,-55.5431221291269")</f>
        <v>https://earth.google.com/web/search/-30.9027330778345,-55.5431221291269</v>
      </c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</row>
    <row r="454">
      <c r="A454" s="69" t="str">
        <f>IFERROR(__xludf.DUMMYFUNCTION("""COMPUTED_VALUE"""),"-30.9027753958771")</f>
        <v>-30.9027753958771</v>
      </c>
      <c r="B454" s="61" t="str">
        <f>IFERROR(__xludf.DUMMYFUNCTION("""COMPUTED_VALUE"""),"-55.5431570589019")</f>
        <v>-55.5431570589019</v>
      </c>
      <c r="C454" s="61">
        <f>IFERROR(__xludf.DUMMYFUNCTION("""COMPUTED_VALUE"""),1.0)</f>
        <v>1</v>
      </c>
      <c r="D454" s="61">
        <f>IFERROR(__xludf.DUMMYFUNCTION("""COMPUTED_VALUE"""),291.0)</f>
        <v>291</v>
      </c>
      <c r="E454" s="61">
        <f>IFERROR(__xludf.DUMMYFUNCTION("""COMPUTED_VALUE"""),13.0)</f>
        <v>13</v>
      </c>
      <c r="F454" s="62" t="str">
        <f>IFERROR(__xludf.DUMMYFUNCTION("""COMPUTED_VALUE"""),"https://www.google.com/maps/search/?api=1&amp;query=-30.9027753958771,-55.5431570589019")</f>
        <v>https://www.google.com/maps/search/?api=1&amp;query=-30.9027753958771,-55.5431570589019</v>
      </c>
      <c r="G454" s="63" t="str">
        <f>IFERROR(__xludf.DUMMYFUNCTION("""COMPUTED_VALUE"""),"https://earth.google.com/web/search/-30.9027753958771,-55.5431570589019")</f>
        <v>https://earth.google.com/web/search/-30.9027753958771,-55.5431570589019</v>
      </c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</row>
    <row r="455">
      <c r="A455" s="65" t="str">
        <f>IFERROR(__xludf.DUMMYFUNCTION("""COMPUTED_VALUE"""),"-30.9028259116762")</f>
        <v>-30.9028259116762</v>
      </c>
      <c r="B455" s="66" t="str">
        <f>IFERROR(__xludf.DUMMYFUNCTION("""COMPUTED_VALUE"""),"-55.5431848179794")</f>
        <v>-55.5431848179794</v>
      </c>
      <c r="C455" s="66">
        <f>IFERROR(__xludf.DUMMYFUNCTION("""COMPUTED_VALUE"""),1.0)</f>
        <v>1</v>
      </c>
      <c r="D455" s="66">
        <f>IFERROR(__xludf.DUMMYFUNCTION("""COMPUTED_VALUE"""),291.0)</f>
        <v>291</v>
      </c>
      <c r="E455" s="66">
        <f>IFERROR(__xludf.DUMMYFUNCTION("""COMPUTED_VALUE"""),14.0)</f>
        <v>14</v>
      </c>
      <c r="F455" s="67" t="str">
        <f>IFERROR(__xludf.DUMMYFUNCTION("""COMPUTED_VALUE"""),"https://www.google.com/maps/search/?api=1&amp;query=-30.9028259116762,-55.5431848179794")</f>
        <v>https://www.google.com/maps/search/?api=1&amp;query=-30.9028259116762,-55.5431848179794</v>
      </c>
      <c r="G455" s="68" t="str">
        <f>IFERROR(__xludf.DUMMYFUNCTION("""COMPUTED_VALUE"""),"https://earth.google.com/web/search/-30.9028259116762,-55.5431848179794")</f>
        <v>https://earth.google.com/web/search/-30.9028259116762,-55.5431848179794</v>
      </c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</row>
    <row r="456">
      <c r="A456" s="69" t="str">
        <f>IFERROR(__xludf.DUMMYFUNCTION("""COMPUTED_VALUE"""),"-30.9029416301144")</f>
        <v>-30.9029416301144</v>
      </c>
      <c r="B456" s="61" t="str">
        <f>IFERROR(__xludf.DUMMYFUNCTION("""COMPUTED_VALUE"""),"-55.5432624683374")</f>
        <v>-55.5432624683374</v>
      </c>
      <c r="C456" s="61">
        <f>IFERROR(__xludf.DUMMYFUNCTION("""COMPUTED_VALUE"""),1.0)</f>
        <v>1</v>
      </c>
      <c r="D456" s="61">
        <f>IFERROR(__xludf.DUMMYFUNCTION("""COMPUTED_VALUE"""),291.0)</f>
        <v>291</v>
      </c>
      <c r="E456" s="61">
        <f>IFERROR(__xludf.DUMMYFUNCTION("""COMPUTED_VALUE"""),15.0)</f>
        <v>15</v>
      </c>
      <c r="F456" s="62" t="str">
        <f>IFERROR(__xludf.DUMMYFUNCTION("""COMPUTED_VALUE"""),"https://www.google.com/maps/search/?api=1&amp;query=-30.9029416301144,-55.5432624683374")</f>
        <v>https://www.google.com/maps/search/?api=1&amp;query=-30.9029416301144,-55.5432624683374</v>
      </c>
      <c r="G456" s="63" t="str">
        <f>IFERROR(__xludf.DUMMYFUNCTION("""COMPUTED_VALUE"""),"https://earth.google.com/web/search/-30.9029416301144,-55.5432624683374")</f>
        <v>https://earth.google.com/web/search/-30.9029416301144,-55.5432624683374</v>
      </c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</row>
    <row r="457">
      <c r="A457" s="65" t="str">
        <f>IFERROR(__xludf.DUMMYFUNCTION("""COMPUTED_VALUE"""),"-30.9030455400482")</f>
        <v>-30.9030455400482</v>
      </c>
      <c r="B457" s="66" t="str">
        <f>IFERROR(__xludf.DUMMYFUNCTION("""COMPUTED_VALUE"""),"-55.5433245388036")</f>
        <v>-55.5433245388036</v>
      </c>
      <c r="C457" s="66">
        <f>IFERROR(__xludf.DUMMYFUNCTION("""COMPUTED_VALUE"""),1.0)</f>
        <v>1</v>
      </c>
      <c r="D457" s="66">
        <f>IFERROR(__xludf.DUMMYFUNCTION("""COMPUTED_VALUE"""),291.0)</f>
        <v>291</v>
      </c>
      <c r="E457" s="66">
        <f>IFERROR(__xludf.DUMMYFUNCTION("""COMPUTED_VALUE"""),16.0)</f>
        <v>16</v>
      </c>
      <c r="F457" s="67" t="str">
        <f>IFERROR(__xludf.DUMMYFUNCTION("""COMPUTED_VALUE"""),"https://www.google.com/maps/search/?api=1&amp;query=-30.9030455400482,-55.5433245388036")</f>
        <v>https://www.google.com/maps/search/?api=1&amp;query=-30.9030455400482,-55.5433245388036</v>
      </c>
      <c r="G457" s="68" t="str">
        <f>IFERROR(__xludf.DUMMYFUNCTION("""COMPUTED_VALUE"""),"https://earth.google.com/web/search/-30.9030455400482,-55.5433245388036")</f>
        <v>https://earth.google.com/web/search/-30.9030455400482,-55.5433245388036</v>
      </c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</row>
    <row r="458">
      <c r="A458" s="69" t="str">
        <f>IFERROR(__xludf.DUMMYFUNCTION("""COMPUTED_VALUE"""),"-30.9031238067988")</f>
        <v>-30.9031238067988</v>
      </c>
      <c r="B458" s="61" t="str">
        <f>IFERROR(__xludf.DUMMYFUNCTION("""COMPUTED_VALUE"""),"-55.5433795381298")</f>
        <v>-55.5433795381298</v>
      </c>
      <c r="C458" s="61">
        <f>IFERROR(__xludf.DUMMYFUNCTION("""COMPUTED_VALUE"""),1.0)</f>
        <v>1</v>
      </c>
      <c r="D458" s="61">
        <f>IFERROR(__xludf.DUMMYFUNCTION("""COMPUTED_VALUE"""),291.0)</f>
        <v>291</v>
      </c>
      <c r="E458" s="61">
        <f>IFERROR(__xludf.DUMMYFUNCTION("""COMPUTED_VALUE"""),17.0)</f>
        <v>17</v>
      </c>
      <c r="F458" s="62" t="str">
        <f>IFERROR(__xludf.DUMMYFUNCTION("""COMPUTED_VALUE"""),"https://www.google.com/maps/search/?api=1&amp;query=-30.9031238067988,-55.5433795381298")</f>
        <v>https://www.google.com/maps/search/?api=1&amp;query=-30.9031238067988,-55.5433795381298</v>
      </c>
      <c r="G458" s="63" t="str">
        <f>IFERROR(__xludf.DUMMYFUNCTION("""COMPUTED_VALUE"""),"https://earth.google.com/web/search/-30.9031238067988,-55.5433795381298")</f>
        <v>https://earth.google.com/web/search/-30.9031238067988,-55.5433795381298</v>
      </c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</row>
    <row r="459">
      <c r="A459" s="65" t="str">
        <f>IFERROR(__xludf.DUMMYFUNCTION("""COMPUTED_VALUE"""),"-30.9032912492092")</f>
        <v>-30.9032912492092</v>
      </c>
      <c r="B459" s="66" t="str">
        <f>IFERROR(__xludf.DUMMYFUNCTION("""COMPUTED_VALUE"""),"-55.5435087534884")</f>
        <v>-55.5435087534884</v>
      </c>
      <c r="C459" s="66">
        <f>IFERROR(__xludf.DUMMYFUNCTION("""COMPUTED_VALUE"""),1.0)</f>
        <v>1</v>
      </c>
      <c r="D459" s="66">
        <f>IFERROR(__xludf.DUMMYFUNCTION("""COMPUTED_VALUE"""),291.0)</f>
        <v>291</v>
      </c>
      <c r="E459" s="66">
        <f>IFERROR(__xludf.DUMMYFUNCTION("""COMPUTED_VALUE"""),18.0)</f>
        <v>18</v>
      </c>
      <c r="F459" s="67" t="str">
        <f>IFERROR(__xludf.DUMMYFUNCTION("""COMPUTED_VALUE"""),"https://www.google.com/maps/search/?api=1&amp;query=-30.9032912492092,-55.5435087534884")</f>
        <v>https://www.google.com/maps/search/?api=1&amp;query=-30.9032912492092,-55.5435087534884</v>
      </c>
      <c r="G459" s="68" t="str">
        <f>IFERROR(__xludf.DUMMYFUNCTION("""COMPUTED_VALUE"""),"https://earth.google.com/web/search/-30.9032912492092,-55.5435087534884")</f>
        <v>https://earth.google.com/web/search/-30.9032912492092,-55.5435087534884</v>
      </c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</row>
    <row r="460">
      <c r="A460" s="69" t="str">
        <f>IFERROR(__xludf.DUMMYFUNCTION("""COMPUTED_VALUE"""),"-30.9031982263258")</f>
        <v>-30.9031982263258</v>
      </c>
      <c r="B460" s="61" t="str">
        <f>IFERROR(__xludf.DUMMYFUNCTION("""COMPUTED_VALUE"""),"-55.5435745131138")</f>
        <v>-55.5435745131138</v>
      </c>
      <c r="C460" s="61">
        <f>IFERROR(__xludf.DUMMYFUNCTION("""COMPUTED_VALUE"""),1.0)</f>
        <v>1</v>
      </c>
      <c r="D460" s="61">
        <f>IFERROR(__xludf.DUMMYFUNCTION("""COMPUTED_VALUE"""),292.0)</f>
        <v>292</v>
      </c>
      <c r="E460" s="61">
        <f>IFERROR(__xludf.DUMMYFUNCTION("""COMPUTED_VALUE"""),1.0)</f>
        <v>1</v>
      </c>
      <c r="F460" s="62" t="str">
        <f>IFERROR(__xludf.DUMMYFUNCTION("""COMPUTED_VALUE"""),"https://www.google.com/maps/search/?api=1&amp;query=-30.9031982263258,-55.5435745131138")</f>
        <v>https://www.google.com/maps/search/?api=1&amp;query=-30.9031982263258,-55.5435745131138</v>
      </c>
      <c r="G460" s="63" t="str">
        <f>IFERROR(__xludf.DUMMYFUNCTION("""COMPUTED_VALUE"""),"https://earth.google.com/web/search/-30.9031982263258,-55.5435745131138")</f>
        <v>https://earth.google.com/web/search/-30.9031982263258,-55.5435745131138</v>
      </c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</row>
    <row r="461">
      <c r="A461" s="65" t="str">
        <f>IFERROR(__xludf.DUMMYFUNCTION("""COMPUTED_VALUE"""),"-30.9030103238033")</f>
        <v>-30.9030103238033</v>
      </c>
      <c r="B461" s="66" t="str">
        <f>IFERROR(__xludf.DUMMYFUNCTION("""COMPUTED_VALUE"""),"-55.5434406065449")</f>
        <v>-55.5434406065449</v>
      </c>
      <c r="C461" s="66">
        <f>IFERROR(__xludf.DUMMYFUNCTION("""COMPUTED_VALUE"""),1.0)</f>
        <v>1</v>
      </c>
      <c r="D461" s="66">
        <f>IFERROR(__xludf.DUMMYFUNCTION("""COMPUTED_VALUE"""),292.0)</f>
        <v>292</v>
      </c>
      <c r="E461" s="66">
        <f>IFERROR(__xludf.DUMMYFUNCTION("""COMPUTED_VALUE"""),2.0)</f>
        <v>2</v>
      </c>
      <c r="F461" s="67" t="str">
        <f>IFERROR(__xludf.DUMMYFUNCTION("""COMPUTED_VALUE"""),"https://www.google.com/maps/search/?api=1&amp;query=-30.9030103238033,-55.5434406065449")</f>
        <v>https://www.google.com/maps/search/?api=1&amp;query=-30.9030103238033,-55.5434406065449</v>
      </c>
      <c r="G461" s="68" t="str">
        <f>IFERROR(__xludf.DUMMYFUNCTION("""COMPUTED_VALUE"""),"https://earth.google.com/web/search/-30.9030103238033,-55.5434406065449")</f>
        <v>https://earth.google.com/web/search/-30.9030103238033,-55.5434406065449</v>
      </c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</row>
    <row r="462">
      <c r="A462" s="69" t="str">
        <f>IFERROR(__xludf.DUMMYFUNCTION("""COMPUTED_VALUE"""),"-30.9029486963701")</f>
        <v>-30.9029486963701</v>
      </c>
      <c r="B462" s="61" t="str">
        <f>IFERROR(__xludf.DUMMYFUNCTION("""COMPUTED_VALUE"""),"-55.5433857222129")</f>
        <v>-55.5433857222129</v>
      </c>
      <c r="C462" s="61">
        <f>IFERROR(__xludf.DUMMYFUNCTION("""COMPUTED_VALUE"""),1.0)</f>
        <v>1</v>
      </c>
      <c r="D462" s="61">
        <f>IFERROR(__xludf.DUMMYFUNCTION("""COMPUTED_VALUE"""),292.0)</f>
        <v>292</v>
      </c>
      <c r="E462" s="61">
        <f>IFERROR(__xludf.DUMMYFUNCTION("""COMPUTED_VALUE"""),3.0)</f>
        <v>3</v>
      </c>
      <c r="F462" s="62" t="str">
        <f>IFERROR(__xludf.DUMMYFUNCTION("""COMPUTED_VALUE"""),"https://www.google.com/maps/search/?api=1&amp;query=-30.9029486963701,-55.5433857222129")</f>
        <v>https://www.google.com/maps/search/?api=1&amp;query=-30.9029486963701,-55.5433857222129</v>
      </c>
      <c r="G462" s="63" t="str">
        <f>IFERROR(__xludf.DUMMYFUNCTION("""COMPUTED_VALUE"""),"https://earth.google.com/web/search/-30.9029486963701,-55.5433857222129")</f>
        <v>https://earth.google.com/web/search/-30.9029486963701,-55.5433857222129</v>
      </c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</row>
    <row r="463">
      <c r="A463" s="65" t="str">
        <f>IFERROR(__xludf.DUMMYFUNCTION("""COMPUTED_VALUE"""),"-30.9027896611826")</f>
        <v>-30.9027896611826</v>
      </c>
      <c r="B463" s="66" t="str">
        <f>IFERROR(__xludf.DUMMYFUNCTION("""COMPUTED_VALUE"""),"-55.5432685392315")</f>
        <v>-55.5432685392315</v>
      </c>
      <c r="C463" s="66">
        <f>IFERROR(__xludf.DUMMYFUNCTION("""COMPUTED_VALUE"""),1.0)</f>
        <v>1</v>
      </c>
      <c r="D463" s="66">
        <f>IFERROR(__xludf.DUMMYFUNCTION("""COMPUTED_VALUE"""),292.0)</f>
        <v>292</v>
      </c>
      <c r="E463" s="66">
        <f>IFERROR(__xludf.DUMMYFUNCTION("""COMPUTED_VALUE"""),4.0)</f>
        <v>4</v>
      </c>
      <c r="F463" s="67" t="str">
        <f>IFERROR(__xludf.DUMMYFUNCTION("""COMPUTED_VALUE"""),"https://www.google.com/maps/search/?api=1&amp;query=-30.9027896611826,-55.5432685392315")</f>
        <v>https://www.google.com/maps/search/?api=1&amp;query=-30.9027896611826,-55.5432685392315</v>
      </c>
      <c r="G463" s="68" t="str">
        <f>IFERROR(__xludf.DUMMYFUNCTION("""COMPUTED_VALUE"""),"https://earth.google.com/web/search/-30.9027896611826,-55.5432685392315")</f>
        <v>https://earth.google.com/web/search/-30.9027896611826,-55.5432685392315</v>
      </c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</row>
    <row r="464">
      <c r="A464" s="69" t="str">
        <f>IFERROR(__xludf.DUMMYFUNCTION("""COMPUTED_VALUE"""),"-30.9024964443423")</f>
        <v>-30.9024964443423</v>
      </c>
      <c r="B464" s="61" t="str">
        <f>IFERROR(__xludf.DUMMYFUNCTION("""COMPUTED_VALUE"""),"-55.5432698290881")</f>
        <v>-55.5432698290881</v>
      </c>
      <c r="C464" s="61">
        <f>IFERROR(__xludf.DUMMYFUNCTION("""COMPUTED_VALUE"""),1.0)</f>
        <v>1</v>
      </c>
      <c r="D464" s="61">
        <f>IFERROR(__xludf.DUMMYFUNCTION("""COMPUTED_VALUE"""),292.0)</f>
        <v>292</v>
      </c>
      <c r="E464" s="61">
        <f>IFERROR(__xludf.DUMMYFUNCTION("""COMPUTED_VALUE"""),5.0)</f>
        <v>5</v>
      </c>
      <c r="F464" s="62" t="str">
        <f>IFERROR(__xludf.DUMMYFUNCTION("""COMPUTED_VALUE"""),"https://www.google.com/maps/search/?api=1&amp;query=-30.9024964443423,-55.5432698290881")</f>
        <v>https://www.google.com/maps/search/?api=1&amp;query=-30.9024964443423,-55.5432698290881</v>
      </c>
      <c r="G464" s="63" t="str">
        <f>IFERROR(__xludf.DUMMYFUNCTION("""COMPUTED_VALUE"""),"https://earth.google.com/web/search/-30.9024964443423,-55.5432698290881")</f>
        <v>https://earth.google.com/web/search/-30.9024964443423,-55.5432698290881</v>
      </c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</row>
    <row r="465">
      <c r="A465" s="65" t="str">
        <f>IFERROR(__xludf.DUMMYFUNCTION("""COMPUTED_VALUE"""),"-30.9024451821033")</f>
        <v>-30.9024451821033</v>
      </c>
      <c r="B465" s="66" t="str">
        <f>IFERROR(__xludf.DUMMYFUNCTION("""COMPUTED_VALUE"""),"-55.5433474161151")</f>
        <v>-55.5433474161151</v>
      </c>
      <c r="C465" s="66">
        <f>IFERROR(__xludf.DUMMYFUNCTION("""COMPUTED_VALUE"""),1.0)</f>
        <v>1</v>
      </c>
      <c r="D465" s="66">
        <f>IFERROR(__xludf.DUMMYFUNCTION("""COMPUTED_VALUE"""),292.0)</f>
        <v>292</v>
      </c>
      <c r="E465" s="66">
        <f>IFERROR(__xludf.DUMMYFUNCTION("""COMPUTED_VALUE"""),6.0)</f>
        <v>6</v>
      </c>
      <c r="F465" s="67" t="str">
        <f>IFERROR(__xludf.DUMMYFUNCTION("""COMPUTED_VALUE"""),"https://www.google.com/maps/search/?api=1&amp;query=-30.9024451821033,-55.5433474161151")</f>
        <v>https://www.google.com/maps/search/?api=1&amp;query=-30.9024451821033,-55.5433474161151</v>
      </c>
      <c r="G465" s="68" t="str">
        <f>IFERROR(__xludf.DUMMYFUNCTION("""COMPUTED_VALUE"""),"https://earth.google.com/web/search/-30.9024451821033,-55.5433474161151")</f>
        <v>https://earth.google.com/web/search/-30.9024451821033,-55.5433474161151</v>
      </c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</row>
    <row r="466">
      <c r="A466" s="69" t="str">
        <f>IFERROR(__xludf.DUMMYFUNCTION("""COMPUTED_VALUE"""),"-30.9023399611837")</f>
        <v>-30.9023399611837</v>
      </c>
      <c r="B466" s="61" t="str">
        <f>IFERROR(__xludf.DUMMYFUNCTION("""COMPUTED_VALUE"""),"-55.5435735583197")</f>
        <v>-55.5435735583197</v>
      </c>
      <c r="C466" s="61">
        <f>IFERROR(__xludf.DUMMYFUNCTION("""COMPUTED_VALUE"""),1.0)</f>
        <v>1</v>
      </c>
      <c r="D466" s="61">
        <f>IFERROR(__xludf.DUMMYFUNCTION("""COMPUTED_VALUE"""),292.0)</f>
        <v>292</v>
      </c>
      <c r="E466" s="61">
        <f>IFERROR(__xludf.DUMMYFUNCTION("""COMPUTED_VALUE"""),7.0)</f>
        <v>7</v>
      </c>
      <c r="F466" s="62" t="str">
        <f>IFERROR(__xludf.DUMMYFUNCTION("""COMPUTED_VALUE"""),"https://www.google.com/maps/search/?api=1&amp;query=-30.9023399611837,-55.5435735583197")</f>
        <v>https://www.google.com/maps/search/?api=1&amp;query=-30.9023399611837,-55.5435735583197</v>
      </c>
      <c r="G466" s="63" t="str">
        <f>IFERROR(__xludf.DUMMYFUNCTION("""COMPUTED_VALUE"""),"https://earth.google.com/web/search/-30.9023399611837,-55.5435735583197")</f>
        <v>https://earth.google.com/web/search/-30.9023399611837,-55.5435735583197</v>
      </c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</row>
    <row r="467">
      <c r="A467" s="65" t="str">
        <f>IFERROR(__xludf.DUMMYFUNCTION("""COMPUTED_VALUE"""),"-30.9022474492314")</f>
        <v>-30.9022474492314</v>
      </c>
      <c r="B467" s="66" t="str">
        <f>IFERROR(__xludf.DUMMYFUNCTION("""COMPUTED_VALUE"""),"-55.5437447859891")</f>
        <v>-55.5437447859891</v>
      </c>
      <c r="C467" s="66">
        <f>IFERROR(__xludf.DUMMYFUNCTION("""COMPUTED_VALUE"""),1.0)</f>
        <v>1</v>
      </c>
      <c r="D467" s="66">
        <f>IFERROR(__xludf.DUMMYFUNCTION("""COMPUTED_VALUE"""),292.0)</f>
        <v>292</v>
      </c>
      <c r="E467" s="66">
        <f>IFERROR(__xludf.DUMMYFUNCTION("""COMPUTED_VALUE"""),8.0)</f>
        <v>8</v>
      </c>
      <c r="F467" s="67" t="str">
        <f>IFERROR(__xludf.DUMMYFUNCTION("""COMPUTED_VALUE"""),"https://www.google.com/maps/search/?api=1&amp;query=-30.9022474492314,-55.5437447859891")</f>
        <v>https://www.google.com/maps/search/?api=1&amp;query=-30.9022474492314,-55.5437447859891</v>
      </c>
      <c r="G467" s="68" t="str">
        <f>IFERROR(__xludf.DUMMYFUNCTION("""COMPUTED_VALUE"""),"https://earth.google.com/web/search/-30.9022474492314,-55.5437447859891")</f>
        <v>https://earth.google.com/web/search/-30.9022474492314,-55.5437447859891</v>
      </c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</row>
    <row r="468">
      <c r="A468" s="69" t="str">
        <f>IFERROR(__xludf.DUMMYFUNCTION("""COMPUTED_VALUE"""),"-30.9022174004591")</f>
        <v>-30.9022174004591</v>
      </c>
      <c r="B468" s="61" t="str">
        <f>IFERROR(__xludf.DUMMYFUNCTION("""COMPUTED_VALUE"""),"-55.5437861237448")</f>
        <v>-55.5437861237448</v>
      </c>
      <c r="C468" s="61">
        <f>IFERROR(__xludf.DUMMYFUNCTION("""COMPUTED_VALUE"""),1.0)</f>
        <v>1</v>
      </c>
      <c r="D468" s="61">
        <f>IFERROR(__xludf.DUMMYFUNCTION("""COMPUTED_VALUE"""),292.0)</f>
        <v>292</v>
      </c>
      <c r="E468" s="61">
        <f>IFERROR(__xludf.DUMMYFUNCTION("""COMPUTED_VALUE"""),9.0)</f>
        <v>9</v>
      </c>
      <c r="F468" s="62" t="str">
        <f>IFERROR(__xludf.DUMMYFUNCTION("""COMPUTED_VALUE"""),"https://www.google.com/maps/search/?api=1&amp;query=-30.9022174004591,-55.5437861237448")</f>
        <v>https://www.google.com/maps/search/?api=1&amp;query=-30.9022174004591,-55.5437861237448</v>
      </c>
      <c r="G468" s="63" t="str">
        <f>IFERROR(__xludf.DUMMYFUNCTION("""COMPUTED_VALUE"""),"https://earth.google.com/web/search/-30.9022174004591,-55.5437861237448")</f>
        <v>https://earth.google.com/web/search/-30.9022174004591,-55.5437861237448</v>
      </c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</row>
    <row r="469">
      <c r="A469" s="65" t="str">
        <f>IFERROR(__xludf.DUMMYFUNCTION("""COMPUTED_VALUE"""),"-30.9021764617787")</f>
        <v>-30.9021764617787</v>
      </c>
      <c r="B469" s="66" t="str">
        <f>IFERROR(__xludf.DUMMYFUNCTION("""COMPUTED_VALUE"""),"-55.5438510078228")</f>
        <v>-55.5438510078228</v>
      </c>
      <c r="C469" s="66">
        <f>IFERROR(__xludf.DUMMYFUNCTION("""COMPUTED_VALUE"""),1.0)</f>
        <v>1</v>
      </c>
      <c r="D469" s="66">
        <f>IFERROR(__xludf.DUMMYFUNCTION("""COMPUTED_VALUE"""),292.0)</f>
        <v>292</v>
      </c>
      <c r="E469" s="66">
        <f>IFERROR(__xludf.DUMMYFUNCTION("""COMPUTED_VALUE"""),10.0)</f>
        <v>10</v>
      </c>
      <c r="F469" s="67" t="str">
        <f>IFERROR(__xludf.DUMMYFUNCTION("""COMPUTED_VALUE"""),"https://www.google.com/maps/search/?api=1&amp;query=-30.9021764617787,-55.5438510078228")</f>
        <v>https://www.google.com/maps/search/?api=1&amp;query=-30.9021764617787,-55.5438510078228</v>
      </c>
      <c r="G469" s="68" t="str">
        <f>IFERROR(__xludf.DUMMYFUNCTION("""COMPUTED_VALUE"""),"https://earth.google.com/web/search/-30.9021764617787,-55.5438510078228")</f>
        <v>https://earth.google.com/web/search/-30.9021764617787,-55.5438510078228</v>
      </c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</row>
    <row r="470">
      <c r="A470" s="69" t="str">
        <f>IFERROR(__xludf.DUMMYFUNCTION("""COMPUTED_VALUE"""),"-30.9021714819084")</f>
        <v>-30.9021714819084</v>
      </c>
      <c r="B470" s="61" t="str">
        <f>IFERROR(__xludf.DUMMYFUNCTION("""COMPUTED_VALUE"""),"-55.5439555476467")</f>
        <v>-55.5439555476467</v>
      </c>
      <c r="C470" s="61">
        <f>IFERROR(__xludf.DUMMYFUNCTION("""COMPUTED_VALUE"""),1.0)</f>
        <v>1</v>
      </c>
      <c r="D470" s="61">
        <f>IFERROR(__xludf.DUMMYFUNCTION("""COMPUTED_VALUE"""),292.0)</f>
        <v>292</v>
      </c>
      <c r="E470" s="61">
        <f>IFERROR(__xludf.DUMMYFUNCTION("""COMPUTED_VALUE"""),11.0)</f>
        <v>11</v>
      </c>
      <c r="F470" s="62" t="str">
        <f>IFERROR(__xludf.DUMMYFUNCTION("""COMPUTED_VALUE"""),"https://www.google.com/maps/search/?api=1&amp;query=-30.9021714819084,-55.5439555476467")</f>
        <v>https://www.google.com/maps/search/?api=1&amp;query=-30.9021714819084,-55.5439555476467</v>
      </c>
      <c r="G470" s="63" t="str">
        <f>IFERROR(__xludf.DUMMYFUNCTION("""COMPUTED_VALUE"""),"https://earth.google.com/web/search/-30.9021714819084,-55.5439555476467")</f>
        <v>https://earth.google.com/web/search/-30.9021714819084,-55.5439555476467</v>
      </c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</row>
    <row r="471">
      <c r="A471" s="65" t="str">
        <f>IFERROR(__xludf.DUMMYFUNCTION("""COMPUTED_VALUE"""),"-30.9022773217732")</f>
        <v>-30.9022773217732</v>
      </c>
      <c r="B471" s="66" t="str">
        <f>IFERROR(__xludf.DUMMYFUNCTION("""COMPUTED_VALUE"""),"-55.5440534751683")</f>
        <v>-55.5440534751683</v>
      </c>
      <c r="C471" s="66">
        <f>IFERROR(__xludf.DUMMYFUNCTION("""COMPUTED_VALUE"""),1.0)</f>
        <v>1</v>
      </c>
      <c r="D471" s="66">
        <f>IFERROR(__xludf.DUMMYFUNCTION("""COMPUTED_VALUE"""),292.0)</f>
        <v>292</v>
      </c>
      <c r="E471" s="66">
        <f>IFERROR(__xludf.DUMMYFUNCTION("""COMPUTED_VALUE"""),11.0)</f>
        <v>11</v>
      </c>
      <c r="F471" s="67" t="str">
        <f>IFERROR(__xludf.DUMMYFUNCTION("""COMPUTED_VALUE"""),"https://www.google.com/maps/search/?api=1&amp;query=-30.9022773217732,-55.5440534751683")</f>
        <v>https://www.google.com/maps/search/?api=1&amp;query=-30.9022773217732,-55.5440534751683</v>
      </c>
      <c r="G471" s="68" t="str">
        <f>IFERROR(__xludf.DUMMYFUNCTION("""COMPUTED_VALUE"""),"https://earth.google.com/web/search/-30.9022773217732,-55.5440534751683")</f>
        <v>https://earth.google.com/web/search/-30.9022773217732,-55.5440534751683</v>
      </c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</row>
    <row r="472">
      <c r="A472" s="69" t="str">
        <f>IFERROR(__xludf.DUMMYFUNCTION("""COMPUTED_VALUE"""),"-30.9023417962279")</f>
        <v>-30.9023417962279</v>
      </c>
      <c r="B472" s="61" t="str">
        <f>IFERROR(__xludf.DUMMYFUNCTION("""COMPUTED_VALUE"""),"-55.5440935120504")</f>
        <v>-55.5440935120504</v>
      </c>
      <c r="C472" s="61">
        <f>IFERROR(__xludf.DUMMYFUNCTION("""COMPUTED_VALUE"""),1.0)</f>
        <v>1</v>
      </c>
      <c r="D472" s="61">
        <f>IFERROR(__xludf.DUMMYFUNCTION("""COMPUTED_VALUE"""),292.0)</f>
        <v>292</v>
      </c>
      <c r="E472" s="61">
        <f>IFERROR(__xludf.DUMMYFUNCTION("""COMPUTED_VALUE"""),12.0)</f>
        <v>12</v>
      </c>
      <c r="F472" s="62" t="str">
        <f>IFERROR(__xludf.DUMMYFUNCTION("""COMPUTED_VALUE"""),"https://www.google.com/maps/search/?api=1&amp;query=-30.9023417962279,-55.5440935120504")</f>
        <v>https://www.google.com/maps/search/?api=1&amp;query=-30.9023417962279,-55.5440935120504</v>
      </c>
      <c r="G472" s="63" t="str">
        <f>IFERROR(__xludf.DUMMYFUNCTION("""COMPUTED_VALUE"""),"https://earth.google.com/web/search/-30.9023417962279,-55.5440935120504")</f>
        <v>https://earth.google.com/web/search/-30.9023417962279,-55.5440935120504</v>
      </c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</row>
    <row r="473">
      <c r="A473" s="65" t="str">
        <f>IFERROR(__xludf.DUMMYFUNCTION("""COMPUTED_VALUE"""),"-30.9026982103171")</f>
        <v>-30.9026982103171</v>
      </c>
      <c r="B473" s="66" t="str">
        <f>IFERROR(__xludf.DUMMYFUNCTION("""COMPUTED_VALUE"""),"-5.5544743986383")</f>
        <v>-5.5544743986383</v>
      </c>
      <c r="C473" s="66">
        <f>IFERROR(__xludf.DUMMYFUNCTION("""COMPUTED_VALUE"""),1.0)</f>
        <v>1</v>
      </c>
      <c r="D473" s="66">
        <f>IFERROR(__xludf.DUMMYFUNCTION("""COMPUTED_VALUE"""),293.0)</f>
        <v>293</v>
      </c>
      <c r="E473" s="66">
        <f>IFERROR(__xludf.DUMMYFUNCTION("""COMPUTED_VALUE"""),1.0)</f>
        <v>1</v>
      </c>
      <c r="F473" s="67" t="str">
        <f>IFERROR(__xludf.DUMMYFUNCTION("""COMPUTED_VALUE"""),"https://www.google.com/maps/search/?api=1&amp;query=-30.9026982103171,-5.5544743986383")</f>
        <v>https://www.google.com/maps/search/?api=1&amp;query=-30.9026982103171,-5.5544743986383</v>
      </c>
      <c r="G473" s="68" t="str">
        <f>IFERROR(__xludf.DUMMYFUNCTION("""COMPUTED_VALUE"""),"https://earth.google.com/web/search/-30.9026982103171,-5.5544743986383")</f>
        <v>https://earth.google.com/web/search/-30.9026982103171,-5.5544743986383</v>
      </c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</row>
    <row r="474">
      <c r="A474" s="69" t="str">
        <f>IFERROR(__xludf.DUMMYFUNCTION("""COMPUTED_VALUE"""),"-30.9027198734165")</f>
        <v>-30.9027198734165</v>
      </c>
      <c r="B474" s="61" t="str">
        <f>IFERROR(__xludf.DUMMYFUNCTION("""COMPUTED_VALUE"""),"-55.5446667316024")</f>
        <v>-55.5446667316024</v>
      </c>
      <c r="C474" s="61">
        <f>IFERROR(__xludf.DUMMYFUNCTION("""COMPUTED_VALUE"""),1.0)</f>
        <v>1</v>
      </c>
      <c r="D474" s="61">
        <f>IFERROR(__xludf.DUMMYFUNCTION("""COMPUTED_VALUE"""),293.0)</f>
        <v>293</v>
      </c>
      <c r="E474" s="61">
        <f>IFERROR(__xludf.DUMMYFUNCTION("""COMPUTED_VALUE"""),2.0)</f>
        <v>2</v>
      </c>
      <c r="F474" s="62" t="str">
        <f>IFERROR(__xludf.DUMMYFUNCTION("""COMPUTED_VALUE"""),"https://www.google.com/maps/search/?api=1&amp;query=-30.9027198734165,-55.5446667316024")</f>
        <v>https://www.google.com/maps/search/?api=1&amp;query=-30.9027198734165,-55.5446667316024</v>
      </c>
      <c r="G474" s="63" t="str">
        <f>IFERROR(__xludf.DUMMYFUNCTION("""COMPUTED_VALUE"""),"https://earth.google.com/web/search/-30.9027198734165,-55.5446667316024")</f>
        <v>https://earth.google.com/web/search/-30.9027198734165,-55.5446667316024</v>
      </c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</row>
    <row r="475">
      <c r="A475" s="65" t="str">
        <f>IFERROR(__xludf.DUMMYFUNCTION("""COMPUTED_VALUE"""),"-3.0902763453827")</f>
        <v>-3.0902763453827</v>
      </c>
      <c r="B475" s="66" t="str">
        <f>IFERROR(__xludf.DUMMYFUNCTION("""COMPUTED_VALUE"""),"-55.5446079801904")</f>
        <v>-55.5446079801904</v>
      </c>
      <c r="C475" s="66">
        <f>IFERROR(__xludf.DUMMYFUNCTION("""COMPUTED_VALUE"""),1.0)</f>
        <v>1</v>
      </c>
      <c r="D475" s="66">
        <f>IFERROR(__xludf.DUMMYFUNCTION("""COMPUTED_VALUE"""),293.0)</f>
        <v>293</v>
      </c>
      <c r="E475" s="66">
        <f>IFERROR(__xludf.DUMMYFUNCTION("""COMPUTED_VALUE"""),3.0)</f>
        <v>3</v>
      </c>
      <c r="F475" s="67" t="str">
        <f>IFERROR(__xludf.DUMMYFUNCTION("""COMPUTED_VALUE"""),"https://www.google.com/maps/search/?api=1&amp;query=-3.0902763453827,-55.5446079801904")</f>
        <v>https://www.google.com/maps/search/?api=1&amp;query=-3.0902763453827,-55.5446079801904</v>
      </c>
      <c r="G475" s="68" t="str">
        <f>IFERROR(__xludf.DUMMYFUNCTION("""COMPUTED_VALUE"""),"https://earth.google.com/web/search/-3.0902763453827,-55.5446079801904")</f>
        <v>https://earth.google.com/web/search/-3.0902763453827,-55.5446079801904</v>
      </c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</row>
    <row r="476">
      <c r="A476" s="69" t="str">
        <f>IFERROR(__xludf.DUMMYFUNCTION("""COMPUTED_VALUE"""),"-3.0902349223211")</f>
        <v>-3.0902349223211</v>
      </c>
      <c r="B476" s="61" t="str">
        <f>IFERROR(__xludf.DUMMYFUNCTION("""COMPUTED_VALUE"""),"-55.5442005421021")</f>
        <v>-55.5442005421021</v>
      </c>
      <c r="C476" s="61">
        <f>IFERROR(__xludf.DUMMYFUNCTION("""COMPUTED_VALUE"""),1.0)</f>
        <v>1</v>
      </c>
      <c r="D476" s="61">
        <f>IFERROR(__xludf.DUMMYFUNCTION("""COMPUTED_VALUE"""),293.0)</f>
        <v>293</v>
      </c>
      <c r="E476" s="61">
        <f>IFERROR(__xludf.DUMMYFUNCTION("""COMPUTED_VALUE"""),4.0)</f>
        <v>4</v>
      </c>
      <c r="F476" s="62" t="str">
        <f>IFERROR(__xludf.DUMMYFUNCTION("""COMPUTED_VALUE"""),"https://www.google.com/maps/search/?api=1&amp;query=-3.0902349223211,-55.5442005421021")</f>
        <v>https://www.google.com/maps/search/?api=1&amp;query=-3.0902349223211,-55.5442005421021</v>
      </c>
      <c r="G476" s="63" t="str">
        <f>IFERROR(__xludf.DUMMYFUNCTION("""COMPUTED_VALUE"""),"https://earth.google.com/web/search/-3.0902349223211,-55.5442005421021")</f>
        <v>https://earth.google.com/web/search/-3.0902349223211,-55.5442005421021</v>
      </c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</row>
    <row r="477">
      <c r="A477" s="65" t="str">
        <f>IFERROR(__xludf.DUMMYFUNCTION("""COMPUTED_VALUE"""),"-30.9021901356545")</f>
        <v>-30.9021901356545</v>
      </c>
      <c r="B477" s="66" t="str">
        <f>IFERROR(__xludf.DUMMYFUNCTION("""COMPUTED_VALUE"""),"-55.5440993357623")</f>
        <v>-55.5440993357623</v>
      </c>
      <c r="C477" s="66">
        <f>IFERROR(__xludf.DUMMYFUNCTION("""COMPUTED_VALUE"""),1.0)</f>
        <v>1</v>
      </c>
      <c r="D477" s="66">
        <f>IFERROR(__xludf.DUMMYFUNCTION("""COMPUTED_VALUE"""),293.0)</f>
        <v>293</v>
      </c>
      <c r="E477" s="66">
        <f>IFERROR(__xludf.DUMMYFUNCTION("""COMPUTED_VALUE"""),5.0)</f>
        <v>5</v>
      </c>
      <c r="F477" s="67" t="str">
        <f>IFERROR(__xludf.DUMMYFUNCTION("""COMPUTED_VALUE"""),"https://www.google.com/maps/search/?api=1&amp;query=-30.9021901356545,-55.5440993357623")</f>
        <v>https://www.google.com/maps/search/?api=1&amp;query=-30.9021901356545,-55.5440993357623</v>
      </c>
      <c r="G477" s="68" t="str">
        <f>IFERROR(__xludf.DUMMYFUNCTION("""COMPUTED_VALUE"""),"https://earth.google.com/web/search/-30.9021901356545,-55.5440993357623")</f>
        <v>https://earth.google.com/web/search/-30.9021901356545,-55.5440993357623</v>
      </c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</row>
    <row r="478">
      <c r="A478" s="69" t="str">
        <f>IFERROR(__xludf.DUMMYFUNCTION("""COMPUTED_VALUE"""),"-30.9047594333469")</f>
        <v>-30.9047594333469</v>
      </c>
      <c r="B478" s="61" t="str">
        <f>IFERROR(__xludf.DUMMYFUNCTION("""COMPUTED_VALUE"""),"-55.5387665487494")</f>
        <v>-55.5387665487494</v>
      </c>
      <c r="C478" s="61">
        <f>IFERROR(__xludf.DUMMYFUNCTION("""COMPUTED_VALUE"""),1.0)</f>
        <v>1</v>
      </c>
      <c r="D478" s="61">
        <f>IFERROR(__xludf.DUMMYFUNCTION("""COMPUTED_VALUE"""),284.0)</f>
        <v>284</v>
      </c>
      <c r="E478" s="61">
        <f>IFERROR(__xludf.DUMMYFUNCTION("""COMPUTED_VALUE"""),1.0)</f>
        <v>1</v>
      </c>
      <c r="F478" s="62" t="str">
        <f>IFERROR(__xludf.DUMMYFUNCTION("""COMPUTED_VALUE"""),"https://www.google.com/maps/search/?api=1&amp;query=-30.9047594333469,-55.5387665487494")</f>
        <v>https://www.google.com/maps/search/?api=1&amp;query=-30.9047594333469,-55.5387665487494</v>
      </c>
      <c r="G478" s="63" t="str">
        <f>IFERROR(__xludf.DUMMYFUNCTION("""COMPUTED_VALUE"""),"https://earth.google.com/web/search/-30.9047594333469,-55.5387665487494")</f>
        <v>https://earth.google.com/web/search/-30.9047594333469,-55.5387665487494</v>
      </c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</row>
    <row r="479">
      <c r="A479" s="65" t="str">
        <f>IFERROR(__xludf.DUMMYFUNCTION("""COMPUTED_VALUE"""),"-30.9048718650363")</f>
        <v>-30.9048718650363</v>
      </c>
      <c r="B479" s="66" t="str">
        <f>IFERROR(__xludf.DUMMYFUNCTION("""COMPUTED_VALUE"""),"-55.5386133596576")</f>
        <v>-55.5386133596576</v>
      </c>
      <c r="C479" s="66">
        <f>IFERROR(__xludf.DUMMYFUNCTION("""COMPUTED_VALUE"""),1.0)</f>
        <v>1</v>
      </c>
      <c r="D479" s="66">
        <f>IFERROR(__xludf.DUMMYFUNCTION("""COMPUTED_VALUE"""),284.0)</f>
        <v>284</v>
      </c>
      <c r="E479" s="66">
        <f>IFERROR(__xludf.DUMMYFUNCTION("""COMPUTED_VALUE"""),2.0)</f>
        <v>2</v>
      </c>
      <c r="F479" s="67" t="str">
        <f>IFERROR(__xludf.DUMMYFUNCTION("""COMPUTED_VALUE"""),"https://www.google.com/maps/search/?api=1&amp;query=-30.9048718650363,-55.5386133596576")</f>
        <v>https://www.google.com/maps/search/?api=1&amp;query=-30.9048718650363,-55.5386133596576</v>
      </c>
      <c r="G479" s="68" t="str">
        <f>IFERROR(__xludf.DUMMYFUNCTION("""COMPUTED_VALUE"""),"https://earth.google.com/web/search/-30.9048718650363,-55.5386133596576")</f>
        <v>https://earth.google.com/web/search/-30.9048718650363,-55.5386133596576</v>
      </c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</row>
    <row r="480">
      <c r="A480" s="69" t="str">
        <f>IFERROR(__xludf.DUMMYFUNCTION("""COMPUTED_VALUE"""),"-30.9048877631886")</f>
        <v>-30.9048877631886</v>
      </c>
      <c r="B480" s="61" t="str">
        <f>IFERROR(__xludf.DUMMYFUNCTION("""COMPUTED_VALUE"""),"-55.5384739530947")</f>
        <v>-55.5384739530947</v>
      </c>
      <c r="C480" s="61">
        <f>IFERROR(__xludf.DUMMYFUNCTION("""COMPUTED_VALUE"""),1.0)</f>
        <v>1</v>
      </c>
      <c r="D480" s="61">
        <f>IFERROR(__xludf.DUMMYFUNCTION("""COMPUTED_VALUE"""),284.0)</f>
        <v>284</v>
      </c>
      <c r="E480" s="61">
        <f>IFERROR(__xludf.DUMMYFUNCTION("""COMPUTED_VALUE"""),3.0)</f>
        <v>3</v>
      </c>
      <c r="F480" s="62" t="str">
        <f>IFERROR(__xludf.DUMMYFUNCTION("""COMPUTED_VALUE"""),"https://www.google.com/maps/search/?api=1&amp;query=-30.9048877631886,-55.5384739530947")</f>
        <v>https://www.google.com/maps/search/?api=1&amp;query=-30.9048877631886,-55.5384739530947</v>
      </c>
      <c r="G480" s="63" t="str">
        <f>IFERROR(__xludf.DUMMYFUNCTION("""COMPUTED_VALUE"""),"https://earth.google.com/web/search/-30.9048877631886,-55.5384739530947")</f>
        <v>https://earth.google.com/web/search/-30.9048877631886,-55.5384739530947</v>
      </c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</row>
    <row r="481">
      <c r="A481" s="65" t="str">
        <f>IFERROR(__xludf.DUMMYFUNCTION("""COMPUTED_VALUE"""),"-30.9048198510127")</f>
        <v>-30.9048198510127</v>
      </c>
      <c r="B481" s="66" t="str">
        <f>IFERROR(__xludf.DUMMYFUNCTION("""COMPUTED_VALUE"""),"-55.5384180866443")</f>
        <v>-55.5384180866443</v>
      </c>
      <c r="C481" s="66">
        <f>IFERROR(__xludf.DUMMYFUNCTION("""COMPUTED_VALUE"""),1.0)</f>
        <v>1</v>
      </c>
      <c r="D481" s="66">
        <f>IFERROR(__xludf.DUMMYFUNCTION("""COMPUTED_VALUE"""),284.0)</f>
        <v>284</v>
      </c>
      <c r="E481" s="66">
        <f>IFERROR(__xludf.DUMMYFUNCTION("""COMPUTED_VALUE"""),4.0)</f>
        <v>4</v>
      </c>
      <c r="F481" s="67" t="str">
        <f>IFERROR(__xludf.DUMMYFUNCTION("""COMPUTED_VALUE"""),"https://www.google.com/maps/search/?api=1&amp;query=-30.9048198510127,-55.5384180866443")</f>
        <v>https://www.google.com/maps/search/?api=1&amp;query=-30.9048198510127,-55.5384180866443</v>
      </c>
      <c r="G481" s="68" t="str">
        <f>IFERROR(__xludf.DUMMYFUNCTION("""COMPUTED_VALUE"""),"https://earth.google.com/web/search/-30.9048198510127,-55.5384180866443")</f>
        <v>https://earth.google.com/web/search/-30.9048198510127,-55.5384180866443</v>
      </c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</row>
    <row r="482">
      <c r="A482" s="69" t="str">
        <f>IFERROR(__xludf.DUMMYFUNCTION("""COMPUTED_VALUE"""),"-30.9045082544073")</f>
        <v>-30.9045082544073</v>
      </c>
      <c r="B482" s="61" t="str">
        <f>IFERROR(__xludf.DUMMYFUNCTION("""COMPUTED_VALUE"""),"-55.5382104694265")</f>
        <v>-55.5382104694265</v>
      </c>
      <c r="C482" s="61">
        <f>IFERROR(__xludf.DUMMYFUNCTION("""COMPUTED_VALUE"""),1.0)</f>
        <v>1</v>
      </c>
      <c r="D482" s="61">
        <f>IFERROR(__xludf.DUMMYFUNCTION("""COMPUTED_VALUE"""),284.0)</f>
        <v>284</v>
      </c>
      <c r="E482" s="61">
        <f>IFERROR(__xludf.DUMMYFUNCTION("""COMPUTED_VALUE"""),5.0)</f>
        <v>5</v>
      </c>
      <c r="F482" s="62" t="str">
        <f>IFERROR(__xludf.DUMMYFUNCTION("""COMPUTED_VALUE"""),"https://www.google.com/maps/search/?api=1&amp;query=-30.9045082544073,-55.5382104694265")</f>
        <v>https://www.google.com/maps/search/?api=1&amp;query=-30.9045082544073,-55.5382104694265</v>
      </c>
      <c r="G482" s="63" t="str">
        <f>IFERROR(__xludf.DUMMYFUNCTION("""COMPUTED_VALUE"""),"https://earth.google.com/web/search/-30.9045082544073,-55.5382104694265")</f>
        <v>https://earth.google.com/web/search/-30.9045082544073,-55.5382104694265</v>
      </c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</row>
    <row r="483">
      <c r="A483" s="65" t="str">
        <f>IFERROR(__xludf.DUMMYFUNCTION("""COMPUTED_VALUE"""),"-3.0904419743296")</f>
        <v>-3.0904419743296</v>
      </c>
      <c r="B483" s="66" t="str">
        <f>IFERROR(__xludf.DUMMYFUNCTION("""COMPUTED_VALUE"""),"-55.5381491820805")</f>
        <v>-55.5381491820805</v>
      </c>
      <c r="C483" s="66">
        <f>IFERROR(__xludf.DUMMYFUNCTION("""COMPUTED_VALUE"""),1.0)</f>
        <v>1</v>
      </c>
      <c r="D483" s="66">
        <f>IFERROR(__xludf.DUMMYFUNCTION("""COMPUTED_VALUE"""),284.0)</f>
        <v>284</v>
      </c>
      <c r="E483" s="66">
        <f>IFERROR(__xludf.DUMMYFUNCTION("""COMPUTED_VALUE"""),6.0)</f>
        <v>6</v>
      </c>
      <c r="F483" s="67" t="str">
        <f>IFERROR(__xludf.DUMMYFUNCTION("""COMPUTED_VALUE"""),"https://www.google.com/maps/search/?api=1&amp;query=-3.0904419743296,-55.5381491820805")</f>
        <v>https://www.google.com/maps/search/?api=1&amp;query=-3.0904419743296,-55.5381491820805</v>
      </c>
      <c r="G483" s="68" t="str">
        <f>IFERROR(__xludf.DUMMYFUNCTION("""COMPUTED_VALUE"""),"https://earth.google.com/web/search/-3.0904419743296,-55.5381491820805")</f>
        <v>https://earth.google.com/web/search/-3.0904419743296,-55.5381491820805</v>
      </c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</row>
    <row r="484">
      <c r="A484" s="69" t="str">
        <f>IFERROR(__xludf.DUMMYFUNCTION("""COMPUTED_VALUE"""),"-30.9043710895315")</f>
        <v>-30.9043710895315</v>
      </c>
      <c r="B484" s="61" t="str">
        <f>IFERROR(__xludf.DUMMYFUNCTION("""COMPUTED_VALUE"""),"-55.5381032049806")</f>
        <v>-55.5381032049806</v>
      </c>
      <c r="C484" s="61">
        <f>IFERROR(__xludf.DUMMYFUNCTION("""COMPUTED_VALUE"""),1.0)</f>
        <v>1</v>
      </c>
      <c r="D484" s="61">
        <f>IFERROR(__xludf.DUMMYFUNCTION("""COMPUTED_VALUE"""),284.0)</f>
        <v>284</v>
      </c>
      <c r="E484" s="61">
        <f>IFERROR(__xludf.DUMMYFUNCTION("""COMPUTED_VALUE"""),7.0)</f>
        <v>7</v>
      </c>
      <c r="F484" s="62" t="str">
        <f>IFERROR(__xludf.DUMMYFUNCTION("""COMPUTED_VALUE"""),"https://www.google.com/maps/search/?api=1&amp;query=-30.9043710895315,-55.5381032049806")</f>
        <v>https://www.google.com/maps/search/?api=1&amp;query=-30.9043710895315,-55.5381032049806</v>
      </c>
      <c r="G484" s="63" t="str">
        <f>IFERROR(__xludf.DUMMYFUNCTION("""COMPUTED_VALUE"""),"https://earth.google.com/web/search/-30.9043710895315,-55.5381032049806")</f>
        <v>https://earth.google.com/web/search/-30.9043710895315,-55.5381032049806</v>
      </c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</row>
    <row r="485">
      <c r="A485" s="65" t="str">
        <f>IFERROR(__xludf.DUMMYFUNCTION("""COMPUTED_VALUE"""),"-30.9043063964064")</f>
        <v>-30.9043063964064</v>
      </c>
      <c r="B485" s="66" t="str">
        <f>IFERROR(__xludf.DUMMYFUNCTION("""COMPUTED_VALUE"""),"-55.5380707180625")</f>
        <v>-55.5380707180625</v>
      </c>
      <c r="C485" s="66">
        <f>IFERROR(__xludf.DUMMYFUNCTION("""COMPUTED_VALUE"""),1.0)</f>
        <v>1</v>
      </c>
      <c r="D485" s="66">
        <f>IFERROR(__xludf.DUMMYFUNCTION("""COMPUTED_VALUE"""),284.0)</f>
        <v>284</v>
      </c>
      <c r="E485" s="66">
        <f>IFERROR(__xludf.DUMMYFUNCTION("""COMPUTED_VALUE"""),8.0)</f>
        <v>8</v>
      </c>
      <c r="F485" s="67" t="str">
        <f>IFERROR(__xludf.DUMMYFUNCTION("""COMPUTED_VALUE"""),"https://www.google.com/maps/search/?api=1&amp;query=-30.9043063964064,-55.5380707180625")</f>
        <v>https://www.google.com/maps/search/?api=1&amp;query=-30.9043063964064,-55.5380707180625</v>
      </c>
      <c r="G485" s="68" t="str">
        <f>IFERROR(__xludf.DUMMYFUNCTION("""COMPUTED_VALUE"""),"https://earth.google.com/web/search/-30.9043063964064,-55.5380707180625")</f>
        <v>https://earth.google.com/web/search/-30.9043063964064,-55.5380707180625</v>
      </c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</row>
    <row r="486">
      <c r="A486" s="69" t="str">
        <f>IFERROR(__xludf.DUMMYFUNCTION("""COMPUTED_VALUE"""),"-30.9041551190189")</f>
        <v>-30.9041551190189</v>
      </c>
      <c r="B486" s="61" t="str">
        <f>IFERROR(__xludf.DUMMYFUNCTION("""COMPUTED_VALUE"""),"-55.5381309769155")</f>
        <v>-55.5381309769155</v>
      </c>
      <c r="C486" s="61">
        <f>IFERROR(__xludf.DUMMYFUNCTION("""COMPUTED_VALUE"""),1.0)</f>
        <v>1</v>
      </c>
      <c r="D486" s="61">
        <f>IFERROR(__xludf.DUMMYFUNCTION("""COMPUTED_VALUE"""),284.0)</f>
        <v>284</v>
      </c>
      <c r="E486" s="61">
        <f>IFERROR(__xludf.DUMMYFUNCTION("""COMPUTED_VALUE"""),9.0)</f>
        <v>9</v>
      </c>
      <c r="F486" s="62" t="str">
        <f>IFERROR(__xludf.DUMMYFUNCTION("""COMPUTED_VALUE"""),"https://www.google.com/maps/search/?api=1&amp;query=-30.9041551190189,-55.5381309769155")</f>
        <v>https://www.google.com/maps/search/?api=1&amp;query=-30.9041551190189,-55.5381309769155</v>
      </c>
      <c r="G486" s="63" t="str">
        <f>IFERROR(__xludf.DUMMYFUNCTION("""COMPUTED_VALUE"""),"https://earth.google.com/web/search/-30.9041551190189,-55.5381309769155")</f>
        <v>https://earth.google.com/web/search/-30.9041551190189,-55.5381309769155</v>
      </c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</row>
    <row r="487">
      <c r="A487" s="65" t="str">
        <f>IFERROR(__xludf.DUMMYFUNCTION("""COMPUTED_VALUE"""),"-30.9040319285188")</f>
        <v>-30.9040319285188</v>
      </c>
      <c r="B487" s="66" t="str">
        <f>IFERROR(__xludf.DUMMYFUNCTION("""COMPUTED_VALUE"""),"-55.5383318802582")</f>
        <v>-55.5383318802582</v>
      </c>
      <c r="C487" s="66">
        <f>IFERROR(__xludf.DUMMYFUNCTION("""COMPUTED_VALUE"""),1.0)</f>
        <v>1</v>
      </c>
      <c r="D487" s="66">
        <f>IFERROR(__xludf.DUMMYFUNCTION("""COMPUTED_VALUE"""),284.0)</f>
        <v>284</v>
      </c>
      <c r="E487" s="66">
        <f>IFERROR(__xludf.DUMMYFUNCTION("""COMPUTED_VALUE"""),10.0)</f>
        <v>10</v>
      </c>
      <c r="F487" s="67" t="str">
        <f>IFERROR(__xludf.DUMMYFUNCTION("""COMPUTED_VALUE"""),"https://www.google.com/maps/search/?api=1&amp;query=-30.9040319285188,-55.5383318802582")</f>
        <v>https://www.google.com/maps/search/?api=1&amp;query=-30.9040319285188,-55.5383318802582</v>
      </c>
      <c r="G487" s="68" t="str">
        <f>IFERROR(__xludf.DUMMYFUNCTION("""COMPUTED_VALUE"""),"https://earth.google.com/web/search/-30.9040319285188,-55.5383318802582")</f>
        <v>https://earth.google.com/web/search/-30.9040319285188,-55.5383318802582</v>
      </c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</row>
    <row r="488">
      <c r="A488" s="69" t="str">
        <f>IFERROR(__xludf.DUMMYFUNCTION("""COMPUTED_VALUE"""),"-30.9039823537806")</f>
        <v>-30.9039823537806</v>
      </c>
      <c r="B488" s="61" t="str">
        <f>IFERROR(__xludf.DUMMYFUNCTION("""COMPUTED_VALUE"""),"-55.5383717159934")</f>
        <v>-55.5383717159934</v>
      </c>
      <c r="C488" s="61">
        <f>IFERROR(__xludf.DUMMYFUNCTION("""COMPUTED_VALUE"""),1.0)</f>
        <v>1</v>
      </c>
      <c r="D488" s="61">
        <f>IFERROR(__xludf.DUMMYFUNCTION("""COMPUTED_VALUE"""),284.0)</f>
        <v>284</v>
      </c>
      <c r="E488" s="61">
        <f>IFERROR(__xludf.DUMMYFUNCTION("""COMPUTED_VALUE"""),11.0)</f>
        <v>11</v>
      </c>
      <c r="F488" s="62" t="str">
        <f>IFERROR(__xludf.DUMMYFUNCTION("""COMPUTED_VALUE"""),"https://www.google.com/maps/search/?api=1&amp;query=-30.9039823537806,-55.5383717159934")</f>
        <v>https://www.google.com/maps/search/?api=1&amp;query=-30.9039823537806,-55.5383717159934</v>
      </c>
      <c r="G488" s="63" t="str">
        <f>IFERROR(__xludf.DUMMYFUNCTION("""COMPUTED_VALUE"""),"https://earth.google.com/web/search/-30.9039823537806,-55.5383717159934")</f>
        <v>https://earth.google.com/web/search/-30.9039823537806,-55.5383717159934</v>
      </c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</row>
    <row r="489">
      <c r="A489" s="65" t="str">
        <f>IFERROR(__xludf.DUMMYFUNCTION("""COMPUTED_VALUE"""),"-30.9038678934465")</f>
        <v>-30.9038678934465</v>
      </c>
      <c r="B489" s="66" t="str">
        <f>IFERROR(__xludf.DUMMYFUNCTION("""COMPUTED_VALUE"""),"-55.5386231734106")</f>
        <v>-55.5386231734106</v>
      </c>
      <c r="C489" s="66">
        <f>IFERROR(__xludf.DUMMYFUNCTION("""COMPUTED_VALUE"""),1.0)</f>
        <v>1</v>
      </c>
      <c r="D489" s="66">
        <f>IFERROR(__xludf.DUMMYFUNCTION("""COMPUTED_VALUE"""),284.0)</f>
        <v>284</v>
      </c>
      <c r="E489" s="66">
        <f>IFERROR(__xludf.DUMMYFUNCTION("""COMPUTED_VALUE"""),12.0)</f>
        <v>12</v>
      </c>
      <c r="F489" s="67" t="str">
        <f>IFERROR(__xludf.DUMMYFUNCTION("""COMPUTED_VALUE"""),"https://www.google.com/maps/search/?api=1&amp;query=-30.9038678934465,-55.5386231734106")</f>
        <v>https://www.google.com/maps/search/?api=1&amp;query=-30.9038678934465,-55.5386231734106</v>
      </c>
      <c r="G489" s="68" t="str">
        <f>IFERROR(__xludf.DUMMYFUNCTION("""COMPUTED_VALUE"""),"https://earth.google.com/web/search/-30.9038678934465,-55.5386231734106")</f>
        <v>https://earth.google.com/web/search/-30.9038678934465,-55.5386231734106</v>
      </c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</row>
    <row r="490">
      <c r="A490" s="69" t="str">
        <f>IFERROR(__xludf.DUMMYFUNCTION("""COMPUTED_VALUE"""),"-30.9040380300183")</f>
        <v>-30.9040380300183</v>
      </c>
      <c r="B490" s="61" t="str">
        <f>IFERROR(__xludf.DUMMYFUNCTION("""COMPUTED_VALUE"""),"-55.5389867621223")</f>
        <v>-55.5389867621223</v>
      </c>
      <c r="C490" s="61">
        <f>IFERROR(__xludf.DUMMYFUNCTION("""COMPUTED_VALUE"""),1.0)</f>
        <v>1</v>
      </c>
      <c r="D490" s="61">
        <f>IFERROR(__xludf.DUMMYFUNCTION("""COMPUTED_VALUE"""),284.0)</f>
        <v>284</v>
      </c>
      <c r="E490" s="61">
        <f>IFERROR(__xludf.DUMMYFUNCTION("""COMPUTED_VALUE"""),13.0)</f>
        <v>13</v>
      </c>
      <c r="F490" s="62" t="str">
        <f>IFERROR(__xludf.DUMMYFUNCTION("""COMPUTED_VALUE"""),"https://www.google.com/maps/search/?api=1&amp;query=-30.9040380300183,-55.5389867621223")</f>
        <v>https://www.google.com/maps/search/?api=1&amp;query=-30.9040380300183,-55.5389867621223</v>
      </c>
      <c r="G490" s="63" t="str">
        <f>IFERROR(__xludf.DUMMYFUNCTION("""COMPUTED_VALUE"""),"https://earth.google.com/web/search/-30.9040380300183,-55.5389867621223")</f>
        <v>https://earth.google.com/web/search/-30.9040380300183,-55.5389867621223</v>
      </c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</row>
    <row r="491">
      <c r="A491" s="65" t="str">
        <f>IFERROR(__xludf.DUMMYFUNCTION("""COMPUTED_VALUE"""),"-30.9041533750787")</f>
        <v>-30.9041533750787</v>
      </c>
      <c r="B491" s="66" t="str">
        <f>IFERROR(__xludf.DUMMYFUNCTION("""COMPUTED_VALUE"""),"-55.5390872035305")</f>
        <v>-55.5390872035305</v>
      </c>
      <c r="C491" s="66">
        <f>IFERROR(__xludf.DUMMYFUNCTION("""COMPUTED_VALUE"""),1.0)</f>
        <v>1</v>
      </c>
      <c r="D491" s="66">
        <f>IFERROR(__xludf.DUMMYFUNCTION("""COMPUTED_VALUE"""),284.0)</f>
        <v>284</v>
      </c>
      <c r="E491" s="66">
        <f>IFERROR(__xludf.DUMMYFUNCTION("""COMPUTED_VALUE"""),14.0)</f>
        <v>14</v>
      </c>
      <c r="F491" s="67" t="str">
        <f>IFERROR(__xludf.DUMMYFUNCTION("""COMPUTED_VALUE"""),"https://www.google.com/maps/search/?api=1&amp;query=-30.9041533750787,-55.5390872035305")</f>
        <v>https://www.google.com/maps/search/?api=1&amp;query=-30.9041533750787,-55.5390872035305</v>
      </c>
      <c r="G491" s="68" t="str">
        <f>IFERROR(__xludf.DUMMYFUNCTION("""COMPUTED_VALUE"""),"https://earth.google.com/web/search/-30.9041533750787,-55.5390872035305")</f>
        <v>https://earth.google.com/web/search/-30.9041533750787,-55.5390872035305</v>
      </c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</row>
    <row r="492">
      <c r="A492" s="69" t="str">
        <f>IFERROR(__xludf.DUMMYFUNCTION("""COMPUTED_VALUE"""),"-30.9042741130955")</f>
        <v>-30.9042741130955</v>
      </c>
      <c r="B492" s="61" t="str">
        <f>IFERROR(__xludf.DUMMYFUNCTION("""COMPUTED_VALUE"""),"-55.5391494742533")</f>
        <v>-55.5391494742533</v>
      </c>
      <c r="C492" s="61">
        <f>IFERROR(__xludf.DUMMYFUNCTION("""COMPUTED_VALUE"""),1.0)</f>
        <v>1</v>
      </c>
      <c r="D492" s="61">
        <f>IFERROR(__xludf.DUMMYFUNCTION("""COMPUTED_VALUE"""),284.0)</f>
        <v>284</v>
      </c>
      <c r="E492" s="61">
        <f>IFERROR(__xludf.DUMMYFUNCTION("""COMPUTED_VALUE"""),15.0)</f>
        <v>15</v>
      </c>
      <c r="F492" s="62" t="str">
        <f>IFERROR(__xludf.DUMMYFUNCTION("""COMPUTED_VALUE"""),"https://www.google.com/maps/search/?api=1&amp;query=-30.9042741130955,-55.5391494742533")</f>
        <v>https://www.google.com/maps/search/?api=1&amp;query=-30.9042741130955,-55.5391494742533</v>
      </c>
      <c r="G492" s="63" t="str">
        <f>IFERROR(__xludf.DUMMYFUNCTION("""COMPUTED_VALUE"""),"https://earth.google.com/web/search/-30.9042741130955,-55.5391494742533")</f>
        <v>https://earth.google.com/web/search/-30.9042741130955,-55.5391494742533</v>
      </c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</row>
    <row r="493">
      <c r="A493" s="65" t="str">
        <f>IFERROR(__xludf.DUMMYFUNCTION("""COMPUTED_VALUE"""),"-30.9043858963054")</f>
        <v>-30.9043858963054</v>
      </c>
      <c r="B493" s="66" t="str">
        <f>IFERROR(__xludf.DUMMYFUNCTION("""COMPUTED_VALUE"""),"-55.5392390774177")</f>
        <v>-55.5392390774177</v>
      </c>
      <c r="C493" s="66">
        <f>IFERROR(__xludf.DUMMYFUNCTION("""COMPUTED_VALUE"""),1.0)</f>
        <v>1</v>
      </c>
      <c r="D493" s="66">
        <f>IFERROR(__xludf.DUMMYFUNCTION("""COMPUTED_VALUE"""),284.0)</f>
        <v>284</v>
      </c>
      <c r="E493" s="66">
        <f>IFERROR(__xludf.DUMMYFUNCTION("""COMPUTED_VALUE"""),16.0)</f>
        <v>16</v>
      </c>
      <c r="F493" s="67" t="str">
        <f>IFERROR(__xludf.DUMMYFUNCTION("""COMPUTED_VALUE"""),"https://www.google.com/maps/search/?api=1&amp;query=-30.9043858963054,-55.5392390774177")</f>
        <v>https://www.google.com/maps/search/?api=1&amp;query=-30.9043858963054,-55.5392390774177</v>
      </c>
      <c r="G493" s="68" t="str">
        <f>IFERROR(__xludf.DUMMYFUNCTION("""COMPUTED_VALUE"""),"https://earth.google.com/web/search/-30.9043858963054,-55.5392390774177")</f>
        <v>https://earth.google.com/web/search/-30.9043858963054,-55.5392390774177</v>
      </c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</row>
    <row r="494">
      <c r="A494" s="69" t="str">
        <f>IFERROR(__xludf.DUMMYFUNCTION("""COMPUTED_VALUE"""),"-30.9041940719613")</f>
        <v>-30.9041940719613</v>
      </c>
      <c r="B494" s="61" t="str">
        <f>IFERROR(__xludf.DUMMYFUNCTION("""COMPUTED_VALUE"""),"-55.5398918653551")</f>
        <v>-55.5398918653551</v>
      </c>
      <c r="C494" s="61">
        <f>IFERROR(__xludf.DUMMYFUNCTION("""COMPUTED_VALUE"""),1.0)</f>
        <v>1</v>
      </c>
      <c r="D494" s="61">
        <f>IFERROR(__xludf.DUMMYFUNCTION("""COMPUTED_VALUE"""),283.0)</f>
        <v>283</v>
      </c>
      <c r="E494" s="61">
        <f>IFERROR(__xludf.DUMMYFUNCTION("""COMPUTED_VALUE"""),1.0)</f>
        <v>1</v>
      </c>
      <c r="F494" s="62" t="str">
        <f>IFERROR(__xludf.DUMMYFUNCTION("""COMPUTED_VALUE"""),"https://www.google.com/maps/search/?api=1&amp;query=-30.9041940719613,-55.5398918653551")</f>
        <v>https://www.google.com/maps/search/?api=1&amp;query=-30.9041940719613,-55.5398918653551</v>
      </c>
      <c r="G494" s="63" t="str">
        <f>IFERROR(__xludf.DUMMYFUNCTION("""COMPUTED_VALUE"""),"https://earth.google.com/web/search/-30.9041940719613,-55.5398918653551")</f>
        <v>https://earth.google.com/web/search/-30.9041940719613,-55.5398918653551</v>
      </c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</row>
    <row r="495">
      <c r="A495" s="65" t="str">
        <f>IFERROR(__xludf.DUMMYFUNCTION("""COMPUTED_VALUE"""),"-30.9043480880134")</f>
        <v>-30.9043480880134</v>
      </c>
      <c r="B495" s="66" t="str">
        <f>IFERROR(__xludf.DUMMYFUNCTION("""COMPUTED_VALUE"""),"-55.5395820929481")</f>
        <v>-55.5395820929481</v>
      </c>
      <c r="C495" s="66">
        <f>IFERROR(__xludf.DUMMYFUNCTION("""COMPUTED_VALUE"""),1.0)</f>
        <v>1</v>
      </c>
      <c r="D495" s="66">
        <f>IFERROR(__xludf.DUMMYFUNCTION("""COMPUTED_VALUE"""),283.0)</f>
        <v>283</v>
      </c>
      <c r="E495" s="66">
        <f>IFERROR(__xludf.DUMMYFUNCTION("""COMPUTED_VALUE"""),2.0)</f>
        <v>2</v>
      </c>
      <c r="F495" s="67" t="str">
        <f>IFERROR(__xludf.DUMMYFUNCTION("""COMPUTED_VALUE"""),"https://www.google.com/maps/search/?api=1&amp;query=-30.9043480880134,-55.5395820929481")</f>
        <v>https://www.google.com/maps/search/?api=1&amp;query=-30.9043480880134,-55.5395820929481</v>
      </c>
      <c r="G495" s="68" t="str">
        <f>IFERROR(__xludf.DUMMYFUNCTION("""COMPUTED_VALUE"""),"https://earth.google.com/web/search/-30.9043480880134,-55.5395820929481")</f>
        <v>https://earth.google.com/web/search/-30.9043480880134,-55.5395820929481</v>
      </c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</row>
    <row r="496">
      <c r="A496" s="69" t="str">
        <f>IFERROR(__xludf.DUMMYFUNCTION("""COMPUTED_VALUE"""),"-30.9042555582107")</f>
        <v>-30.9042555582107</v>
      </c>
      <c r="B496" s="61" t="str">
        <f>IFERROR(__xludf.DUMMYFUNCTION("""COMPUTED_VALUE"""),"-5.5539253114277")</f>
        <v>-5.5539253114277</v>
      </c>
      <c r="C496" s="61">
        <f>IFERROR(__xludf.DUMMYFUNCTION("""COMPUTED_VALUE"""),1.0)</f>
        <v>1</v>
      </c>
      <c r="D496" s="61">
        <f>IFERROR(__xludf.DUMMYFUNCTION("""COMPUTED_VALUE"""),283.0)</f>
        <v>283</v>
      </c>
      <c r="E496" s="61">
        <f>IFERROR(__xludf.DUMMYFUNCTION("""COMPUTED_VALUE"""),3.0)</f>
        <v>3</v>
      </c>
      <c r="F496" s="62" t="str">
        <f>IFERROR(__xludf.DUMMYFUNCTION("""COMPUTED_VALUE"""),"https://www.google.com/maps/search/?api=1&amp;query=-30.9042555582107,-5.5539253114277")</f>
        <v>https://www.google.com/maps/search/?api=1&amp;query=-30.9042555582107,-5.5539253114277</v>
      </c>
      <c r="G496" s="63" t="str">
        <f>IFERROR(__xludf.DUMMYFUNCTION("""COMPUTED_VALUE"""),"https://earth.google.com/web/search/-30.9042555582107,-5.5539253114277")</f>
        <v>https://earth.google.com/web/search/-30.9042555582107,-5.5539253114277</v>
      </c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</row>
    <row r="497">
      <c r="A497" s="65" t="str">
        <f>IFERROR(__xludf.DUMMYFUNCTION("""COMPUTED_VALUE"""),"-30.9040474449771")</f>
        <v>-30.9040474449771</v>
      </c>
      <c r="B497" s="66" t="str">
        <f>IFERROR(__xludf.DUMMYFUNCTION("""COMPUTED_VALUE"""),"-55.5391014673086")</f>
        <v>-55.5391014673086</v>
      </c>
      <c r="C497" s="66">
        <f>IFERROR(__xludf.DUMMYFUNCTION("""COMPUTED_VALUE"""),1.0)</f>
        <v>1</v>
      </c>
      <c r="D497" s="66">
        <f>IFERROR(__xludf.DUMMYFUNCTION("""COMPUTED_VALUE"""),283.0)</f>
        <v>283</v>
      </c>
      <c r="E497" s="66">
        <f>IFERROR(__xludf.DUMMYFUNCTION("""COMPUTED_VALUE"""),4.0)</f>
        <v>4</v>
      </c>
      <c r="F497" s="67" t="str">
        <f>IFERROR(__xludf.DUMMYFUNCTION("""COMPUTED_VALUE"""),"https://www.google.com/maps/search/?api=1&amp;query=-30.9040474449771,-55.5391014673086")</f>
        <v>https://www.google.com/maps/search/?api=1&amp;query=-30.9040474449771,-55.5391014673086</v>
      </c>
      <c r="G497" s="68" t="str">
        <f>IFERROR(__xludf.DUMMYFUNCTION("""COMPUTED_VALUE"""),"https://earth.google.com/web/search/-30.9040474449771,-55.5391014673086")</f>
        <v>https://earth.google.com/web/search/-30.9040474449771,-55.5391014673086</v>
      </c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</row>
    <row r="498">
      <c r="A498" s="69" t="str">
        <f>IFERROR(__xludf.DUMMYFUNCTION("""COMPUTED_VALUE"""),"-30.9039146088045")</f>
        <v>-30.9039146088045</v>
      </c>
      <c r="B498" s="61" t="str">
        <f>IFERROR(__xludf.DUMMYFUNCTION("""COMPUTED_VALUE"""),"-55.5390026370184")</f>
        <v>-55.5390026370184</v>
      </c>
      <c r="C498" s="61">
        <f>IFERROR(__xludf.DUMMYFUNCTION("""COMPUTED_VALUE"""),1.0)</f>
        <v>1</v>
      </c>
      <c r="D498" s="61">
        <f>IFERROR(__xludf.DUMMYFUNCTION("""COMPUTED_VALUE"""),283.0)</f>
        <v>283</v>
      </c>
      <c r="E498" s="61">
        <f>IFERROR(__xludf.DUMMYFUNCTION("""COMPUTED_VALUE"""),5.0)</f>
        <v>5</v>
      </c>
      <c r="F498" s="62" t="str">
        <f>IFERROR(__xludf.DUMMYFUNCTION("""COMPUTED_VALUE"""),"https://www.google.com/maps/search/?api=1&amp;query=-30.9039146088045,-55.5390026370184")</f>
        <v>https://www.google.com/maps/search/?api=1&amp;query=-30.9039146088045,-55.5390026370184</v>
      </c>
      <c r="G498" s="63" t="str">
        <f>IFERROR(__xludf.DUMMYFUNCTION("""COMPUTED_VALUE"""),"https://earth.google.com/web/search/-30.9039146088045,-55.5390026370184")</f>
        <v>https://earth.google.com/web/search/-30.9039146088045,-55.5390026370184</v>
      </c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</row>
    <row r="499">
      <c r="A499" s="65" t="str">
        <f>IFERROR(__xludf.DUMMYFUNCTION("""COMPUTED_VALUE"""),"-30.9034256259568")</f>
        <v>-30.9034256259568</v>
      </c>
      <c r="B499" s="66" t="str">
        <f>IFERROR(__xludf.DUMMYFUNCTION("""COMPUTED_VALUE"""),"-5.5539484302353")</f>
        <v>-5.5539484302353</v>
      </c>
      <c r="C499" s="66">
        <f>IFERROR(__xludf.DUMMYFUNCTION("""COMPUTED_VALUE"""),1.0)</f>
        <v>1</v>
      </c>
      <c r="D499" s="66">
        <f>IFERROR(__xludf.DUMMYFUNCTION("""COMPUTED_VALUE"""),283.0)</f>
        <v>283</v>
      </c>
      <c r="E499" s="66">
        <f>IFERROR(__xludf.DUMMYFUNCTION("""COMPUTED_VALUE"""),6.0)</f>
        <v>6</v>
      </c>
      <c r="F499" s="67" t="str">
        <f>IFERROR(__xludf.DUMMYFUNCTION("""COMPUTED_VALUE"""),"https://www.google.com/maps/search/?api=1&amp;query=-30.9034256259568,-5.5539484302353")</f>
        <v>https://www.google.com/maps/search/?api=1&amp;query=-30.9034256259568,-5.5539484302353</v>
      </c>
      <c r="G499" s="68" t="str">
        <f>IFERROR(__xludf.DUMMYFUNCTION("""COMPUTED_VALUE"""),"https://earth.google.com/web/search/-30.9034256259568,-5.5539484302353")</f>
        <v>https://earth.google.com/web/search/-30.9034256259568,-5.5539484302353</v>
      </c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</row>
    <row r="500">
      <c r="A500" s="69" t="str">
        <f>IFERROR(__xludf.DUMMYFUNCTION("""COMPUTED_VALUE"""),"-30.9033477135695")</f>
        <v>-30.9033477135695</v>
      </c>
      <c r="B500" s="61" t="str">
        <f>IFERROR(__xludf.DUMMYFUNCTION("""COMPUTED_VALUE"""),"-55.5396472506684")</f>
        <v>-55.5396472506684</v>
      </c>
      <c r="C500" s="61">
        <f>IFERROR(__xludf.DUMMYFUNCTION("""COMPUTED_VALUE"""),1.0)</f>
        <v>1</v>
      </c>
      <c r="D500" s="61">
        <f>IFERROR(__xludf.DUMMYFUNCTION("""COMPUTED_VALUE"""),283.0)</f>
        <v>283</v>
      </c>
      <c r="E500" s="61">
        <f>IFERROR(__xludf.DUMMYFUNCTION("""COMPUTED_VALUE"""),7.0)</f>
        <v>7</v>
      </c>
      <c r="F500" s="62" t="str">
        <f>IFERROR(__xludf.DUMMYFUNCTION("""COMPUTED_VALUE"""),"https://www.google.com/maps/search/?api=1&amp;query=-30.9033477135695,-55.5396472506684")</f>
        <v>https://www.google.com/maps/search/?api=1&amp;query=-30.9033477135695,-55.5396472506684</v>
      </c>
      <c r="G500" s="63" t="str">
        <f>IFERROR(__xludf.DUMMYFUNCTION("""COMPUTED_VALUE"""),"https://earth.google.com/web/search/-30.9033477135695,-55.5396472506684")</f>
        <v>https://earth.google.com/web/search/-30.9033477135695,-55.5396472506684</v>
      </c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</row>
    <row r="501">
      <c r="A501" s="65" t="str">
        <f>IFERROR(__xludf.DUMMYFUNCTION("""COMPUTED_VALUE"""),"-30.9033977785875")</f>
        <v>-30.9033977785875</v>
      </c>
      <c r="B501" s="66" t="str">
        <f>IFERROR(__xludf.DUMMYFUNCTION("""COMPUTED_VALUE"""),"-55.5397947826143")</f>
        <v>-55.5397947826143</v>
      </c>
      <c r="C501" s="66">
        <f>IFERROR(__xludf.DUMMYFUNCTION("""COMPUTED_VALUE"""),1.0)</f>
        <v>1</v>
      </c>
      <c r="D501" s="66">
        <f>IFERROR(__xludf.DUMMYFUNCTION("""COMPUTED_VALUE"""),283.0)</f>
        <v>283</v>
      </c>
      <c r="E501" s="66">
        <f>IFERROR(__xludf.DUMMYFUNCTION("""COMPUTED_VALUE"""),8.0)</f>
        <v>8</v>
      </c>
      <c r="F501" s="67" t="str">
        <f>IFERROR(__xludf.DUMMYFUNCTION("""COMPUTED_VALUE"""),"https://www.google.com/maps/search/?api=1&amp;query=-30.9033977785875,-55.5397947826143")</f>
        <v>https://www.google.com/maps/search/?api=1&amp;query=-30.9033977785875,-55.5397947826143</v>
      </c>
      <c r="G501" s="68" t="str">
        <f>IFERROR(__xludf.DUMMYFUNCTION("""COMPUTED_VALUE"""),"https://earth.google.com/web/search/-30.9033977785875,-55.5397947826143")</f>
        <v>https://earth.google.com/web/search/-30.9033977785875,-55.5397947826143</v>
      </c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</row>
    <row r="502">
      <c r="A502" s="69" t="str">
        <f>IFERROR(__xludf.DUMMYFUNCTION("""COMPUTED_VALUE"""),"-30.9035298570783")</f>
        <v>-30.9035298570783</v>
      </c>
      <c r="B502" s="61" t="str">
        <f>IFERROR(__xludf.DUMMYFUNCTION("""COMPUTED_VALUE"""),"-55.5398647275713")</f>
        <v>-55.5398647275713</v>
      </c>
      <c r="C502" s="61">
        <f>IFERROR(__xludf.DUMMYFUNCTION("""COMPUTED_VALUE"""),1.0)</f>
        <v>1</v>
      </c>
      <c r="D502" s="61">
        <f>IFERROR(__xludf.DUMMYFUNCTION("""COMPUTED_VALUE"""),283.0)</f>
        <v>283</v>
      </c>
      <c r="E502" s="61">
        <f>IFERROR(__xludf.DUMMYFUNCTION("""COMPUTED_VALUE"""),9.0)</f>
        <v>9</v>
      </c>
      <c r="F502" s="62" t="str">
        <f>IFERROR(__xludf.DUMMYFUNCTION("""COMPUTED_VALUE"""),"https://www.google.com/maps/search/?api=1&amp;query=-30.9035298570783,-55.5398647275713")</f>
        <v>https://www.google.com/maps/search/?api=1&amp;query=-30.9035298570783,-55.5398647275713</v>
      </c>
      <c r="G502" s="63" t="str">
        <f>IFERROR(__xludf.DUMMYFUNCTION("""COMPUTED_VALUE"""),"https://earth.google.com/web/search/-30.9035298570783,-55.5398647275713")</f>
        <v>https://earth.google.com/web/search/-30.9035298570783,-55.5398647275713</v>
      </c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</row>
    <row r="503">
      <c r="A503" s="65" t="str">
        <f>IFERROR(__xludf.DUMMYFUNCTION("""COMPUTED_VALUE"""),"-30.9036922170269")</f>
        <v>-30.9036922170269</v>
      </c>
      <c r="B503" s="66" t="str">
        <f>IFERROR(__xludf.DUMMYFUNCTION("""COMPUTED_VALUE"""),"-55.5400048831511")</f>
        <v>-55.5400048831511</v>
      </c>
      <c r="C503" s="66">
        <f>IFERROR(__xludf.DUMMYFUNCTION("""COMPUTED_VALUE"""),1.0)</f>
        <v>1</v>
      </c>
      <c r="D503" s="66">
        <f>IFERROR(__xludf.DUMMYFUNCTION("""COMPUTED_VALUE"""),283.0)</f>
        <v>283</v>
      </c>
      <c r="E503" s="66">
        <f>IFERROR(__xludf.DUMMYFUNCTION("""COMPUTED_VALUE"""),10.0)</f>
        <v>10</v>
      </c>
      <c r="F503" s="67" t="str">
        <f>IFERROR(__xludf.DUMMYFUNCTION("""COMPUTED_VALUE"""),"https://www.google.com/maps/search/?api=1&amp;query=-30.9036922170269,-55.5400048831511")</f>
        <v>https://www.google.com/maps/search/?api=1&amp;query=-30.9036922170269,-55.5400048831511</v>
      </c>
      <c r="G503" s="68" t="str">
        <f>IFERROR(__xludf.DUMMYFUNCTION("""COMPUTED_VALUE"""),"https://earth.google.com/web/search/-30.9036922170269,-55.5400048831511")</f>
        <v>https://earth.google.com/web/search/-30.9036922170269,-55.5400048831511</v>
      </c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</row>
    <row r="504">
      <c r="A504" s="69" t="str">
        <f>IFERROR(__xludf.DUMMYFUNCTION("""COMPUTED_VALUE"""),"-30.9037687144042")</f>
        <v>-30.9037687144042</v>
      </c>
      <c r="B504" s="61" t="str">
        <f>IFERROR(__xludf.DUMMYFUNCTION("""COMPUTED_VALUE"""),"-55.5400540231878")</f>
        <v>-55.5400540231878</v>
      </c>
      <c r="C504" s="61">
        <f>IFERROR(__xludf.DUMMYFUNCTION("""COMPUTED_VALUE"""),1.0)</f>
        <v>1</v>
      </c>
      <c r="D504" s="61">
        <f>IFERROR(__xludf.DUMMYFUNCTION("""COMPUTED_VALUE"""),283.0)</f>
        <v>283</v>
      </c>
      <c r="E504" s="61">
        <f>IFERROR(__xludf.DUMMYFUNCTION("""COMPUTED_VALUE"""),11.0)</f>
        <v>11</v>
      </c>
      <c r="F504" s="62" t="str">
        <f>IFERROR(__xludf.DUMMYFUNCTION("""COMPUTED_VALUE"""),"https://www.google.com/maps/search/?api=1&amp;query=-30.9037687144042,-55.5400540231878")</f>
        <v>https://www.google.com/maps/search/?api=1&amp;query=-30.9037687144042,-55.5400540231878</v>
      </c>
      <c r="G504" s="63" t="str">
        <f>IFERROR(__xludf.DUMMYFUNCTION("""COMPUTED_VALUE"""),"https://earth.google.com/web/search/-30.9037687144042,-55.5400540231878")</f>
        <v>https://earth.google.com/web/search/-30.9037687144042,-55.5400540231878</v>
      </c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</row>
    <row r="505">
      <c r="A505" s="65" t="str">
        <f>IFERROR(__xludf.DUMMYFUNCTION("""COMPUTED_VALUE"""),"-30.9039722632113")</f>
        <v>-30.9039722632113</v>
      </c>
      <c r="B505" s="66" t="str">
        <f>IFERROR(__xludf.DUMMYFUNCTION("""COMPUTED_VALUE"""),"-55.5401894585791")</f>
        <v>-55.5401894585791</v>
      </c>
      <c r="C505" s="66">
        <f>IFERROR(__xludf.DUMMYFUNCTION("""COMPUTED_VALUE"""),1.0)</f>
        <v>1</v>
      </c>
      <c r="D505" s="66">
        <f>IFERROR(__xludf.DUMMYFUNCTION("""COMPUTED_VALUE"""),283.0)</f>
        <v>283</v>
      </c>
      <c r="E505" s="66">
        <f>IFERROR(__xludf.DUMMYFUNCTION("""COMPUTED_VALUE"""),12.0)</f>
        <v>12</v>
      </c>
      <c r="F505" s="67" t="str">
        <f>IFERROR(__xludf.DUMMYFUNCTION("""COMPUTED_VALUE"""),"https://www.google.com/maps/search/?api=1&amp;query=-30.9039722632113,-55.5401894585791")</f>
        <v>https://www.google.com/maps/search/?api=1&amp;query=-30.9039722632113,-55.5401894585791</v>
      </c>
      <c r="G505" s="68" t="str">
        <f>IFERROR(__xludf.DUMMYFUNCTION("""COMPUTED_VALUE"""),"https://earth.google.com/web/search/-30.9039722632113,-55.5401894585791")</f>
        <v>https://earth.google.com/web/search/-30.9039722632113,-55.5401894585791</v>
      </c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</row>
    <row r="506">
      <c r="A506" s="69" t="str">
        <f>IFERROR(__xludf.DUMMYFUNCTION("""COMPUTED_VALUE"""),"-30.9035755751228")</f>
        <v>-30.9035755751228</v>
      </c>
      <c r="B506" s="61" t="str">
        <f>IFERROR(__xludf.DUMMYFUNCTION("""COMPUTED_VALUE"""),"-55.5410598382624")</f>
        <v>-55.5410598382624</v>
      </c>
      <c r="C506" s="61">
        <f>IFERROR(__xludf.DUMMYFUNCTION("""COMPUTED_VALUE"""),1.0)</f>
        <v>1</v>
      </c>
      <c r="D506" s="61">
        <f>IFERROR(__xludf.DUMMYFUNCTION("""COMPUTED_VALUE"""),282.0)</f>
        <v>282</v>
      </c>
      <c r="E506" s="61">
        <f>IFERROR(__xludf.DUMMYFUNCTION("""COMPUTED_VALUE"""),1.0)</f>
        <v>1</v>
      </c>
      <c r="F506" s="62" t="str">
        <f>IFERROR(__xludf.DUMMYFUNCTION("""COMPUTED_VALUE"""),"https://www.google.com/maps/search/?api=1&amp;query=-30.9035755751228,-55.5410598382624")</f>
        <v>https://www.google.com/maps/search/?api=1&amp;query=-30.9035755751228,-55.5410598382624</v>
      </c>
      <c r="G506" s="63" t="str">
        <f>IFERROR(__xludf.DUMMYFUNCTION("""COMPUTED_VALUE"""),"https://earth.google.com/web/search/-30.9035755751228,-55.5410598382624")</f>
        <v>https://earth.google.com/web/search/-30.9035755751228,-55.5410598382624</v>
      </c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</row>
    <row r="507">
      <c r="A507" s="65" t="str">
        <f>IFERROR(__xludf.DUMMYFUNCTION("""COMPUTED_VALUE"""),"-30.9036796872359")</f>
        <v>-30.9036796872359</v>
      </c>
      <c r="B507" s="66" t="str">
        <f>IFERROR(__xludf.DUMMYFUNCTION("""COMPUTED_VALUE"""),"-55.5408434672363")</f>
        <v>-55.5408434672363</v>
      </c>
      <c r="C507" s="66">
        <f>IFERROR(__xludf.DUMMYFUNCTION("""COMPUTED_VALUE"""),1.0)</f>
        <v>1</v>
      </c>
      <c r="D507" s="66">
        <f>IFERROR(__xludf.DUMMYFUNCTION("""COMPUTED_VALUE"""),282.0)</f>
        <v>282</v>
      </c>
      <c r="E507" s="66">
        <f>IFERROR(__xludf.DUMMYFUNCTION("""COMPUTED_VALUE"""),2.0)</f>
        <v>2</v>
      </c>
      <c r="F507" s="67" t="str">
        <f>IFERROR(__xludf.DUMMYFUNCTION("""COMPUTED_VALUE"""),"https://www.google.com/maps/search/?api=1&amp;query=-30.9036796872359,-55.5408434672363")</f>
        <v>https://www.google.com/maps/search/?api=1&amp;query=-30.9036796872359,-55.5408434672363</v>
      </c>
      <c r="G507" s="68" t="str">
        <f>IFERROR(__xludf.DUMMYFUNCTION("""COMPUTED_VALUE"""),"https://earth.google.com/web/search/-30.9036796872359,-55.5408434672363")</f>
        <v>https://earth.google.com/web/search/-30.9036796872359,-55.5408434672363</v>
      </c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</row>
    <row r="508">
      <c r="A508" s="69" t="str">
        <f>IFERROR(__xludf.DUMMYFUNCTION("""COMPUTED_VALUE"""),"-3.0903733406014")</f>
        <v>-3.0903733406014</v>
      </c>
      <c r="B508" s="61" t="str">
        <f>IFERROR(__xludf.DUMMYFUNCTION("""COMPUTED_VALUE"""),"-5.5540761634766")</f>
        <v>-5.5540761634766</v>
      </c>
      <c r="C508" s="61">
        <f>IFERROR(__xludf.DUMMYFUNCTION("""COMPUTED_VALUE"""),1.0)</f>
        <v>1</v>
      </c>
      <c r="D508" s="61">
        <f>IFERROR(__xludf.DUMMYFUNCTION("""COMPUTED_VALUE"""),282.0)</f>
        <v>282</v>
      </c>
      <c r="E508" s="61">
        <f>IFERROR(__xludf.DUMMYFUNCTION("""COMPUTED_VALUE"""),3.0)</f>
        <v>3</v>
      </c>
      <c r="F508" s="62" t="str">
        <f>IFERROR(__xludf.DUMMYFUNCTION("""COMPUTED_VALUE"""),"https://www.google.com/maps/search/?api=1&amp;query=-3.0903733406014,-5.5540761634766")</f>
        <v>https://www.google.com/maps/search/?api=1&amp;query=-3.0903733406014,-5.5540761634766</v>
      </c>
      <c r="G508" s="63" t="str">
        <f>IFERROR(__xludf.DUMMYFUNCTION("""COMPUTED_VALUE"""),"https://earth.google.com/web/search/-3.0903733406014,-5.5540761634766")</f>
        <v>https://earth.google.com/web/search/-3.0903733406014,-5.5540761634766</v>
      </c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</row>
    <row r="509">
      <c r="A509" s="65" t="str">
        <f>IFERROR(__xludf.DUMMYFUNCTION("""COMPUTED_VALUE"""),"-3.0903801809394")</f>
        <v>-3.0903801809394</v>
      </c>
      <c r="B509" s="66" t="str">
        <f>IFERROR(__xludf.DUMMYFUNCTION("""COMPUTED_VALUE"""),"-55.5406105990454")</f>
        <v>-55.5406105990454</v>
      </c>
      <c r="C509" s="66">
        <f>IFERROR(__xludf.DUMMYFUNCTION("""COMPUTED_VALUE"""),1.0)</f>
        <v>1</v>
      </c>
      <c r="D509" s="66">
        <f>IFERROR(__xludf.DUMMYFUNCTION("""COMPUTED_VALUE"""),282.0)</f>
        <v>282</v>
      </c>
      <c r="E509" s="66">
        <f>IFERROR(__xludf.DUMMYFUNCTION("""COMPUTED_VALUE"""),4.0)</f>
        <v>4</v>
      </c>
      <c r="F509" s="67" t="str">
        <f>IFERROR(__xludf.DUMMYFUNCTION("""COMPUTED_VALUE"""),"https://www.google.com/maps/search/?api=1&amp;query=-3.0903801809394,-55.5406105990454")</f>
        <v>https://www.google.com/maps/search/?api=1&amp;query=-3.0903801809394,-55.5406105990454</v>
      </c>
      <c r="G509" s="68" t="str">
        <f>IFERROR(__xludf.DUMMYFUNCTION("""COMPUTED_VALUE"""),"https://earth.google.com/web/search/-3.0903801809394,-55.5406105990454")</f>
        <v>https://earth.google.com/web/search/-3.0903801809394,-55.5406105990454</v>
      </c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</row>
    <row r="510">
      <c r="A510" s="69" t="str">
        <f>IFERROR(__xludf.DUMMYFUNCTION("""COMPUTED_VALUE"""),"-3.0903736928207")</f>
        <v>-3.0903736928207</v>
      </c>
      <c r="B510" s="61" t="str">
        <f>IFERROR(__xludf.DUMMYFUNCTION("""COMPUTED_VALUE"""),"-55.5401578234296")</f>
        <v>-55.5401578234296</v>
      </c>
      <c r="C510" s="61">
        <f>IFERROR(__xludf.DUMMYFUNCTION("""COMPUTED_VALUE"""),1.0)</f>
        <v>1</v>
      </c>
      <c r="D510" s="61">
        <f>IFERROR(__xludf.DUMMYFUNCTION("""COMPUTED_VALUE"""),282.0)</f>
        <v>282</v>
      </c>
      <c r="E510" s="61">
        <f>IFERROR(__xludf.DUMMYFUNCTION("""COMPUTED_VALUE"""),5.0)</f>
        <v>5</v>
      </c>
      <c r="F510" s="62" t="str">
        <f>IFERROR(__xludf.DUMMYFUNCTION("""COMPUTED_VALUE"""),"https://www.google.com/maps/search/?api=1&amp;query=-3.0903736928207,-55.5401578234296")</f>
        <v>https://www.google.com/maps/search/?api=1&amp;query=-3.0903736928207,-55.5401578234296</v>
      </c>
      <c r="G510" s="63" t="str">
        <f>IFERROR(__xludf.DUMMYFUNCTION("""COMPUTED_VALUE"""),"https://earth.google.com/web/search/-3.0903736928207,-55.5401578234296")</f>
        <v>https://earth.google.com/web/search/-3.0903736928207,-55.5401578234296</v>
      </c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</row>
    <row r="511">
      <c r="A511" s="65" t="str">
        <f>IFERROR(__xludf.DUMMYFUNCTION("""COMPUTED_VALUE"""),"-30.9035803907235")</f>
        <v>-30.9035803907235</v>
      </c>
      <c r="B511" s="66" t="str">
        <f>IFERROR(__xludf.DUMMYFUNCTION("""COMPUTED_VALUE"""),"-55.5400592483037")</f>
        <v>-55.5400592483037</v>
      </c>
      <c r="C511" s="66">
        <f>IFERROR(__xludf.DUMMYFUNCTION("""COMPUTED_VALUE"""),1.0)</f>
        <v>1</v>
      </c>
      <c r="D511" s="66">
        <f>IFERROR(__xludf.DUMMYFUNCTION("""COMPUTED_VALUE"""),282.0)</f>
        <v>282</v>
      </c>
      <c r="E511" s="66">
        <f>IFERROR(__xludf.DUMMYFUNCTION("""COMPUTED_VALUE"""),6.0)</f>
        <v>6</v>
      </c>
      <c r="F511" s="67" t="str">
        <f>IFERROR(__xludf.DUMMYFUNCTION("""COMPUTED_VALUE"""),"https://www.google.com/maps/search/?api=1&amp;query=-30.9035803907235,-55.5400592483037")</f>
        <v>https://www.google.com/maps/search/?api=1&amp;query=-30.9035803907235,-55.5400592483037</v>
      </c>
      <c r="G511" s="68" t="str">
        <f>IFERROR(__xludf.DUMMYFUNCTION("""COMPUTED_VALUE"""),"https://earth.google.com/web/search/-30.9035803907235,-55.5400592483037")</f>
        <v>https://earth.google.com/web/search/-30.9035803907235,-55.5400592483037</v>
      </c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</row>
    <row r="512">
      <c r="A512" s="69" t="str">
        <f>IFERROR(__xludf.DUMMYFUNCTION("""COMPUTED_VALUE"""),"-30.9034730285332")</f>
        <v>-30.9034730285332</v>
      </c>
      <c r="B512" s="61" t="str">
        <f>IFERROR(__xludf.DUMMYFUNCTION("""COMPUTED_VALUE"""),"-55.5399916402168")</f>
        <v>-55.5399916402168</v>
      </c>
      <c r="C512" s="61">
        <f>IFERROR(__xludf.DUMMYFUNCTION("""COMPUTED_VALUE"""),1.0)</f>
        <v>1</v>
      </c>
      <c r="D512" s="61">
        <f>IFERROR(__xludf.DUMMYFUNCTION("""COMPUTED_VALUE"""),282.0)</f>
        <v>282</v>
      </c>
      <c r="E512" s="61">
        <f>IFERROR(__xludf.DUMMYFUNCTION("""COMPUTED_VALUE"""),7.0)</f>
        <v>7</v>
      </c>
      <c r="F512" s="62" t="str">
        <f>IFERROR(__xludf.DUMMYFUNCTION("""COMPUTED_VALUE"""),"https://www.google.com/maps/search/?api=1&amp;query=-30.9034730285332,-55.5399916402168")</f>
        <v>https://www.google.com/maps/search/?api=1&amp;query=-30.9034730285332,-55.5399916402168</v>
      </c>
      <c r="G512" s="63" t="str">
        <f>IFERROR(__xludf.DUMMYFUNCTION("""COMPUTED_VALUE"""),"https://earth.google.com/web/search/-30.9034730285332,-55.5399916402168")</f>
        <v>https://earth.google.com/web/search/-30.9034730285332,-55.5399916402168</v>
      </c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</row>
    <row r="513">
      <c r="A513" s="65" t="str">
        <f>IFERROR(__xludf.DUMMYFUNCTION("""COMPUTED_VALUE"""),"-30.9033373521162")</f>
        <v>-30.9033373521162</v>
      </c>
      <c r="B513" s="66" t="str">
        <f>IFERROR(__xludf.DUMMYFUNCTION("""COMPUTED_VALUE"""),"-55.5398665485639")</f>
        <v>-55.5398665485639</v>
      </c>
      <c r="C513" s="66">
        <f>IFERROR(__xludf.DUMMYFUNCTION("""COMPUTED_VALUE"""),1.0)</f>
        <v>1</v>
      </c>
      <c r="D513" s="66">
        <f>IFERROR(__xludf.DUMMYFUNCTION("""COMPUTED_VALUE"""),282.0)</f>
        <v>282</v>
      </c>
      <c r="E513" s="66">
        <f>IFERROR(__xludf.DUMMYFUNCTION("""COMPUTED_VALUE"""),8.0)</f>
        <v>8</v>
      </c>
      <c r="F513" s="67" t="str">
        <f>IFERROR(__xludf.DUMMYFUNCTION("""COMPUTED_VALUE"""),"https://www.google.com/maps/search/?api=1&amp;query=-30.9033373521162,-55.5398665485639")</f>
        <v>https://www.google.com/maps/search/?api=1&amp;query=-30.9033373521162,-55.5398665485639</v>
      </c>
      <c r="G513" s="68" t="str">
        <f>IFERROR(__xludf.DUMMYFUNCTION("""COMPUTED_VALUE"""),"https://earth.google.com/web/search/-30.9033373521162,-55.5398665485639")</f>
        <v>https://earth.google.com/web/search/-30.9033373521162,-55.5398665485639</v>
      </c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</row>
    <row r="514">
      <c r="A514" s="69" t="str">
        <f>IFERROR(__xludf.DUMMYFUNCTION("""COMPUTED_VALUE"""),"-30.9030761279584")</f>
        <v>-30.9030761279584</v>
      </c>
      <c r="B514" s="61" t="str">
        <f>IFERROR(__xludf.DUMMYFUNCTION("""COMPUTED_VALUE"""),"-55.5401325484633")</f>
        <v>-55.5401325484633</v>
      </c>
      <c r="C514" s="61">
        <f>IFERROR(__xludf.DUMMYFUNCTION("""COMPUTED_VALUE"""),1.0)</f>
        <v>1</v>
      </c>
      <c r="D514" s="61">
        <f>IFERROR(__xludf.DUMMYFUNCTION("""COMPUTED_VALUE"""),282.0)</f>
        <v>282</v>
      </c>
      <c r="E514" s="61">
        <f>IFERROR(__xludf.DUMMYFUNCTION("""COMPUTED_VALUE"""),9.0)</f>
        <v>9</v>
      </c>
      <c r="F514" s="62" t="str">
        <f>IFERROR(__xludf.DUMMYFUNCTION("""COMPUTED_VALUE"""),"https://www.google.com/maps/search/?api=1&amp;query=-30.9030761279584,-55.5401325484633")</f>
        <v>https://www.google.com/maps/search/?api=1&amp;query=-30.9030761279584,-55.5401325484633</v>
      </c>
      <c r="G514" s="63" t="str">
        <f>IFERROR(__xludf.DUMMYFUNCTION("""COMPUTED_VALUE"""),"https://earth.google.com/web/search/-30.9030761279584,-55.5401325484633")</f>
        <v>https://earth.google.com/web/search/-30.9030761279584,-55.5401325484633</v>
      </c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</row>
    <row r="515">
      <c r="A515" s="65" t="str">
        <f>IFERROR(__xludf.DUMMYFUNCTION("""COMPUTED_VALUE"""),"-30.9030398260381")</f>
        <v>-30.9030398260381</v>
      </c>
      <c r="B515" s="66" t="str">
        <f>IFERROR(__xludf.DUMMYFUNCTION("""COMPUTED_VALUE"""),"-55.5407958025151")</f>
        <v>-55.5407958025151</v>
      </c>
      <c r="C515" s="66">
        <f>IFERROR(__xludf.DUMMYFUNCTION("""COMPUTED_VALUE"""),1.0)</f>
        <v>1</v>
      </c>
      <c r="D515" s="66">
        <f>IFERROR(__xludf.DUMMYFUNCTION("""COMPUTED_VALUE"""),282.0)</f>
        <v>282</v>
      </c>
      <c r="E515" s="66">
        <f>IFERROR(__xludf.DUMMYFUNCTION("""COMPUTED_VALUE"""),10.0)</f>
        <v>10</v>
      </c>
      <c r="F515" s="67" t="str">
        <f>IFERROR(__xludf.DUMMYFUNCTION("""COMPUTED_VALUE"""),"https://www.google.com/maps/search/?api=1&amp;query=-30.9030398260381,-55.5407958025151")</f>
        <v>https://www.google.com/maps/search/?api=1&amp;query=-30.9030398260381,-55.5407958025151</v>
      </c>
      <c r="G515" s="68" t="str">
        <f>IFERROR(__xludf.DUMMYFUNCTION("""COMPUTED_VALUE"""),"https://earth.google.com/web/search/-30.9030398260381,-55.5407958025151")</f>
        <v>https://earth.google.com/web/search/-30.9030398260381,-55.5407958025151</v>
      </c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</row>
    <row r="516">
      <c r="A516" s="69" t="str">
        <f>IFERROR(__xludf.DUMMYFUNCTION("""COMPUTED_VALUE"""),"-30.9031159196487")</f>
        <v>-30.9031159196487</v>
      </c>
      <c r="B516" s="61" t="str">
        <f>IFERROR(__xludf.DUMMYFUNCTION("""COMPUTED_VALUE"""),"-5.5540841985577")</f>
        <v>-5.5540841985577</v>
      </c>
      <c r="C516" s="61">
        <f>IFERROR(__xludf.DUMMYFUNCTION("""COMPUTED_VALUE"""),1.0)</f>
        <v>1</v>
      </c>
      <c r="D516" s="61">
        <f>IFERROR(__xludf.DUMMYFUNCTION("""COMPUTED_VALUE"""),282.0)</f>
        <v>282</v>
      </c>
      <c r="E516" s="61">
        <f>IFERROR(__xludf.DUMMYFUNCTION("""COMPUTED_VALUE"""),11.0)</f>
        <v>11</v>
      </c>
      <c r="F516" s="62" t="str">
        <f>IFERROR(__xludf.DUMMYFUNCTION("""COMPUTED_VALUE"""),"https://www.google.com/maps/search/?api=1&amp;query=-30.9031159196487,-5.5540841985577")</f>
        <v>https://www.google.com/maps/search/?api=1&amp;query=-30.9031159196487,-5.5540841985577</v>
      </c>
      <c r="G516" s="63" t="str">
        <f>IFERROR(__xludf.DUMMYFUNCTION("""COMPUTED_VALUE"""),"https://earth.google.com/web/search/-30.9031159196487,-5.5540841985577")</f>
        <v>https://earth.google.com/web/search/-30.9031159196487,-5.5540841985577</v>
      </c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</row>
    <row r="517">
      <c r="A517" s="65" t="str">
        <f>IFERROR(__xludf.DUMMYFUNCTION("""COMPUTED_VALUE"""),"-30.9033527559365")</f>
        <v>-30.9033527559365</v>
      </c>
      <c r="B517" s="66" t="str">
        <f>IFERROR(__xludf.DUMMYFUNCTION("""COMPUTED_VALUE"""),"-55.5410217249092")</f>
        <v>-55.5410217249092</v>
      </c>
      <c r="C517" s="66">
        <f>IFERROR(__xludf.DUMMYFUNCTION("""COMPUTED_VALUE"""),1.0)</f>
        <v>1</v>
      </c>
      <c r="D517" s="66">
        <f>IFERROR(__xludf.DUMMYFUNCTION("""COMPUTED_VALUE"""),282.0)</f>
        <v>282</v>
      </c>
      <c r="E517" s="66">
        <f>IFERROR(__xludf.DUMMYFUNCTION("""COMPUTED_VALUE"""),12.0)</f>
        <v>12</v>
      </c>
      <c r="F517" s="67" t="str">
        <f>IFERROR(__xludf.DUMMYFUNCTION("""COMPUTED_VALUE"""),"https://www.google.com/maps/search/?api=1&amp;query=-30.9033527559365,-55.5410217249092")</f>
        <v>https://www.google.com/maps/search/?api=1&amp;query=-30.9033527559365,-55.5410217249092</v>
      </c>
      <c r="G517" s="68" t="str">
        <f>IFERROR(__xludf.DUMMYFUNCTION("""COMPUTED_VALUE"""),"https://earth.google.com/web/search/-30.9033527559365,-55.5410217249092")</f>
        <v>https://earth.google.com/web/search/-30.9033527559365,-55.5410217249092</v>
      </c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</row>
    <row r="518">
      <c r="A518" s="69" t="str">
        <f>IFERROR(__xludf.DUMMYFUNCTION("""COMPUTED_VALUE"""),"-30.9034768957778")</f>
        <v>-30.9034768957778</v>
      </c>
      <c r="B518" s="61" t="str">
        <f>IFERROR(__xludf.DUMMYFUNCTION("""COMPUTED_VALUE"""),"-55.5411030071081")</f>
        <v>-55.5411030071081</v>
      </c>
      <c r="C518" s="61">
        <f>IFERROR(__xludf.DUMMYFUNCTION("""COMPUTED_VALUE"""),1.0)</f>
        <v>1</v>
      </c>
      <c r="D518" s="61">
        <f>IFERROR(__xludf.DUMMYFUNCTION("""COMPUTED_VALUE"""),282.0)</f>
        <v>282</v>
      </c>
      <c r="E518" s="61">
        <f>IFERROR(__xludf.DUMMYFUNCTION("""COMPUTED_VALUE"""),13.0)</f>
        <v>13</v>
      </c>
      <c r="F518" s="62" t="str">
        <f>IFERROR(__xludf.DUMMYFUNCTION("""COMPUTED_VALUE"""),"https://www.google.com/maps/search/?api=1&amp;query=-30.9034768957778,-55.5411030071081")</f>
        <v>https://www.google.com/maps/search/?api=1&amp;query=-30.9034768957778,-55.5411030071081</v>
      </c>
      <c r="G518" s="63" t="str">
        <f>IFERROR(__xludf.DUMMYFUNCTION("""COMPUTED_VALUE"""),"https://earth.google.com/web/search/-30.9034768957778,-55.5411030071081")</f>
        <v>https://earth.google.com/web/search/-30.9034768957778,-55.5411030071081</v>
      </c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</row>
    <row r="519">
      <c r="A519" s="65" t="str">
        <f>IFERROR(__xludf.DUMMYFUNCTION("""COMPUTED_VALUE"""),"-30.9030728655791")</f>
        <v>-30.9030728655791</v>
      </c>
      <c r="B519" s="66" t="str">
        <f>IFERROR(__xludf.DUMMYFUNCTION("""COMPUTED_VALUE"""),"-55.5419475704084")</f>
        <v>-55.5419475704084</v>
      </c>
      <c r="C519" s="66">
        <f>IFERROR(__xludf.DUMMYFUNCTION("""COMPUTED_VALUE"""),1.0)</f>
        <v>1</v>
      </c>
      <c r="D519" s="66">
        <f>IFERROR(__xludf.DUMMYFUNCTION("""COMPUTED_VALUE"""),281.0)</f>
        <v>281</v>
      </c>
      <c r="E519" s="66">
        <f>IFERROR(__xludf.DUMMYFUNCTION("""COMPUTED_VALUE"""),1.0)</f>
        <v>1</v>
      </c>
      <c r="F519" s="67" t="str">
        <f>IFERROR(__xludf.DUMMYFUNCTION("""COMPUTED_VALUE"""),"https://www.google.com/maps/search/?api=1&amp;query=-30.9030728655791,-55.5419475704084")</f>
        <v>https://www.google.com/maps/search/?api=1&amp;query=-30.9030728655791,-55.5419475704084</v>
      </c>
      <c r="G519" s="68" t="str">
        <f>IFERROR(__xludf.DUMMYFUNCTION("""COMPUTED_VALUE"""),"https://earth.google.com/web/search/-30.9030728655791,-55.5419475704084")</f>
        <v>https://earth.google.com/web/search/-30.9030728655791,-55.5419475704084</v>
      </c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</row>
    <row r="520">
      <c r="A520" s="69" t="str">
        <f>IFERROR(__xludf.DUMMYFUNCTION("""COMPUTED_VALUE"""),"-30.9031426499662")</f>
        <v>-30.9031426499662</v>
      </c>
      <c r="B520" s="61" t="str">
        <f>IFERROR(__xludf.DUMMYFUNCTION("""COMPUTED_VALUE"""),"-55.5418565518897")</f>
        <v>-55.5418565518897</v>
      </c>
      <c r="C520" s="61">
        <f>IFERROR(__xludf.DUMMYFUNCTION("""COMPUTED_VALUE"""),1.0)</f>
        <v>1</v>
      </c>
      <c r="D520" s="61">
        <f>IFERROR(__xludf.DUMMYFUNCTION("""COMPUTED_VALUE"""),281.0)</f>
        <v>281</v>
      </c>
      <c r="E520" s="61">
        <f>IFERROR(__xludf.DUMMYFUNCTION("""COMPUTED_VALUE"""),2.0)</f>
        <v>2</v>
      </c>
      <c r="F520" s="62" t="str">
        <f>IFERROR(__xludf.DUMMYFUNCTION("""COMPUTED_VALUE"""),"https://www.google.com/maps/search/?api=1&amp;query=-30.9031426499662,-55.5418565518897")</f>
        <v>https://www.google.com/maps/search/?api=1&amp;query=-30.9031426499662,-55.5418565518897</v>
      </c>
      <c r="G520" s="63" t="str">
        <f>IFERROR(__xludf.DUMMYFUNCTION("""COMPUTED_VALUE"""),"https://earth.google.com/web/search/-30.9031426499662,-55.5418565518897")</f>
        <v>https://earth.google.com/web/search/-30.9031426499662,-55.5418565518897</v>
      </c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</row>
    <row r="521">
      <c r="A521" s="65" t="str">
        <f>IFERROR(__xludf.DUMMYFUNCTION("""COMPUTED_VALUE"""),"-30.9031820468896")</f>
        <v>-30.9031820468896</v>
      </c>
      <c r="B521" s="66" t="str">
        <f>IFERROR(__xludf.DUMMYFUNCTION("""COMPUTED_VALUE"""),"-55.5417755167017")</f>
        <v>-55.5417755167017</v>
      </c>
      <c r="C521" s="66">
        <f>IFERROR(__xludf.DUMMYFUNCTION("""COMPUTED_VALUE"""),1.0)</f>
        <v>1</v>
      </c>
      <c r="D521" s="66">
        <f>IFERROR(__xludf.DUMMYFUNCTION("""COMPUTED_VALUE"""),281.0)</f>
        <v>281</v>
      </c>
      <c r="E521" s="66">
        <f>IFERROR(__xludf.DUMMYFUNCTION("""COMPUTED_VALUE"""),3.0)</f>
        <v>3</v>
      </c>
      <c r="F521" s="67" t="str">
        <f>IFERROR(__xludf.DUMMYFUNCTION("""COMPUTED_VALUE"""),"https://www.google.com/maps/search/?api=1&amp;query=-30.9031820468896,-55.5417755167017")</f>
        <v>https://www.google.com/maps/search/?api=1&amp;query=-30.9031820468896,-55.5417755167017</v>
      </c>
      <c r="G521" s="68" t="str">
        <f>IFERROR(__xludf.DUMMYFUNCTION("""COMPUTED_VALUE"""),"https://earth.google.com/web/search/-30.9031820468896,-55.5417755167017")</f>
        <v>https://earth.google.com/web/search/-30.9031820468896,-55.5417755167017</v>
      </c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</row>
    <row r="522">
      <c r="A522" s="69" t="str">
        <f>IFERROR(__xludf.DUMMYFUNCTION("""COMPUTED_VALUE"""),"-30.9032298258693")</f>
        <v>-30.9032298258693</v>
      </c>
      <c r="B522" s="61" t="str">
        <f>IFERROR(__xludf.DUMMYFUNCTION("""COMPUTED_VALUE"""),"-5.5541680054566")</f>
        <v>-5.5541680054566</v>
      </c>
      <c r="C522" s="61">
        <f>IFERROR(__xludf.DUMMYFUNCTION("""COMPUTED_VALUE"""),1.0)</f>
        <v>1</v>
      </c>
      <c r="D522" s="61">
        <f>IFERROR(__xludf.DUMMYFUNCTION("""COMPUTED_VALUE"""),281.0)</f>
        <v>281</v>
      </c>
      <c r="E522" s="61">
        <f>IFERROR(__xludf.DUMMYFUNCTION("""COMPUTED_VALUE"""),4.0)</f>
        <v>4</v>
      </c>
      <c r="F522" s="62" t="str">
        <f>IFERROR(__xludf.DUMMYFUNCTION("""COMPUTED_VALUE"""),"https://www.google.com/maps/search/?api=1&amp;query=-30.9032298258693,-5.5541680054566")</f>
        <v>https://www.google.com/maps/search/?api=1&amp;query=-30.9032298258693,-5.5541680054566</v>
      </c>
      <c r="G522" s="63" t="str">
        <f>IFERROR(__xludf.DUMMYFUNCTION("""COMPUTED_VALUE"""),"https://earth.google.com/web/search/-30.9032298258693,-5.5541680054566")</f>
        <v>https://earth.google.com/web/search/-30.9032298258693,-5.5541680054566</v>
      </c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</row>
    <row r="523">
      <c r="A523" s="65" t="str">
        <f>IFERROR(__xludf.DUMMYFUNCTION("""COMPUTED_VALUE"""),"-30.9032810242142")</f>
        <v>-30.9032810242142</v>
      </c>
      <c r="B523" s="66" t="str">
        <f>IFERROR(__xludf.DUMMYFUNCTION("""COMPUTED_VALUE"""),"-55.5416237848488")</f>
        <v>-55.5416237848488</v>
      </c>
      <c r="C523" s="66">
        <f>IFERROR(__xludf.DUMMYFUNCTION("""COMPUTED_VALUE"""),1.0)</f>
        <v>1</v>
      </c>
      <c r="D523" s="66">
        <f>IFERROR(__xludf.DUMMYFUNCTION("""COMPUTED_VALUE"""),281.0)</f>
        <v>281</v>
      </c>
      <c r="E523" s="66">
        <f>IFERROR(__xludf.DUMMYFUNCTION("""COMPUTED_VALUE"""),5.0)</f>
        <v>5</v>
      </c>
      <c r="F523" s="67" t="str">
        <f>IFERROR(__xludf.DUMMYFUNCTION("""COMPUTED_VALUE"""),"https://www.google.com/maps/search/?api=1&amp;query=-30.9032810242142,-55.5416237848488")</f>
        <v>https://www.google.com/maps/search/?api=1&amp;query=-30.9032810242142,-55.5416237848488</v>
      </c>
      <c r="G523" s="68" t="str">
        <f>IFERROR(__xludf.DUMMYFUNCTION("""COMPUTED_VALUE"""),"https://earth.google.com/web/search/-30.9032810242142,-55.5416237848488")</f>
        <v>https://earth.google.com/web/search/-30.9032810242142,-55.5416237848488</v>
      </c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</row>
    <row r="524">
      <c r="A524" s="69" t="str">
        <f>IFERROR(__xludf.DUMMYFUNCTION("""COMPUTED_VALUE"""),"-3.0903307677808")</f>
        <v>-3.0903307677808</v>
      </c>
      <c r="B524" s="61" t="str">
        <f>IFERROR(__xludf.DUMMYFUNCTION("""COMPUTED_VALUE"""),"-55.5415318356761")</f>
        <v>-55.5415318356761</v>
      </c>
      <c r="C524" s="61">
        <f>IFERROR(__xludf.DUMMYFUNCTION("""COMPUTED_VALUE"""),1.0)</f>
        <v>1</v>
      </c>
      <c r="D524" s="61">
        <f>IFERROR(__xludf.DUMMYFUNCTION("""COMPUTED_VALUE"""),281.0)</f>
        <v>281</v>
      </c>
      <c r="E524" s="61">
        <f>IFERROR(__xludf.DUMMYFUNCTION("""COMPUTED_VALUE"""),6.0)</f>
        <v>6</v>
      </c>
      <c r="F524" s="62" t="str">
        <f>IFERROR(__xludf.DUMMYFUNCTION("""COMPUTED_VALUE"""),"https://www.google.com/maps/search/?api=1&amp;query=-3.0903307677808,-55.5415318356761")</f>
        <v>https://www.google.com/maps/search/?api=1&amp;query=-3.0903307677808,-55.5415318356761</v>
      </c>
      <c r="G524" s="63" t="str">
        <f>IFERROR(__xludf.DUMMYFUNCTION("""COMPUTED_VALUE"""),"https://earth.google.com/web/search/-3.0903307677808,-55.5415318356761")</f>
        <v>https://earth.google.com/web/search/-3.0903307677808,-55.5415318356761</v>
      </c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</row>
    <row r="525">
      <c r="A525" s="65" t="str">
        <f>IFERROR(__xludf.DUMMYFUNCTION("""COMPUTED_VALUE"""),"-30.9033918459076")</f>
        <v>-30.9033918459076</v>
      </c>
      <c r="B525" s="66" t="str">
        <f>IFERROR(__xludf.DUMMYFUNCTION("""COMPUTED_VALUE"""),"-55.5413866578831")</f>
        <v>-55.5413866578831</v>
      </c>
      <c r="C525" s="66">
        <f>IFERROR(__xludf.DUMMYFUNCTION("""COMPUTED_VALUE"""),1.0)</f>
        <v>1</v>
      </c>
      <c r="D525" s="66">
        <f>IFERROR(__xludf.DUMMYFUNCTION("""COMPUTED_VALUE"""),281.0)</f>
        <v>281</v>
      </c>
      <c r="E525" s="66">
        <f>IFERROR(__xludf.DUMMYFUNCTION("""COMPUTED_VALUE"""),6.0)</f>
        <v>6</v>
      </c>
      <c r="F525" s="67" t="str">
        <f>IFERROR(__xludf.DUMMYFUNCTION("""COMPUTED_VALUE"""),"https://www.google.com/maps/search/?api=1&amp;query=-30.9033918459076,-55.5413866578831")</f>
        <v>https://www.google.com/maps/search/?api=1&amp;query=-30.9033918459076,-55.5413866578831</v>
      </c>
      <c r="G525" s="68" t="str">
        <f>IFERROR(__xludf.DUMMYFUNCTION("""COMPUTED_VALUE"""),"https://earth.google.com/web/search/-30.9033918459076,-55.5413866578831")</f>
        <v>https://earth.google.com/web/search/-30.9033918459076,-55.5413866578831</v>
      </c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</row>
    <row r="526">
      <c r="A526" s="69" t="str">
        <f>IFERROR(__xludf.DUMMYFUNCTION("""COMPUTED_VALUE"""),"-30.9028890138837")</f>
        <v>-30.9028890138837</v>
      </c>
      <c r="B526" s="61" t="str">
        <f>IFERROR(__xludf.DUMMYFUNCTION("""COMPUTED_VALUE"""),"-55.5407855688435")</f>
        <v>-55.5407855688435</v>
      </c>
      <c r="C526" s="61">
        <f>IFERROR(__xludf.DUMMYFUNCTION("""COMPUTED_VALUE"""),1.0)</f>
        <v>1</v>
      </c>
      <c r="D526" s="61">
        <f>IFERROR(__xludf.DUMMYFUNCTION("""COMPUTED_VALUE"""),281.0)</f>
        <v>281</v>
      </c>
      <c r="E526" s="61">
        <f>IFERROR(__xludf.DUMMYFUNCTION("""COMPUTED_VALUE"""),7.0)</f>
        <v>7</v>
      </c>
      <c r="F526" s="62" t="str">
        <f>IFERROR(__xludf.DUMMYFUNCTION("""COMPUTED_VALUE"""),"https://www.google.com/maps/search/?api=1&amp;query=-30.9028890138837,-55.5407855688435")</f>
        <v>https://www.google.com/maps/search/?api=1&amp;query=-30.9028890138837,-55.5407855688435</v>
      </c>
      <c r="G526" s="63" t="str">
        <f>IFERROR(__xludf.DUMMYFUNCTION("""COMPUTED_VALUE"""),"https://earth.google.com/web/search/-30.9028890138837,-55.5407855688435")</f>
        <v>https://earth.google.com/web/search/-30.9028890138837,-55.5407855688435</v>
      </c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</row>
    <row r="527">
      <c r="A527" s="65" t="str">
        <f>IFERROR(__xludf.DUMMYFUNCTION("""COMPUTED_VALUE"""),"-30.9024886128444")</f>
        <v>-30.9024886128444</v>
      </c>
      <c r="B527" s="66" t="str">
        <f>IFERROR(__xludf.DUMMYFUNCTION("""COMPUTED_VALUE"""),"-55.5412601598113")</f>
        <v>-55.5412601598113</v>
      </c>
      <c r="C527" s="66">
        <f>IFERROR(__xludf.DUMMYFUNCTION("""COMPUTED_VALUE"""),1.0)</f>
        <v>1</v>
      </c>
      <c r="D527" s="66">
        <f>IFERROR(__xludf.DUMMYFUNCTION("""COMPUTED_VALUE"""),281.0)</f>
        <v>281</v>
      </c>
      <c r="E527" s="66">
        <f>IFERROR(__xludf.DUMMYFUNCTION("""COMPUTED_VALUE"""),8.0)</f>
        <v>8</v>
      </c>
      <c r="F527" s="67" t="str">
        <f>IFERROR(__xludf.DUMMYFUNCTION("""COMPUTED_VALUE"""),"https://www.google.com/maps/search/?api=1&amp;query=-30.9024886128444,-55.5412601598113")</f>
        <v>https://www.google.com/maps/search/?api=1&amp;query=-30.9024886128444,-55.5412601598113</v>
      </c>
      <c r="G527" s="68" t="str">
        <f>IFERROR(__xludf.DUMMYFUNCTION("""COMPUTED_VALUE"""),"https://earth.google.com/web/search/-30.9024886128444,-55.5412601598113")</f>
        <v>https://earth.google.com/web/search/-30.9024886128444,-55.5412601598113</v>
      </c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</row>
    <row r="528">
      <c r="A528" s="69" t="str">
        <f>IFERROR(__xludf.DUMMYFUNCTION("""COMPUTED_VALUE"""),"-30.9023820440549")</f>
        <v>-30.9023820440549</v>
      </c>
      <c r="B528" s="61" t="str">
        <f>IFERROR(__xludf.DUMMYFUNCTION("""COMPUTED_VALUE"""),"-5.5541580003238")</f>
        <v>-5.5541580003238</v>
      </c>
      <c r="C528" s="61">
        <f>IFERROR(__xludf.DUMMYFUNCTION("""COMPUTED_VALUE"""),1.0)</f>
        <v>1</v>
      </c>
      <c r="D528" s="61">
        <f>IFERROR(__xludf.DUMMYFUNCTION("""COMPUTED_VALUE"""),271.0)</f>
        <v>271</v>
      </c>
      <c r="E528" s="61">
        <f>IFERROR(__xludf.DUMMYFUNCTION("""COMPUTED_VALUE"""),9.0)</f>
        <v>9</v>
      </c>
      <c r="F528" s="62" t="str">
        <f>IFERROR(__xludf.DUMMYFUNCTION("""COMPUTED_VALUE"""),"https://www.google.com/maps/search/?api=1&amp;query=-30.9023820440549,-5.5541580003238")</f>
        <v>https://www.google.com/maps/search/?api=1&amp;query=-30.9023820440549,-5.5541580003238</v>
      </c>
      <c r="G528" s="63" t="str">
        <f>IFERROR(__xludf.DUMMYFUNCTION("""COMPUTED_VALUE"""),"https://earth.google.com/web/search/-30.9023820440549,-5.5541580003238")</f>
        <v>https://earth.google.com/web/search/-30.9023820440549,-5.5541580003238</v>
      </c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</row>
    <row r="529">
      <c r="A529" s="65" t="str">
        <f>IFERROR(__xludf.DUMMYFUNCTION("""COMPUTED_VALUE"""),"-30.9024629296681")</f>
        <v>-30.9024629296681</v>
      </c>
      <c r="B529" s="66" t="str">
        <f>IFERROR(__xludf.DUMMYFUNCTION("""COMPUTED_VALUE"""),"-55.5416283402638")</f>
        <v>-55.5416283402638</v>
      </c>
      <c r="C529" s="66">
        <f>IFERROR(__xludf.DUMMYFUNCTION("""COMPUTED_VALUE"""),1.0)</f>
        <v>1</v>
      </c>
      <c r="D529" s="66">
        <f>IFERROR(__xludf.DUMMYFUNCTION("""COMPUTED_VALUE"""),281.0)</f>
        <v>281</v>
      </c>
      <c r="E529" s="66">
        <f>IFERROR(__xludf.DUMMYFUNCTION("""COMPUTED_VALUE"""),10.0)</f>
        <v>10</v>
      </c>
      <c r="F529" s="67" t="str">
        <f>IFERROR(__xludf.DUMMYFUNCTION("""COMPUTED_VALUE"""),"https://www.google.com/maps/search/?api=1&amp;query=-30.9024629296681,-55.5416283402638")</f>
        <v>https://www.google.com/maps/search/?api=1&amp;query=-30.9024629296681,-55.5416283402638</v>
      </c>
      <c r="G529" s="68" t="str">
        <f>IFERROR(__xludf.DUMMYFUNCTION("""COMPUTED_VALUE"""),"https://earth.google.com/web/search/-30.9024629296681,-55.5416283402638")</f>
        <v>https://earth.google.com/web/search/-30.9024629296681,-55.5416283402638</v>
      </c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</row>
    <row r="530">
      <c r="A530" s="69" t="str">
        <f>IFERROR(__xludf.DUMMYFUNCTION("""COMPUTED_VALUE"""),"-30.9026224252644")</f>
        <v>-30.9026224252644</v>
      </c>
      <c r="B530" s="61" t="str">
        <f>IFERROR(__xludf.DUMMYFUNCTION("""COMPUTED_VALUE"""),"-55.5417533400068")</f>
        <v>-55.5417533400068</v>
      </c>
      <c r="C530" s="61">
        <f>IFERROR(__xludf.DUMMYFUNCTION("""COMPUTED_VALUE"""),1.0)</f>
        <v>1</v>
      </c>
      <c r="D530" s="61">
        <f>IFERROR(__xludf.DUMMYFUNCTION("""COMPUTED_VALUE"""),281.0)</f>
        <v>281</v>
      </c>
      <c r="E530" s="61">
        <f>IFERROR(__xludf.DUMMYFUNCTION("""COMPUTED_VALUE"""),11.0)</f>
        <v>11</v>
      </c>
      <c r="F530" s="62" t="str">
        <f>IFERROR(__xludf.DUMMYFUNCTION("""COMPUTED_VALUE"""),"https://www.google.com/maps/search/?api=1&amp;query=-30.9026224252644,-55.5417533400068")</f>
        <v>https://www.google.com/maps/search/?api=1&amp;query=-30.9026224252644,-55.5417533400068</v>
      </c>
      <c r="G530" s="63" t="str">
        <f>IFERROR(__xludf.DUMMYFUNCTION("""COMPUTED_VALUE"""),"https://earth.google.com/web/search/-30.9026224252644,-55.5417533400068")</f>
        <v>https://earth.google.com/web/search/-30.9026224252644,-55.5417533400068</v>
      </c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</row>
    <row r="531">
      <c r="A531" s="65" t="str">
        <f>IFERROR(__xludf.DUMMYFUNCTION("""COMPUTED_VALUE"""),"-3.0902744836358")</f>
        <v>-3.0902744836358</v>
      </c>
      <c r="B531" s="66" t="str">
        <f>IFERROR(__xludf.DUMMYFUNCTION("""COMPUTED_VALUE"""),"-55.5418501485526")</f>
        <v>-55.5418501485526</v>
      </c>
      <c r="C531" s="66">
        <f>IFERROR(__xludf.DUMMYFUNCTION("""COMPUTED_VALUE"""),1.0)</f>
        <v>1</v>
      </c>
      <c r="D531" s="66">
        <f>IFERROR(__xludf.DUMMYFUNCTION("""COMPUTED_VALUE"""),281.0)</f>
        <v>281</v>
      </c>
      <c r="E531" s="66">
        <f>IFERROR(__xludf.DUMMYFUNCTION("""COMPUTED_VALUE"""),12.0)</f>
        <v>12</v>
      </c>
      <c r="F531" s="67" t="str">
        <f>IFERROR(__xludf.DUMMYFUNCTION("""COMPUTED_VALUE"""),"https://www.google.com/maps/search/?api=1&amp;query=-3.0902744836358,-55.5418501485526")</f>
        <v>https://www.google.com/maps/search/?api=1&amp;query=-3.0902744836358,-55.5418501485526</v>
      </c>
      <c r="G531" s="68" t="str">
        <f>IFERROR(__xludf.DUMMYFUNCTION("""COMPUTED_VALUE"""),"https://earth.google.com/web/search/-3.0902744836358,-55.5418501485526")</f>
        <v>https://earth.google.com/web/search/-3.0902744836358,-55.5418501485526</v>
      </c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</row>
    <row r="532">
      <c r="A532" s="69" t="str">
        <f>IFERROR(__xludf.DUMMYFUNCTION("""COMPUTED_VALUE"""),"-30.9028720818583")</f>
        <v>-30.9028720818583</v>
      </c>
      <c r="B532" s="61" t="str">
        <f>IFERROR(__xludf.DUMMYFUNCTION("""COMPUTED_VALUE"""),"-55.5419335603016")</f>
        <v>-55.5419335603016</v>
      </c>
      <c r="C532" s="61">
        <f>IFERROR(__xludf.DUMMYFUNCTION("""COMPUTED_VALUE"""),1.0)</f>
        <v>1</v>
      </c>
      <c r="D532" s="61">
        <f>IFERROR(__xludf.DUMMYFUNCTION("""COMPUTED_VALUE"""),281.0)</f>
        <v>281</v>
      </c>
      <c r="E532" s="61">
        <f>IFERROR(__xludf.DUMMYFUNCTION("""COMPUTED_VALUE"""),13.0)</f>
        <v>13</v>
      </c>
      <c r="F532" s="62" t="str">
        <f>IFERROR(__xludf.DUMMYFUNCTION("""COMPUTED_VALUE"""),"https://www.google.com/maps/search/?api=1&amp;query=-30.9028720818583,-55.5419335603016")</f>
        <v>https://www.google.com/maps/search/?api=1&amp;query=-30.9028720818583,-55.5419335603016</v>
      </c>
      <c r="G532" s="63" t="str">
        <f>IFERROR(__xludf.DUMMYFUNCTION("""COMPUTED_VALUE"""),"https://earth.google.com/web/search/-30.9028720818583,-55.5419335603016")</f>
        <v>https://earth.google.com/web/search/-30.9028720818583,-55.5419335603016</v>
      </c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</row>
    <row r="533">
      <c r="A533" s="65" t="str">
        <f>IFERROR(__xludf.DUMMYFUNCTION("""COMPUTED_VALUE"""),"-30.9021687051545")</f>
        <v>-30.9021687051545</v>
      </c>
      <c r="B533" s="66" t="str">
        <f>IFERROR(__xludf.DUMMYFUNCTION("""COMPUTED_VALUE"""),"-55.5418650087584")</f>
        <v>-55.5418650087584</v>
      </c>
      <c r="C533" s="66">
        <f>IFERROR(__xludf.DUMMYFUNCTION("""COMPUTED_VALUE"""),1.0)</f>
        <v>1</v>
      </c>
      <c r="D533" s="66">
        <f>IFERROR(__xludf.DUMMYFUNCTION("""COMPUTED_VALUE"""),280.0)</f>
        <v>280</v>
      </c>
      <c r="E533" s="66">
        <f>IFERROR(__xludf.DUMMYFUNCTION("""COMPUTED_VALUE"""),1.0)</f>
        <v>1</v>
      </c>
      <c r="F533" s="67" t="str">
        <f>IFERROR(__xludf.DUMMYFUNCTION("""COMPUTED_VALUE"""),"https://www.google.com/maps/search/?api=1&amp;query=-30.9021687051545,-55.5418650087584")</f>
        <v>https://www.google.com/maps/search/?api=1&amp;query=-30.9021687051545,-55.5418650087584</v>
      </c>
      <c r="G533" s="68" t="str">
        <f>IFERROR(__xludf.DUMMYFUNCTION("""COMPUTED_VALUE"""),"https://earth.google.com/web/search/-30.9021687051545,-55.5418650087584")</f>
        <v>https://earth.google.com/web/search/-30.9021687051545,-55.5418650087584</v>
      </c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</row>
    <row r="534">
      <c r="A534" s="69" t="str">
        <f>IFERROR(__xludf.DUMMYFUNCTION("""COMPUTED_VALUE"""),"-30.9021055447989")</f>
        <v>-30.9021055447989</v>
      </c>
      <c r="B534" s="61" t="str">
        <f>IFERROR(__xludf.DUMMYFUNCTION("""COMPUTED_VALUE"""),"-55.5420004429963")</f>
        <v>-55.5420004429963</v>
      </c>
      <c r="C534" s="61">
        <f>IFERROR(__xludf.DUMMYFUNCTION("""COMPUTED_VALUE"""),1.0)</f>
        <v>1</v>
      </c>
      <c r="D534" s="61">
        <f>IFERROR(__xludf.DUMMYFUNCTION("""COMPUTED_VALUE"""),280.0)</f>
        <v>280</v>
      </c>
      <c r="E534" s="61">
        <f>IFERROR(__xludf.DUMMYFUNCTION("""COMPUTED_VALUE"""),2.0)</f>
        <v>2</v>
      </c>
      <c r="F534" s="62" t="str">
        <f>IFERROR(__xludf.DUMMYFUNCTION("""COMPUTED_VALUE"""),"https://www.google.com/maps/search/?api=1&amp;query=-30.9021055447989,-55.5420004429963")</f>
        <v>https://www.google.com/maps/search/?api=1&amp;query=-30.9021055447989,-55.5420004429963</v>
      </c>
      <c r="G534" s="63" t="str">
        <f>IFERROR(__xludf.DUMMYFUNCTION("""COMPUTED_VALUE"""),"https://earth.google.com/web/search/-30.9021055447989,-55.5420004429963")</f>
        <v>https://earth.google.com/web/search/-30.9021055447989,-55.5420004429963</v>
      </c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</row>
    <row r="535">
      <c r="A535" s="65" t="str">
        <f>IFERROR(__xludf.DUMMYFUNCTION("""COMPUTED_VALUE"""),"-30.9020140112634")</f>
        <v>-30.9020140112634</v>
      </c>
      <c r="B535" s="66" t="str">
        <f>IFERROR(__xludf.DUMMYFUNCTION("""COMPUTED_VALUE"""),"-55.5426093279781")</f>
        <v>-55.5426093279781</v>
      </c>
      <c r="C535" s="66">
        <f>IFERROR(__xludf.DUMMYFUNCTION("""COMPUTED_VALUE"""),1.0)</f>
        <v>1</v>
      </c>
      <c r="D535" s="66">
        <f>IFERROR(__xludf.DUMMYFUNCTION("""COMPUTED_VALUE"""),280.0)</f>
        <v>280</v>
      </c>
      <c r="E535" s="66">
        <f>IFERROR(__xludf.DUMMYFUNCTION("""COMPUTED_VALUE"""),3.0)</f>
        <v>3</v>
      </c>
      <c r="F535" s="67" t="str">
        <f>IFERROR(__xludf.DUMMYFUNCTION("""COMPUTED_VALUE"""),"https://www.google.com/maps/search/?api=1&amp;query=-30.9020140112634,-55.5426093279781")</f>
        <v>https://www.google.com/maps/search/?api=1&amp;query=-30.9020140112634,-55.5426093279781</v>
      </c>
      <c r="G535" s="68" t="str">
        <f>IFERROR(__xludf.DUMMYFUNCTION("""COMPUTED_VALUE"""),"https://earth.google.com/web/search/-30.9020140112634,-55.5426093279781")</f>
        <v>https://earth.google.com/web/search/-30.9020140112634,-55.5426093279781</v>
      </c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</row>
    <row r="536">
      <c r="A536" s="69" t="str">
        <f>IFERROR(__xludf.DUMMYFUNCTION("""COMPUTED_VALUE"""),"-30.9024423717326")</f>
        <v>-30.9024423717326</v>
      </c>
      <c r="B536" s="61" t="str">
        <f>IFERROR(__xludf.DUMMYFUNCTION("""COMPUTED_VALUE"""),"-55.5429175952142")</f>
        <v>-55.5429175952142</v>
      </c>
      <c r="C536" s="61">
        <f>IFERROR(__xludf.DUMMYFUNCTION("""COMPUTED_VALUE"""),1.0)</f>
        <v>1</v>
      </c>
      <c r="D536" s="61">
        <f>IFERROR(__xludf.DUMMYFUNCTION("""COMPUTED_VALUE"""),280.0)</f>
        <v>280</v>
      </c>
      <c r="E536" s="61">
        <f>IFERROR(__xludf.DUMMYFUNCTION("""COMPUTED_VALUE"""),4.0)</f>
        <v>4</v>
      </c>
      <c r="F536" s="62" t="str">
        <f>IFERROR(__xludf.DUMMYFUNCTION("""COMPUTED_VALUE"""),"https://www.google.com/maps/search/?api=1&amp;query=-30.9024423717326,-55.5429175952142")</f>
        <v>https://www.google.com/maps/search/?api=1&amp;query=-30.9024423717326,-55.5429175952142</v>
      </c>
      <c r="G536" s="63" t="str">
        <f>IFERROR(__xludf.DUMMYFUNCTION("""COMPUTED_VALUE"""),"https://earth.google.com/web/search/-30.9024423717326,-55.5429175952142")</f>
        <v>https://earth.google.com/web/search/-30.9024423717326,-55.5429175952142</v>
      </c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</row>
    <row r="537">
      <c r="A537" s="65" t="str">
        <f>IFERROR(__xludf.DUMMYFUNCTION("""COMPUTED_VALUE"""),"-30.9021350449623")</f>
        <v>-30.9021350449623</v>
      </c>
      <c r="B537" s="66" t="str">
        <f>IFERROR(__xludf.DUMMYFUNCTION("""COMPUTED_VALUE"""),"-55.5437515269222")</f>
        <v>-55.5437515269222</v>
      </c>
      <c r="C537" s="66">
        <f>IFERROR(__xludf.DUMMYFUNCTION("""COMPUTED_VALUE"""),1.0)</f>
        <v>1</v>
      </c>
      <c r="D537" s="66">
        <f>IFERROR(__xludf.DUMMYFUNCTION("""COMPUTED_VALUE"""),279.0)</f>
        <v>279</v>
      </c>
      <c r="E537" s="66">
        <f>IFERROR(__xludf.DUMMYFUNCTION("""COMPUTED_VALUE"""),1.0)</f>
        <v>1</v>
      </c>
      <c r="F537" s="67" t="str">
        <f>IFERROR(__xludf.DUMMYFUNCTION("""COMPUTED_VALUE"""),"https://www.google.com/maps/search/?api=1&amp;query=-30.9021350449623,-55.5437515269222")</f>
        <v>https://www.google.com/maps/search/?api=1&amp;query=-30.9021350449623,-55.5437515269222</v>
      </c>
      <c r="G537" s="68" t="str">
        <f>IFERROR(__xludf.DUMMYFUNCTION("""COMPUTED_VALUE"""),"https://earth.google.com/web/search/-30.9021350449623,-55.5437515269222")</f>
        <v>https://earth.google.com/web/search/-30.9021350449623,-55.5437515269222</v>
      </c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</row>
    <row r="538">
      <c r="A538" s="69" t="str">
        <f>IFERROR(__xludf.DUMMYFUNCTION("""COMPUTED_VALUE"""),"-30.9021767329656")</f>
        <v>-30.9021767329656</v>
      </c>
      <c r="B538" s="61" t="str">
        <f>IFERROR(__xludf.DUMMYFUNCTION("""COMPUTED_VALUE"""),"-55.5436577188435")</f>
        <v>-55.5436577188435</v>
      </c>
      <c r="C538" s="61">
        <f>IFERROR(__xludf.DUMMYFUNCTION("""COMPUTED_VALUE"""),1.0)</f>
        <v>1</v>
      </c>
      <c r="D538" s="61">
        <f>IFERROR(__xludf.DUMMYFUNCTION("""COMPUTED_VALUE"""),279.0)</f>
        <v>279</v>
      </c>
      <c r="E538" s="61">
        <f>IFERROR(__xludf.DUMMYFUNCTION("""COMPUTED_VALUE"""),2.0)</f>
        <v>2</v>
      </c>
      <c r="F538" s="62" t="str">
        <f>IFERROR(__xludf.DUMMYFUNCTION("""COMPUTED_VALUE"""),"https://www.google.com/maps/search/?api=1&amp;query=-30.9021767329656,-55.5436577188435")</f>
        <v>https://www.google.com/maps/search/?api=1&amp;query=-30.9021767329656,-55.5436577188435</v>
      </c>
      <c r="G538" s="63" t="str">
        <f>IFERROR(__xludf.DUMMYFUNCTION("""COMPUTED_VALUE"""),"https://earth.google.com/web/search/-30.9021767329656,-55.5436577188435")</f>
        <v>https://earth.google.com/web/search/-30.9021767329656,-55.5436577188435</v>
      </c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</row>
    <row r="539">
      <c r="A539" s="65" t="str">
        <f>IFERROR(__xludf.DUMMYFUNCTION("""COMPUTED_VALUE"""),"-3.0902209144374")</f>
        <v>-3.0902209144374</v>
      </c>
      <c r="B539" s="66" t="str">
        <f>IFERROR(__xludf.DUMMYFUNCTION("""COMPUTED_VALUE"""),"-55.5435930602165")</f>
        <v>-55.5435930602165</v>
      </c>
      <c r="C539" s="66">
        <f>IFERROR(__xludf.DUMMYFUNCTION("""COMPUTED_VALUE"""),1.0)</f>
        <v>1</v>
      </c>
      <c r="D539" s="66">
        <f>IFERROR(__xludf.DUMMYFUNCTION("""COMPUTED_VALUE"""),279.0)</f>
        <v>279</v>
      </c>
      <c r="E539" s="66">
        <f>IFERROR(__xludf.DUMMYFUNCTION("""COMPUTED_VALUE"""),3.0)</f>
        <v>3</v>
      </c>
      <c r="F539" s="67" t="str">
        <f>IFERROR(__xludf.DUMMYFUNCTION("""COMPUTED_VALUE"""),"https://www.google.com/maps/search/?api=1&amp;query=-3.0902209144374,-55.5435930602165")</f>
        <v>https://www.google.com/maps/search/?api=1&amp;query=-3.0902209144374,-55.5435930602165</v>
      </c>
      <c r="G539" s="68" t="str">
        <f>IFERROR(__xludf.DUMMYFUNCTION("""COMPUTED_VALUE"""),"https://earth.google.com/web/search/-3.0902209144374,-55.5435930602165")</f>
        <v>https://earth.google.com/web/search/-3.0902209144374,-55.5435930602165</v>
      </c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</row>
    <row r="540">
      <c r="A540" s="69" t="str">
        <f>IFERROR(__xludf.DUMMYFUNCTION("""COMPUTED_VALUE"""),"-30.9023297623017")</f>
        <v>-30.9023297623017</v>
      </c>
      <c r="B540" s="61" t="str">
        <f>IFERROR(__xludf.DUMMYFUNCTION("""COMPUTED_VALUE"""),"-5.5543381311488")</f>
        <v>-5.5543381311488</v>
      </c>
      <c r="C540" s="61">
        <f>IFERROR(__xludf.DUMMYFUNCTION("""COMPUTED_VALUE"""),1.0)</f>
        <v>1</v>
      </c>
      <c r="D540" s="61">
        <f>IFERROR(__xludf.DUMMYFUNCTION("""COMPUTED_VALUE"""),279.0)</f>
        <v>279</v>
      </c>
      <c r="E540" s="61">
        <f>IFERROR(__xludf.DUMMYFUNCTION("""COMPUTED_VALUE"""),4.0)</f>
        <v>4</v>
      </c>
      <c r="F540" s="62" t="str">
        <f>IFERROR(__xludf.DUMMYFUNCTION("""COMPUTED_VALUE"""),"https://www.google.com/maps/search/?api=1&amp;query=-30.9023297623017,-5.5543381311488")</f>
        <v>https://www.google.com/maps/search/?api=1&amp;query=-30.9023297623017,-5.5543381311488</v>
      </c>
      <c r="G540" s="63" t="str">
        <f>IFERROR(__xludf.DUMMYFUNCTION("""COMPUTED_VALUE"""),"https://earth.google.com/web/search/-30.9023297623017,-5.5543381311488")</f>
        <v>https://earth.google.com/web/search/-30.9023297623017,-5.5543381311488</v>
      </c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</row>
    <row r="541">
      <c r="A541" s="65" t="str">
        <f>IFERROR(__xludf.DUMMYFUNCTION("""COMPUTED_VALUE"""),"-30.9024001121228")</f>
        <v>-30.9024001121228</v>
      </c>
      <c r="B541" s="66" t="str">
        <f>IFERROR(__xludf.DUMMYFUNCTION("""COMPUTED_VALUE"""),"-55.5432733986538")</f>
        <v>-55.5432733986538</v>
      </c>
      <c r="C541" s="66">
        <f>IFERROR(__xludf.DUMMYFUNCTION("""COMPUTED_VALUE"""),1.0)</f>
        <v>1</v>
      </c>
      <c r="D541" s="66">
        <f>IFERROR(__xludf.DUMMYFUNCTION("""COMPUTED_VALUE"""),279.0)</f>
        <v>279</v>
      </c>
      <c r="E541" s="66">
        <f>IFERROR(__xludf.DUMMYFUNCTION("""COMPUTED_VALUE"""),5.0)</f>
        <v>5</v>
      </c>
      <c r="F541" s="67" t="str">
        <f>IFERROR(__xludf.DUMMYFUNCTION("""COMPUTED_VALUE"""),"https://www.google.com/maps/search/?api=1&amp;query=-30.9024001121228,-55.5432733986538")</f>
        <v>https://www.google.com/maps/search/?api=1&amp;query=-30.9024001121228,-55.5432733986538</v>
      </c>
      <c r="G541" s="68" t="str">
        <f>IFERROR(__xludf.DUMMYFUNCTION("""COMPUTED_VALUE"""),"https://earth.google.com/web/search/-30.9024001121228,-55.5432733986538")</f>
        <v>https://earth.google.com/web/search/-30.9024001121228,-55.5432733986538</v>
      </c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</row>
    <row r="542">
      <c r="A542" s="69" t="str">
        <f>IFERROR(__xludf.DUMMYFUNCTION("""COMPUTED_VALUE"""),"-30.9022903510723")</f>
        <v>-30.9022903510723</v>
      </c>
      <c r="B542" s="61" t="str">
        <f>IFERROR(__xludf.DUMMYFUNCTION("""COMPUTED_VALUE"""),"-55.5429020086487")</f>
        <v>-55.5429020086487</v>
      </c>
      <c r="C542" s="61">
        <f>IFERROR(__xludf.DUMMYFUNCTION("""COMPUTED_VALUE"""),1.0)</f>
        <v>1</v>
      </c>
      <c r="D542" s="61">
        <f>IFERROR(__xludf.DUMMYFUNCTION("""COMPUTED_VALUE"""),279.0)</f>
        <v>279</v>
      </c>
      <c r="E542" s="61">
        <f>IFERROR(__xludf.DUMMYFUNCTION("""COMPUTED_VALUE"""),6.0)</f>
        <v>6</v>
      </c>
      <c r="F542" s="62" t="str">
        <f>IFERROR(__xludf.DUMMYFUNCTION("""COMPUTED_VALUE"""),"https://www.google.com/maps/search/?api=1&amp;query=-30.9022903510723,-55.5429020086487")</f>
        <v>https://www.google.com/maps/search/?api=1&amp;query=-30.9022903510723,-55.5429020086487</v>
      </c>
      <c r="G542" s="63" t="str">
        <f>IFERROR(__xludf.DUMMYFUNCTION("""COMPUTED_VALUE"""),"https://earth.google.com/web/search/-30.9022903510723,-55.5429020086487")</f>
        <v>https://earth.google.com/web/search/-30.9022903510723,-55.5429020086487</v>
      </c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</row>
    <row r="543">
      <c r="A543" s="65" t="str">
        <f>IFERROR(__xludf.DUMMYFUNCTION("""COMPUTED_VALUE"""),"-3.0902052610761")</f>
        <v>-3.0902052610761</v>
      </c>
      <c r="B543" s="66" t="str">
        <f>IFERROR(__xludf.DUMMYFUNCTION("""COMPUTED_VALUE"""),"-55.5427497140009")</f>
        <v>-55.5427497140009</v>
      </c>
      <c r="C543" s="66">
        <f>IFERROR(__xludf.DUMMYFUNCTION("""COMPUTED_VALUE"""),1.0)</f>
        <v>1</v>
      </c>
      <c r="D543" s="66">
        <f>IFERROR(__xludf.DUMMYFUNCTION("""COMPUTED_VALUE"""),279.0)</f>
        <v>279</v>
      </c>
      <c r="E543" s="66">
        <f>IFERROR(__xludf.DUMMYFUNCTION("""COMPUTED_VALUE"""),7.0)</f>
        <v>7</v>
      </c>
      <c r="F543" s="67" t="str">
        <f>IFERROR(__xludf.DUMMYFUNCTION("""COMPUTED_VALUE"""),"https://www.google.com/maps/search/?api=1&amp;query=-3.0902052610761,-55.5427497140009")</f>
        <v>https://www.google.com/maps/search/?api=1&amp;query=-3.0902052610761,-55.5427497140009</v>
      </c>
      <c r="G543" s="68" t="str">
        <f>IFERROR(__xludf.DUMMYFUNCTION("""COMPUTED_VALUE"""),"https://earth.google.com/web/search/-3.0902052610761,-55.5427497140009")</f>
        <v>https://earth.google.com/web/search/-3.0902052610761,-55.5427497140009</v>
      </c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</row>
    <row r="544">
      <c r="A544" s="69" t="str">
        <f>IFERROR(__xludf.DUMMYFUNCTION("""COMPUTED_VALUE"""),"-30.9019101989464")</f>
        <v>-30.9019101989464</v>
      </c>
      <c r="B544" s="61" t="str">
        <f>IFERROR(__xludf.DUMMYFUNCTION("""COMPUTED_VALUE"""),"-55.5426618967513")</f>
        <v>-55.5426618967513</v>
      </c>
      <c r="C544" s="61">
        <f>IFERROR(__xludf.DUMMYFUNCTION("""COMPUTED_VALUE"""),1.0)</f>
        <v>1</v>
      </c>
      <c r="D544" s="61">
        <f>IFERROR(__xludf.DUMMYFUNCTION("""COMPUTED_VALUE"""),279.0)</f>
        <v>279</v>
      </c>
      <c r="E544" s="61">
        <f>IFERROR(__xludf.DUMMYFUNCTION("""COMPUTED_VALUE"""),8.0)</f>
        <v>8</v>
      </c>
      <c r="F544" s="62" t="str">
        <f>IFERROR(__xludf.DUMMYFUNCTION("""COMPUTED_VALUE"""),"https://www.google.com/maps/search/?api=1&amp;query=-30.9019101989464,-55.5426618967513")</f>
        <v>https://www.google.com/maps/search/?api=1&amp;query=-30.9019101989464,-55.5426618967513</v>
      </c>
      <c r="G544" s="63" t="str">
        <f>IFERROR(__xludf.DUMMYFUNCTION("""COMPUTED_VALUE"""),"https://earth.google.com/web/search/-30.9019101989464,-55.5426618967513")</f>
        <v>https://earth.google.com/web/search/-30.9019101989464,-55.5426618967513</v>
      </c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</row>
    <row r="545">
      <c r="A545" s="65" t="str">
        <f>IFERROR(__xludf.DUMMYFUNCTION("""COMPUTED_VALUE"""),"-30.9017064180163")</f>
        <v>-30.9017064180163</v>
      </c>
      <c r="B545" s="66" t="str">
        <f>IFERROR(__xludf.DUMMYFUNCTION("""COMPUTED_VALUE"""),"-55.5427401514255")</f>
        <v>-55.5427401514255</v>
      </c>
      <c r="C545" s="66">
        <f>IFERROR(__xludf.DUMMYFUNCTION("""COMPUTED_VALUE"""),1.0)</f>
        <v>1</v>
      </c>
      <c r="D545" s="66">
        <f>IFERROR(__xludf.DUMMYFUNCTION("""COMPUTED_VALUE"""),279.0)</f>
        <v>279</v>
      </c>
      <c r="E545" s="66">
        <f>IFERROR(__xludf.DUMMYFUNCTION("""COMPUTED_VALUE"""),9.0)</f>
        <v>9</v>
      </c>
      <c r="F545" s="67" t="str">
        <f>IFERROR(__xludf.DUMMYFUNCTION("""COMPUTED_VALUE"""),"https://www.google.com/maps/search/?api=1&amp;query=-30.9017064180163,-55.5427401514255")</f>
        <v>https://www.google.com/maps/search/?api=1&amp;query=-30.9017064180163,-55.5427401514255</v>
      </c>
      <c r="G545" s="68" t="str">
        <f>IFERROR(__xludf.DUMMYFUNCTION("""COMPUTED_VALUE"""),"https://earth.google.com/web/search/-30.9017064180163,-55.5427401514255")</f>
        <v>https://earth.google.com/web/search/-30.9017064180163,-55.5427401514255</v>
      </c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</row>
    <row r="546">
      <c r="A546" s="69" t="str">
        <f>IFERROR(__xludf.DUMMYFUNCTION("""COMPUTED_VALUE"""),"-30.9016598284227")</f>
        <v>-30.9016598284227</v>
      </c>
      <c r="B546" s="61" t="str">
        <f>IFERROR(__xludf.DUMMYFUNCTION("""COMPUTED_VALUE"""),"-55.5428398556522")</f>
        <v>-55.5428398556522</v>
      </c>
      <c r="C546" s="61">
        <f>IFERROR(__xludf.DUMMYFUNCTION("""COMPUTED_VALUE"""),1.0)</f>
        <v>1</v>
      </c>
      <c r="D546" s="61">
        <f>IFERROR(__xludf.DUMMYFUNCTION("""COMPUTED_VALUE"""),279.0)</f>
        <v>279</v>
      </c>
      <c r="E546" s="61">
        <f>IFERROR(__xludf.DUMMYFUNCTION("""COMPUTED_VALUE"""),10.0)</f>
        <v>10</v>
      </c>
      <c r="F546" s="62" t="str">
        <f>IFERROR(__xludf.DUMMYFUNCTION("""COMPUTED_VALUE"""),"https://www.google.com/maps/search/?api=1&amp;query=-30.9016598284227,-55.5428398556522")</f>
        <v>https://www.google.com/maps/search/?api=1&amp;query=-30.9016598284227,-55.5428398556522</v>
      </c>
      <c r="G546" s="63" t="str">
        <f>IFERROR(__xludf.DUMMYFUNCTION("""COMPUTED_VALUE"""),"https://earth.google.com/web/search/-30.9016598284227,-55.5428398556522")</f>
        <v>https://earth.google.com/web/search/-30.9016598284227,-55.5428398556522</v>
      </c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</row>
    <row r="547">
      <c r="A547" s="65" t="str">
        <f>IFERROR(__xludf.DUMMYFUNCTION("""COMPUTED_VALUE"""),"-30.9014156796772")</f>
        <v>-30.9014156796772</v>
      </c>
      <c r="B547" s="66" t="str">
        <f>IFERROR(__xludf.DUMMYFUNCTION("""COMPUTED_VALUE"""),"-55.5432801289721")</f>
        <v>-55.5432801289721</v>
      </c>
      <c r="C547" s="66">
        <f>IFERROR(__xludf.DUMMYFUNCTION("""COMPUTED_VALUE"""),1.0)</f>
        <v>1</v>
      </c>
      <c r="D547" s="66">
        <f>IFERROR(__xludf.DUMMYFUNCTION("""COMPUTED_VALUE"""),279.0)</f>
        <v>279</v>
      </c>
      <c r="E547" s="66">
        <f>IFERROR(__xludf.DUMMYFUNCTION("""COMPUTED_VALUE"""),11.0)</f>
        <v>11</v>
      </c>
      <c r="F547" s="67" t="str">
        <f>IFERROR(__xludf.DUMMYFUNCTION("""COMPUTED_VALUE"""),"https://www.google.com/maps/search/?api=1&amp;query=-30.9014156796772,-55.5432801289721")</f>
        <v>https://www.google.com/maps/search/?api=1&amp;query=-30.9014156796772,-55.5432801289721</v>
      </c>
      <c r="G547" s="68" t="str">
        <f>IFERROR(__xludf.DUMMYFUNCTION("""COMPUTED_VALUE"""),"https://earth.google.com/web/search/-30.9014156796772,-55.5432801289721")</f>
        <v>https://earth.google.com/web/search/-30.9014156796772,-55.5432801289721</v>
      </c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</row>
    <row r="548">
      <c r="A548" s="69" t="str">
        <f>IFERROR(__xludf.DUMMYFUNCTION("""COMPUTED_VALUE"""),"-30.9013990022236")</f>
        <v>-30.9013990022236</v>
      </c>
      <c r="B548" s="61" t="str">
        <f>IFERROR(__xludf.DUMMYFUNCTION("""COMPUTED_VALUE"""),"-55.5434351894742")</f>
        <v>-55.5434351894742</v>
      </c>
      <c r="C548" s="61">
        <f>IFERROR(__xludf.DUMMYFUNCTION("""COMPUTED_VALUE"""),1.0)</f>
        <v>1</v>
      </c>
      <c r="D548" s="61">
        <f>IFERROR(__xludf.DUMMYFUNCTION("""COMPUTED_VALUE"""),279.0)</f>
        <v>279</v>
      </c>
      <c r="E548" s="61">
        <f>IFERROR(__xludf.DUMMYFUNCTION("""COMPUTED_VALUE"""),12.0)</f>
        <v>12</v>
      </c>
      <c r="F548" s="62" t="str">
        <f>IFERROR(__xludf.DUMMYFUNCTION("""COMPUTED_VALUE"""),"https://www.google.com/maps/search/?api=1&amp;query=-30.9013990022236,-55.5434351894742")</f>
        <v>https://www.google.com/maps/search/?api=1&amp;query=-30.9013990022236,-55.5434351894742</v>
      </c>
      <c r="G548" s="63" t="str">
        <f>IFERROR(__xludf.DUMMYFUNCTION("""COMPUTED_VALUE"""),"https://earth.google.com/web/search/-30.9013990022236,-55.5434351894742")</f>
        <v>https://earth.google.com/web/search/-30.9013990022236,-55.5434351894742</v>
      </c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</row>
    <row r="549">
      <c r="A549" s="65" t="str">
        <f>IFERROR(__xludf.DUMMYFUNCTION("""COMPUTED_VALUE"""),"-30.9014496169458")</f>
        <v>-30.9014496169458</v>
      </c>
      <c r="B549" s="66" t="str">
        <f>IFERROR(__xludf.DUMMYFUNCTION("""COMPUTED_VALUE"""),"-55.5434698477272")</f>
        <v>-55.5434698477272</v>
      </c>
      <c r="C549" s="66">
        <f>IFERROR(__xludf.DUMMYFUNCTION("""COMPUTED_VALUE"""),1.0)</f>
        <v>1</v>
      </c>
      <c r="D549" s="66">
        <f>IFERROR(__xludf.DUMMYFUNCTION("""COMPUTED_VALUE"""),279.0)</f>
        <v>279</v>
      </c>
      <c r="E549" s="66">
        <f>IFERROR(__xludf.DUMMYFUNCTION("""COMPUTED_VALUE"""),13.0)</f>
        <v>13</v>
      </c>
      <c r="F549" s="67" t="str">
        <f>IFERROR(__xludf.DUMMYFUNCTION("""COMPUTED_VALUE"""),"https://www.google.com/maps/search/?api=1&amp;query=-30.9014496169458,-55.5434698477272")</f>
        <v>https://www.google.com/maps/search/?api=1&amp;query=-30.9014496169458,-55.5434698477272</v>
      </c>
      <c r="G549" s="68" t="str">
        <f>IFERROR(__xludf.DUMMYFUNCTION("""COMPUTED_VALUE"""),"https://earth.google.com/web/search/-30.9014496169458,-55.5434698477272")</f>
        <v>https://earth.google.com/web/search/-30.9014496169458,-55.5434698477272</v>
      </c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</row>
    <row r="550">
      <c r="A550" s="69" t="str">
        <f>IFERROR(__xludf.DUMMYFUNCTION("""COMPUTED_VALUE"""),"-30.9014848633065")</f>
        <v>-30.9014848633065</v>
      </c>
      <c r="B550" s="61" t="str">
        <f>IFERROR(__xludf.DUMMYFUNCTION("""COMPUTED_VALUE"""),"-55.5435096079607")</f>
        <v>-55.5435096079607</v>
      </c>
      <c r="C550" s="61">
        <f>IFERROR(__xludf.DUMMYFUNCTION("""COMPUTED_VALUE"""),1.0)</f>
        <v>1</v>
      </c>
      <c r="D550" s="61">
        <f>IFERROR(__xludf.DUMMYFUNCTION("""COMPUTED_VALUE"""),279.0)</f>
        <v>279</v>
      </c>
      <c r="E550" s="61">
        <f>IFERROR(__xludf.DUMMYFUNCTION("""COMPUTED_VALUE"""),14.0)</f>
        <v>14</v>
      </c>
      <c r="F550" s="62" t="str">
        <f>IFERROR(__xludf.DUMMYFUNCTION("""COMPUTED_VALUE"""),"https://www.google.com/maps/search/?api=1&amp;query=-30.9014848633065,-55.5435096079607")</f>
        <v>https://www.google.com/maps/search/?api=1&amp;query=-30.9014848633065,-55.5435096079607</v>
      </c>
      <c r="G550" s="63" t="str">
        <f>IFERROR(__xludf.DUMMYFUNCTION("""COMPUTED_VALUE"""),"https://earth.google.com/web/search/-30.9014848633065,-55.5435096079607")</f>
        <v>https://earth.google.com/web/search/-30.9014848633065,-55.5435096079607</v>
      </c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</row>
    <row r="551">
      <c r="A551" s="65" t="str">
        <f>IFERROR(__xludf.DUMMYFUNCTION("""COMPUTED_VALUE"""),"-30.9015314550518")</f>
        <v>-30.9015314550518</v>
      </c>
      <c r="B551" s="66" t="str">
        <f>IFERROR(__xludf.DUMMYFUNCTION("""COMPUTED_VALUE"""),"-55.5435346035214")</f>
        <v>-55.5435346035214</v>
      </c>
      <c r="C551" s="66">
        <f>IFERROR(__xludf.DUMMYFUNCTION("""COMPUTED_VALUE"""),1.0)</f>
        <v>1</v>
      </c>
      <c r="D551" s="66">
        <f>IFERROR(__xludf.DUMMYFUNCTION("""COMPUTED_VALUE"""),279.0)</f>
        <v>279</v>
      </c>
      <c r="E551" s="66">
        <f>IFERROR(__xludf.DUMMYFUNCTION("""COMPUTED_VALUE"""),15.0)</f>
        <v>15</v>
      </c>
      <c r="F551" s="67" t="str">
        <f>IFERROR(__xludf.DUMMYFUNCTION("""COMPUTED_VALUE"""),"https://www.google.com/maps/search/?api=1&amp;query=-30.9015314550518,-55.5435346035214")</f>
        <v>https://www.google.com/maps/search/?api=1&amp;query=-30.9015314550518,-55.5435346035214</v>
      </c>
      <c r="G551" s="68" t="str">
        <f>IFERROR(__xludf.DUMMYFUNCTION("""COMPUTED_VALUE"""),"https://earth.google.com/web/search/-30.9015314550518,-55.5435346035214")</f>
        <v>https://earth.google.com/web/search/-30.9015314550518,-55.5435346035214</v>
      </c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</row>
    <row r="552">
      <c r="A552" s="69" t="str">
        <f>IFERROR(__xludf.DUMMYFUNCTION("""COMPUTED_VALUE"""),"-30.9016114740163")</f>
        <v>-30.9016114740163</v>
      </c>
      <c r="B552" s="61" t="str">
        <f>IFERROR(__xludf.DUMMYFUNCTION("""COMPUTED_VALUE"""),"-55.5435958029097")</f>
        <v>-55.5435958029097</v>
      </c>
      <c r="C552" s="61">
        <f>IFERROR(__xludf.DUMMYFUNCTION("""COMPUTED_VALUE"""),1.0)</f>
        <v>1</v>
      </c>
      <c r="D552" s="61">
        <f>IFERROR(__xludf.DUMMYFUNCTION("""COMPUTED_VALUE"""),279.0)</f>
        <v>279</v>
      </c>
      <c r="E552" s="61">
        <f>IFERROR(__xludf.DUMMYFUNCTION("""COMPUTED_VALUE"""),16.0)</f>
        <v>16</v>
      </c>
      <c r="F552" s="62" t="str">
        <f>IFERROR(__xludf.DUMMYFUNCTION("""COMPUTED_VALUE"""),"https://www.google.com/maps/search/?api=1&amp;query=-30.9016114740163,-55.5435958029097")</f>
        <v>https://www.google.com/maps/search/?api=1&amp;query=-30.9016114740163,-55.5435958029097</v>
      </c>
      <c r="G552" s="63" t="str">
        <f>IFERROR(__xludf.DUMMYFUNCTION("""COMPUTED_VALUE"""),"https://earth.google.com/web/search/-30.9016114740163,-55.5435958029097")</f>
        <v>https://earth.google.com/web/search/-30.9016114740163,-55.5435958029097</v>
      </c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</row>
    <row r="553">
      <c r="A553" s="65" t="str">
        <f>IFERROR(__xludf.DUMMYFUNCTION("""COMPUTED_VALUE"""),"-30.9018596769871")</f>
        <v>-30.9018596769871</v>
      </c>
      <c r="B553" s="66" t="str">
        <f>IFERROR(__xludf.DUMMYFUNCTION("""COMPUTED_VALUE"""),"-55.5437523715697")</f>
        <v>-55.5437523715697</v>
      </c>
      <c r="C553" s="66">
        <f>IFERROR(__xludf.DUMMYFUNCTION("""COMPUTED_VALUE"""),1.0)</f>
        <v>1</v>
      </c>
      <c r="D553" s="66">
        <f>IFERROR(__xludf.DUMMYFUNCTION("""COMPUTED_VALUE"""),279.0)</f>
        <v>279</v>
      </c>
      <c r="E553" s="66">
        <f>IFERROR(__xludf.DUMMYFUNCTION("""COMPUTED_VALUE"""),17.0)</f>
        <v>17</v>
      </c>
      <c r="F553" s="67" t="str">
        <f>IFERROR(__xludf.DUMMYFUNCTION("""COMPUTED_VALUE"""),"https://www.google.com/maps/search/?api=1&amp;query=-30.9018596769871,-55.5437523715697")</f>
        <v>https://www.google.com/maps/search/?api=1&amp;query=-30.9018596769871,-55.5437523715697</v>
      </c>
      <c r="G553" s="68" t="str">
        <f>IFERROR(__xludf.DUMMYFUNCTION("""COMPUTED_VALUE"""),"https://earth.google.com/web/search/-30.9018596769871,-55.5437523715697")</f>
        <v>https://earth.google.com/web/search/-30.9018596769871,-55.5437523715697</v>
      </c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</row>
    <row r="554">
      <c r="A554" s="69" t="str">
        <f>IFERROR(__xludf.DUMMYFUNCTION("""COMPUTED_VALUE"""),"-30.9020166637439")</f>
        <v>-30.9020166637439</v>
      </c>
      <c r="B554" s="61" t="str">
        <f>IFERROR(__xludf.DUMMYFUNCTION("""COMPUTED_VALUE"""),"-55.5438593434756")</f>
        <v>-55.5438593434756</v>
      </c>
      <c r="C554" s="61">
        <f>IFERROR(__xludf.DUMMYFUNCTION("""COMPUTED_VALUE"""),1.0)</f>
        <v>1</v>
      </c>
      <c r="D554" s="61">
        <f>IFERROR(__xludf.DUMMYFUNCTION("""COMPUTED_VALUE"""),279.0)</f>
        <v>279</v>
      </c>
      <c r="E554" s="61">
        <f>IFERROR(__xludf.DUMMYFUNCTION("""COMPUTED_VALUE"""),18.0)</f>
        <v>18</v>
      </c>
      <c r="F554" s="62" t="str">
        <f>IFERROR(__xludf.DUMMYFUNCTION("""COMPUTED_VALUE"""),"https://www.google.com/maps/search/?api=1&amp;query=-30.9020166637439,-55.5438593434756")</f>
        <v>https://www.google.com/maps/search/?api=1&amp;query=-30.9020166637439,-55.5438593434756</v>
      </c>
      <c r="G554" s="63" t="str">
        <f>IFERROR(__xludf.DUMMYFUNCTION("""COMPUTED_VALUE"""),"https://earth.google.com/web/search/-30.9020166637439,-55.5438593434756")</f>
        <v>https://earth.google.com/web/search/-30.9020166637439,-55.5438593434756</v>
      </c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</row>
    <row r="555">
      <c r="A555" s="65" t="str">
        <f>IFERROR(__xludf.DUMMYFUNCTION("""COMPUTED_VALUE"""),"-3.0901654841268")</f>
        <v>-3.0901654841268</v>
      </c>
      <c r="B555" s="66" t="str">
        <f>IFERROR(__xludf.DUMMYFUNCTION("""COMPUTED_VALUE"""),"-55.5446448931117")</f>
        <v>-55.5446448931117</v>
      </c>
      <c r="C555" s="66">
        <f>IFERROR(__xludf.DUMMYFUNCTION("""COMPUTED_VALUE"""),1.0)</f>
        <v>1</v>
      </c>
      <c r="D555" s="66">
        <f>IFERROR(__xludf.DUMMYFUNCTION("""COMPUTED_VALUE"""),278.0)</f>
        <v>278</v>
      </c>
      <c r="E555" s="66">
        <f>IFERROR(__xludf.DUMMYFUNCTION("""COMPUTED_VALUE"""),1.0)</f>
        <v>1</v>
      </c>
      <c r="F555" s="67" t="str">
        <f>IFERROR(__xludf.DUMMYFUNCTION("""COMPUTED_VALUE"""),"https://www.google.com/maps/search/?api=1&amp;query=-3.0901654841268,-55.5446448931117")</f>
        <v>https://www.google.com/maps/search/?api=1&amp;query=-3.0901654841268,-55.5446448931117</v>
      </c>
      <c r="G555" s="68" t="str">
        <f>IFERROR(__xludf.DUMMYFUNCTION("""COMPUTED_VALUE"""),"https://earth.google.com/web/search/-3.0901654841268,-55.5446448931117")</f>
        <v>https://earth.google.com/web/search/-3.0901654841268,-55.5446448931117</v>
      </c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</row>
    <row r="556">
      <c r="A556" s="69" t="str">
        <f>IFERROR(__xludf.DUMMYFUNCTION("""COMPUTED_VALUE"""),"-30.9018278211945")</f>
        <v>-30.9018278211945</v>
      </c>
      <c r="B556" s="61" t="str">
        <f>IFERROR(__xludf.DUMMYFUNCTION("""COMPUTED_VALUE"""),"-55.5443079608928")</f>
        <v>-55.5443079608928</v>
      </c>
      <c r="C556" s="61">
        <f>IFERROR(__xludf.DUMMYFUNCTION("""COMPUTED_VALUE"""),1.0)</f>
        <v>1</v>
      </c>
      <c r="D556" s="61">
        <f>IFERROR(__xludf.DUMMYFUNCTION("""COMPUTED_VALUE"""),278.0)</f>
        <v>278</v>
      </c>
      <c r="E556" s="61">
        <f>IFERROR(__xludf.DUMMYFUNCTION("""COMPUTED_VALUE"""),2.0)</f>
        <v>2</v>
      </c>
      <c r="F556" s="62" t="str">
        <f>IFERROR(__xludf.DUMMYFUNCTION("""COMPUTED_VALUE"""),"https://www.google.com/maps/search/?api=1&amp;query=-30.9018278211945,-55.5443079608928")</f>
        <v>https://www.google.com/maps/search/?api=1&amp;query=-30.9018278211945,-55.5443079608928</v>
      </c>
      <c r="G556" s="63" t="str">
        <f>IFERROR(__xludf.DUMMYFUNCTION("""COMPUTED_VALUE"""),"https://earth.google.com/web/search/-30.9018278211945,-55.5443079608928")</f>
        <v>https://earth.google.com/web/search/-30.9018278211945,-55.5443079608928</v>
      </c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</row>
    <row r="557">
      <c r="A557" s="65" t="str">
        <f>IFERROR(__xludf.DUMMYFUNCTION("""COMPUTED_VALUE"""),"-30.9019506238991")</f>
        <v>-30.9019506238991</v>
      </c>
      <c r="B557" s="66" t="str">
        <f>IFERROR(__xludf.DUMMYFUNCTION("""COMPUTED_VALUE"""),"-55.5441129995618")</f>
        <v>-55.5441129995618</v>
      </c>
      <c r="C557" s="66">
        <f>IFERROR(__xludf.DUMMYFUNCTION("""COMPUTED_VALUE"""),1.0)</f>
        <v>1</v>
      </c>
      <c r="D557" s="66">
        <f>IFERROR(__xludf.DUMMYFUNCTION("""COMPUTED_VALUE"""),278.0)</f>
        <v>278</v>
      </c>
      <c r="E557" s="66">
        <f>IFERROR(__xludf.DUMMYFUNCTION("""COMPUTED_VALUE"""),3.0)</f>
        <v>3</v>
      </c>
      <c r="F557" s="67" t="str">
        <f>IFERROR(__xludf.DUMMYFUNCTION("""COMPUTED_VALUE"""),"https://www.google.com/maps/search/?api=1&amp;query=-30.9019506238991,-55.5441129995618")</f>
        <v>https://www.google.com/maps/search/?api=1&amp;query=-30.9019506238991,-55.5441129995618</v>
      </c>
      <c r="G557" s="68" t="str">
        <f>IFERROR(__xludf.DUMMYFUNCTION("""COMPUTED_VALUE"""),"https://earth.google.com/web/search/-30.9019506238991,-55.5441129995618")</f>
        <v>https://earth.google.com/web/search/-30.9019506238991,-55.5441129995618</v>
      </c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</row>
    <row r="558">
      <c r="A558" s="69" t="str">
        <f>IFERROR(__xludf.DUMMYFUNCTION("""COMPUTED_VALUE"""),"-30.9020089709869")</f>
        <v>-30.9020089709869</v>
      </c>
      <c r="B558" s="61" t="str">
        <f>IFERROR(__xludf.DUMMYFUNCTION("""COMPUTED_VALUE"""),"-55.5440603116944")</f>
        <v>-55.5440603116944</v>
      </c>
      <c r="C558" s="61">
        <f>IFERROR(__xludf.DUMMYFUNCTION("""COMPUTED_VALUE"""),1.0)</f>
        <v>1</v>
      </c>
      <c r="D558" s="61">
        <f>IFERROR(__xludf.DUMMYFUNCTION("""COMPUTED_VALUE"""),278.0)</f>
        <v>278</v>
      </c>
      <c r="E558" s="61">
        <f>IFERROR(__xludf.DUMMYFUNCTION("""COMPUTED_VALUE"""),4.0)</f>
        <v>4</v>
      </c>
      <c r="F558" s="62" t="str">
        <f>IFERROR(__xludf.DUMMYFUNCTION("""COMPUTED_VALUE"""),"https://www.google.com/maps/search/?api=1&amp;query=-30.9020089709869,-55.5440603116944")</f>
        <v>https://www.google.com/maps/search/?api=1&amp;query=-30.9020089709869,-55.5440603116944</v>
      </c>
      <c r="G558" s="63" t="str">
        <f>IFERROR(__xludf.DUMMYFUNCTION("""COMPUTED_VALUE"""),"https://earth.google.com/web/search/-30.9020089709869,-55.5440603116944")</f>
        <v>https://earth.google.com/web/search/-30.9020089709869,-55.5440603116944</v>
      </c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</row>
    <row r="559">
      <c r="A559" s="65" t="str">
        <f>IFERROR(__xludf.DUMMYFUNCTION("""COMPUTED_VALUE"""),"-30.9019288601759")</f>
        <v>-30.9019288601759</v>
      </c>
      <c r="B559" s="66" t="str">
        <f>IFERROR(__xludf.DUMMYFUNCTION("""COMPUTED_VALUE"""),"-55.5438931271956")</f>
        <v>-55.5438931271956</v>
      </c>
      <c r="C559" s="66">
        <f>IFERROR(__xludf.DUMMYFUNCTION("""COMPUTED_VALUE"""),1.0)</f>
        <v>1</v>
      </c>
      <c r="D559" s="66">
        <f>IFERROR(__xludf.DUMMYFUNCTION("""COMPUTED_VALUE"""),278.0)</f>
        <v>278</v>
      </c>
      <c r="E559" s="66">
        <f>IFERROR(__xludf.DUMMYFUNCTION("""COMPUTED_VALUE"""),5.0)</f>
        <v>5</v>
      </c>
      <c r="F559" s="67" t="str">
        <f>IFERROR(__xludf.DUMMYFUNCTION("""COMPUTED_VALUE"""),"https://www.google.com/maps/search/?api=1&amp;query=-30.9019288601759,-55.5438931271956")</f>
        <v>https://www.google.com/maps/search/?api=1&amp;query=-30.9019288601759,-55.5438931271956</v>
      </c>
      <c r="G559" s="68" t="str">
        <f>IFERROR(__xludf.DUMMYFUNCTION("""COMPUTED_VALUE"""),"https://earth.google.com/web/search/-30.9019288601759,-55.5438931271956")</f>
        <v>https://earth.google.com/web/search/-30.9019288601759,-55.5438931271956</v>
      </c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</row>
    <row r="560">
      <c r="A560" s="69" t="str">
        <f>IFERROR(__xludf.DUMMYFUNCTION("""COMPUTED_VALUE"""),"-30.9017236544621")</f>
        <v>-30.9017236544621</v>
      </c>
      <c r="B560" s="61" t="str">
        <f>IFERROR(__xludf.DUMMYFUNCTION("""COMPUTED_VALUE"""),"-55.5437595083251")</f>
        <v>-55.5437595083251</v>
      </c>
      <c r="C560" s="61">
        <f>IFERROR(__xludf.DUMMYFUNCTION("""COMPUTED_VALUE"""),1.0)</f>
        <v>1</v>
      </c>
      <c r="D560" s="61">
        <f>IFERROR(__xludf.DUMMYFUNCTION("""COMPUTED_VALUE"""),278.0)</f>
        <v>278</v>
      </c>
      <c r="E560" s="61">
        <f>IFERROR(__xludf.DUMMYFUNCTION("""COMPUTED_VALUE"""),6.0)</f>
        <v>6</v>
      </c>
      <c r="F560" s="62" t="str">
        <f>IFERROR(__xludf.DUMMYFUNCTION("""COMPUTED_VALUE"""),"https://www.google.com/maps/search/?api=1&amp;query=-30.9017236544621,-55.5437595083251")</f>
        <v>https://www.google.com/maps/search/?api=1&amp;query=-30.9017236544621,-55.5437595083251</v>
      </c>
      <c r="G560" s="63" t="str">
        <f>IFERROR(__xludf.DUMMYFUNCTION("""COMPUTED_VALUE"""),"https://earth.google.com/web/search/-30.9017236544621,-55.5437595083251")</f>
        <v>https://earth.google.com/web/search/-30.9017236544621,-55.5437595083251</v>
      </c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</row>
    <row r="561">
      <c r="A561" s="65" t="str">
        <f>IFERROR(__xludf.DUMMYFUNCTION("""COMPUTED_VALUE"""),"-30.9016382772794")</f>
        <v>-30.9016382772794</v>
      </c>
      <c r="B561" s="66" t="str">
        <f>IFERROR(__xludf.DUMMYFUNCTION("""COMPUTED_VALUE"""),"-55.5437007252447")</f>
        <v>-55.5437007252447</v>
      </c>
      <c r="C561" s="66">
        <f>IFERROR(__xludf.DUMMYFUNCTION("""COMPUTED_VALUE"""),1.0)</f>
        <v>1</v>
      </c>
      <c r="D561" s="66">
        <f>IFERROR(__xludf.DUMMYFUNCTION("""COMPUTED_VALUE"""),278.0)</f>
        <v>278</v>
      </c>
      <c r="E561" s="66">
        <f>IFERROR(__xludf.DUMMYFUNCTION("""COMPUTED_VALUE"""),7.0)</f>
        <v>7</v>
      </c>
      <c r="F561" s="67" t="str">
        <f>IFERROR(__xludf.DUMMYFUNCTION("""COMPUTED_VALUE"""),"https://www.google.com/maps/search/?api=1&amp;query=-30.9016382772794,-55.5437007252447")</f>
        <v>https://www.google.com/maps/search/?api=1&amp;query=-30.9016382772794,-55.5437007252447</v>
      </c>
      <c r="G561" s="68" t="str">
        <f>IFERROR(__xludf.DUMMYFUNCTION("""COMPUTED_VALUE"""),"https://earth.google.com/web/search/-30.9016382772794,-55.5437007252447")</f>
        <v>https://earth.google.com/web/search/-30.9016382772794,-55.5437007252447</v>
      </c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</row>
    <row r="562">
      <c r="A562" s="69" t="str">
        <f>IFERROR(__xludf.DUMMYFUNCTION("""COMPUTED_VALUE"""),"-30.9014459474304")</f>
        <v>-30.9014459474304</v>
      </c>
      <c r="B562" s="61" t="str">
        <f>IFERROR(__xludf.DUMMYFUNCTION("""COMPUTED_VALUE"""),"-55.5435813409999")</f>
        <v>-55.5435813409999</v>
      </c>
      <c r="C562" s="61">
        <f>IFERROR(__xludf.DUMMYFUNCTION("""COMPUTED_VALUE"""),1.0)</f>
        <v>1</v>
      </c>
      <c r="D562" s="61">
        <f>IFERROR(__xludf.DUMMYFUNCTION("""COMPUTED_VALUE"""),278.0)</f>
        <v>278</v>
      </c>
      <c r="E562" s="61">
        <f>IFERROR(__xludf.DUMMYFUNCTION("""COMPUTED_VALUE"""),8.0)</f>
        <v>8</v>
      </c>
      <c r="F562" s="62" t="str">
        <f>IFERROR(__xludf.DUMMYFUNCTION("""COMPUTED_VALUE"""),"https://www.google.com/maps/search/?api=1&amp;query=-30.9014459474304,-55.5435813409999")</f>
        <v>https://www.google.com/maps/search/?api=1&amp;query=-30.9014459474304,-55.5435813409999</v>
      </c>
      <c r="G562" s="63" t="str">
        <f>IFERROR(__xludf.DUMMYFUNCTION("""COMPUTED_VALUE"""),"https://earth.google.com/web/search/-30.9014459474304,-55.5435813409999")</f>
        <v>https://earth.google.com/web/search/-30.9014459474304,-55.5435813409999</v>
      </c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</row>
    <row r="563">
      <c r="A563" s="65" t="str">
        <f>IFERROR(__xludf.DUMMYFUNCTION("""COMPUTED_VALUE"""),"-30.9011468496243")</f>
        <v>-30.9011468496243</v>
      </c>
      <c r="B563" s="66" t="str">
        <f>IFERROR(__xludf.DUMMYFUNCTION("""COMPUTED_VALUE"""),"-55.5437920947915")</f>
        <v>-55.5437920947915</v>
      </c>
      <c r="C563" s="66">
        <f>IFERROR(__xludf.DUMMYFUNCTION("""COMPUTED_VALUE"""),1.0)</f>
        <v>1</v>
      </c>
      <c r="D563" s="66">
        <f>IFERROR(__xludf.DUMMYFUNCTION("""COMPUTED_VALUE"""),278.0)</f>
        <v>278</v>
      </c>
      <c r="E563" s="66">
        <f>IFERROR(__xludf.DUMMYFUNCTION("""COMPUTED_VALUE"""),9.0)</f>
        <v>9</v>
      </c>
      <c r="F563" s="67" t="str">
        <f>IFERROR(__xludf.DUMMYFUNCTION("""COMPUTED_VALUE"""),"https://www.google.com/maps/search/?api=1&amp;query=-30.9011468496243,-55.5437920947915")</f>
        <v>https://www.google.com/maps/search/?api=1&amp;query=-30.9011468496243,-55.5437920947915</v>
      </c>
      <c r="G563" s="68" t="str">
        <f>IFERROR(__xludf.DUMMYFUNCTION("""COMPUTED_VALUE"""),"https://earth.google.com/web/search/-30.9011468496243,-55.5437920947915")</f>
        <v>https://earth.google.com/web/search/-30.9011468496243,-55.5437920947915</v>
      </c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</row>
    <row r="564">
      <c r="A564" s="69" t="str">
        <f>IFERROR(__xludf.DUMMYFUNCTION("""COMPUTED_VALUE"""),"-30.9010959051618")</f>
        <v>-30.9010959051618</v>
      </c>
      <c r="B564" s="61" t="str">
        <f>IFERROR(__xludf.DUMMYFUNCTION("""COMPUTED_VALUE"""),"-5.5543872472504")</f>
        <v>-5.5543872472504</v>
      </c>
      <c r="C564" s="61">
        <f>IFERROR(__xludf.DUMMYFUNCTION("""COMPUTED_VALUE"""),1.0)</f>
        <v>1</v>
      </c>
      <c r="D564" s="61">
        <f>IFERROR(__xludf.DUMMYFUNCTION("""COMPUTED_VALUE"""),278.0)</f>
        <v>278</v>
      </c>
      <c r="E564" s="61">
        <f>IFERROR(__xludf.DUMMYFUNCTION("""COMPUTED_VALUE"""),10.0)</f>
        <v>10</v>
      </c>
      <c r="F564" s="62" t="str">
        <f>IFERROR(__xludf.DUMMYFUNCTION("""COMPUTED_VALUE"""),"https://www.google.com/maps/search/?api=1&amp;query=-30.9010959051618,-5.5543872472504")</f>
        <v>https://www.google.com/maps/search/?api=1&amp;query=-30.9010959051618,-5.5543872472504</v>
      </c>
      <c r="G564" s="63" t="str">
        <f>IFERROR(__xludf.DUMMYFUNCTION("""COMPUTED_VALUE"""),"https://earth.google.com/web/search/-30.9010959051618,-5.5543872472504")</f>
        <v>https://earth.google.com/web/search/-30.9010959051618,-5.5543872472504</v>
      </c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</row>
    <row r="565">
      <c r="A565" s="65" t="str">
        <f>IFERROR(__xludf.DUMMYFUNCTION("""COMPUTED_VALUE"""),"-30.9038796168926")</f>
        <v>-30.9038796168926</v>
      </c>
      <c r="B565" s="66" t="str">
        <f>IFERROR(__xludf.DUMMYFUNCTION("""COMPUTED_VALUE"""),"-55.5384620618007")</f>
        <v>-55.5384620618007</v>
      </c>
      <c r="C565" s="66">
        <f>IFERROR(__xludf.DUMMYFUNCTION("""COMPUTED_VALUE"""),1.0)</f>
        <v>1</v>
      </c>
      <c r="D565" s="66">
        <f>IFERROR(__xludf.DUMMYFUNCTION("""COMPUTED_VALUE"""),237.0)</f>
        <v>237</v>
      </c>
      <c r="E565" s="66">
        <f>IFERROR(__xludf.DUMMYFUNCTION("""COMPUTED_VALUE"""),1.0)</f>
        <v>1</v>
      </c>
      <c r="F565" s="67" t="str">
        <f>IFERROR(__xludf.DUMMYFUNCTION("""COMPUTED_VALUE"""),"https://www.google.com/maps/search/?api=1&amp;query=-30.9038796168926,-55.5384620618007")</f>
        <v>https://www.google.com/maps/search/?api=1&amp;query=-30.9038796168926,-55.5384620618007</v>
      </c>
      <c r="G565" s="68" t="str">
        <f>IFERROR(__xludf.DUMMYFUNCTION("""COMPUTED_VALUE"""),"https://earth.google.com/web/search/-30.9038796168926,-55.5384620618007")</f>
        <v>https://earth.google.com/web/search/-30.9038796168926,-55.5384620618007</v>
      </c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</row>
    <row r="566">
      <c r="A566" s="69" t="str">
        <f>IFERROR(__xludf.DUMMYFUNCTION("""COMPUTED_VALUE"""),"-30.9041096765148")</f>
        <v>-30.9041096765148</v>
      </c>
      <c r="B566" s="61" t="str">
        <f>IFERROR(__xludf.DUMMYFUNCTION("""COMPUTED_VALUE"""),"-5.5537987962516")</f>
        <v>-5.5537987962516</v>
      </c>
      <c r="C566" s="61">
        <f>IFERROR(__xludf.DUMMYFUNCTION("""COMPUTED_VALUE"""),1.0)</f>
        <v>1</v>
      </c>
      <c r="D566" s="61">
        <f>IFERROR(__xludf.DUMMYFUNCTION("""COMPUTED_VALUE"""),237.0)</f>
        <v>237</v>
      </c>
      <c r="E566" s="61">
        <f>IFERROR(__xludf.DUMMYFUNCTION("""COMPUTED_VALUE"""),2.0)</f>
        <v>2</v>
      </c>
      <c r="F566" s="62" t="str">
        <f>IFERROR(__xludf.DUMMYFUNCTION("""COMPUTED_VALUE"""),"https://www.google.com/maps/search/?api=1&amp;query=-30.9041096765148,-5.5537987962516")</f>
        <v>https://www.google.com/maps/search/?api=1&amp;query=-30.9041096765148,-5.5537987962516</v>
      </c>
      <c r="G566" s="63" t="str">
        <f>IFERROR(__xludf.DUMMYFUNCTION("""COMPUTED_VALUE"""),"https://earth.google.com/web/search/-30.9041096765148,-5.5537987962516")</f>
        <v>https://earth.google.com/web/search/-30.9041096765148,-5.5537987962516</v>
      </c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</row>
    <row r="567">
      <c r="A567" s="65" t="str">
        <f>IFERROR(__xludf.DUMMYFUNCTION("""COMPUTED_VALUE"""),"-3.0903394666377")</f>
        <v>-3.0903394666377</v>
      </c>
      <c r="B567" s="66" t="str">
        <f>IFERROR(__xludf.DUMMYFUNCTION("""COMPUTED_VALUE"""),"-55.5375160961699")</f>
        <v>-55.5375160961699</v>
      </c>
      <c r="C567" s="66">
        <f>IFERROR(__xludf.DUMMYFUNCTION("""COMPUTED_VALUE"""),1.0)</f>
        <v>1</v>
      </c>
      <c r="D567" s="66">
        <f>IFERROR(__xludf.DUMMYFUNCTION("""COMPUTED_VALUE"""),237.0)</f>
        <v>237</v>
      </c>
      <c r="E567" s="66">
        <f>IFERROR(__xludf.DUMMYFUNCTION("""COMPUTED_VALUE"""),3.0)</f>
        <v>3</v>
      </c>
      <c r="F567" s="67" t="str">
        <f>IFERROR(__xludf.DUMMYFUNCTION("""COMPUTED_VALUE"""),"https://www.google.com/maps/search/?api=1&amp;query=-3.0903394666377,-55.5375160961699")</f>
        <v>https://www.google.com/maps/search/?api=1&amp;query=-3.0903394666377,-55.5375160961699</v>
      </c>
      <c r="G567" s="68" t="str">
        <f>IFERROR(__xludf.DUMMYFUNCTION("""COMPUTED_VALUE"""),"https://earth.google.com/web/search/-3.0903394666377,-55.5375160961699")</f>
        <v>https://earth.google.com/web/search/-3.0903394666377,-55.5375160961699</v>
      </c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</row>
    <row r="568">
      <c r="A568" s="69" t="str">
        <f>IFERROR(__xludf.DUMMYFUNCTION("""COMPUTED_VALUE"""),"-3.0903336500299")</f>
        <v>-3.0903336500299</v>
      </c>
      <c r="B568" s="61" t="str">
        <f>IFERROR(__xludf.DUMMYFUNCTION("""COMPUTED_VALUE"""),"-55.5376206079836")</f>
        <v>-55.5376206079836</v>
      </c>
      <c r="C568" s="61">
        <f>IFERROR(__xludf.DUMMYFUNCTION("""COMPUTED_VALUE"""),1.0)</f>
        <v>1</v>
      </c>
      <c r="D568" s="61">
        <f>IFERROR(__xludf.DUMMYFUNCTION("""COMPUTED_VALUE"""),237.0)</f>
        <v>237</v>
      </c>
      <c r="E568" s="61">
        <f>IFERROR(__xludf.DUMMYFUNCTION("""COMPUTED_VALUE"""),4.0)</f>
        <v>4</v>
      </c>
      <c r="F568" s="62" t="str">
        <f>IFERROR(__xludf.DUMMYFUNCTION("""COMPUTED_VALUE"""),"https://www.google.com/maps/search/?api=1&amp;query=-3.0903336500299,-55.5376206079836")</f>
        <v>https://www.google.com/maps/search/?api=1&amp;query=-3.0903336500299,-55.5376206079836</v>
      </c>
      <c r="G568" s="63" t="str">
        <f>IFERROR(__xludf.DUMMYFUNCTION("""COMPUTED_VALUE"""),"https://earth.google.com/web/search/-3.0903336500299,-55.5376206079836")</f>
        <v>https://earth.google.com/web/search/-3.0903336500299,-55.5376206079836</v>
      </c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</row>
    <row r="569">
      <c r="A569" s="65" t="str">
        <f>IFERROR(__xludf.DUMMYFUNCTION("""COMPUTED_VALUE"""),"-30.9033120808698")</f>
        <v>-30.9033120808698</v>
      </c>
      <c r="B569" s="66" t="str">
        <f>IFERROR(__xludf.DUMMYFUNCTION("""COMPUTED_VALUE"""),"-55.5376566450844")</f>
        <v>-55.5376566450844</v>
      </c>
      <c r="C569" s="66">
        <f>IFERROR(__xludf.DUMMYFUNCTION("""COMPUTED_VALUE"""),1.0)</f>
        <v>1</v>
      </c>
      <c r="D569" s="66">
        <f>IFERROR(__xludf.DUMMYFUNCTION("""COMPUTED_VALUE"""),237.0)</f>
        <v>237</v>
      </c>
      <c r="E569" s="66">
        <f>IFERROR(__xludf.DUMMYFUNCTION("""COMPUTED_VALUE"""),5.0)</f>
        <v>5</v>
      </c>
      <c r="F569" s="67" t="str">
        <f>IFERROR(__xludf.DUMMYFUNCTION("""COMPUTED_VALUE"""),"https://www.google.com/maps/search/?api=1&amp;query=-30.9033120808698,-55.5376566450844")</f>
        <v>https://www.google.com/maps/search/?api=1&amp;query=-30.9033120808698,-55.5376566450844</v>
      </c>
      <c r="G569" s="68" t="str">
        <f>IFERROR(__xludf.DUMMYFUNCTION("""COMPUTED_VALUE"""),"https://earth.google.com/web/search/-30.9033120808698,-55.5376566450844")</f>
        <v>https://earth.google.com/web/search/-30.9033120808698,-55.5376566450844</v>
      </c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</row>
    <row r="570">
      <c r="A570" s="69" t="str">
        <f>IFERROR(__xludf.DUMMYFUNCTION("""COMPUTED_VALUE"""),"-30.9031421632927")</f>
        <v>-30.9031421632927</v>
      </c>
      <c r="B570" s="61" t="str">
        <f>IFERROR(__xludf.DUMMYFUNCTION("""COMPUTED_VALUE"""),"-55.5379773578621")</f>
        <v>-55.5379773578621</v>
      </c>
      <c r="C570" s="61">
        <f>IFERROR(__xludf.DUMMYFUNCTION("""COMPUTED_VALUE"""),1.0)</f>
        <v>1</v>
      </c>
      <c r="D570" s="61">
        <f>IFERROR(__xludf.DUMMYFUNCTION("""COMPUTED_VALUE"""),237.0)</f>
        <v>237</v>
      </c>
      <c r="E570" s="61">
        <f>IFERROR(__xludf.DUMMYFUNCTION("""COMPUTED_VALUE"""),5.0)</f>
        <v>5</v>
      </c>
      <c r="F570" s="62" t="str">
        <f>IFERROR(__xludf.DUMMYFUNCTION("""COMPUTED_VALUE"""),"https://www.google.com/maps/search/?api=1&amp;query=-30.9031421632927,-55.5379773578621")</f>
        <v>https://www.google.com/maps/search/?api=1&amp;query=-30.9031421632927,-55.5379773578621</v>
      </c>
      <c r="G570" s="63" t="str">
        <f>IFERROR(__xludf.DUMMYFUNCTION("""COMPUTED_VALUE"""),"https://earth.google.com/web/search/-30.9031421632927,-55.5379773578621")</f>
        <v>https://earth.google.com/web/search/-30.9031421632927,-55.5379773578621</v>
      </c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</row>
    <row r="571">
      <c r="A571" s="65" t="str">
        <f>IFERROR(__xludf.DUMMYFUNCTION("""COMPUTED_VALUE"""),"-30.9030346468542")</f>
        <v>-30.9030346468542</v>
      </c>
      <c r="B571" s="66" t="str">
        <f>IFERROR(__xludf.DUMMYFUNCTION("""COMPUTED_VALUE"""),"-55.5381735652584")</f>
        <v>-55.5381735652584</v>
      </c>
      <c r="C571" s="66">
        <f>IFERROR(__xludf.DUMMYFUNCTION("""COMPUTED_VALUE"""),1.0)</f>
        <v>1</v>
      </c>
      <c r="D571" s="66">
        <f>IFERROR(__xludf.DUMMYFUNCTION("""COMPUTED_VALUE"""),237.0)</f>
        <v>237</v>
      </c>
      <c r="E571" s="66">
        <f>IFERROR(__xludf.DUMMYFUNCTION("""COMPUTED_VALUE"""),6.0)</f>
        <v>6</v>
      </c>
      <c r="F571" s="67" t="str">
        <f>IFERROR(__xludf.DUMMYFUNCTION("""COMPUTED_VALUE"""),"https://www.google.com/maps/search/?api=1&amp;query=-30.9030346468542,-55.5381735652584")</f>
        <v>https://www.google.com/maps/search/?api=1&amp;query=-30.9030346468542,-55.5381735652584</v>
      </c>
      <c r="G571" s="68" t="str">
        <f>IFERROR(__xludf.DUMMYFUNCTION("""COMPUTED_VALUE"""),"https://earth.google.com/web/search/-30.9030346468542,-55.5381735652584")</f>
        <v>https://earth.google.com/web/search/-30.9030346468542,-55.5381735652584</v>
      </c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</row>
    <row r="572">
      <c r="A572" s="69" t="str">
        <f>IFERROR(__xludf.DUMMYFUNCTION("""COMPUTED_VALUE"""),"-30.9030582142611")</f>
        <v>-30.9030582142611</v>
      </c>
      <c r="B572" s="61" t="str">
        <f>IFERROR(__xludf.DUMMYFUNCTION("""COMPUTED_VALUE"""),"-0.5553829689086")</f>
        <v>-0.5553829689086</v>
      </c>
      <c r="C572" s="61">
        <f>IFERROR(__xludf.DUMMYFUNCTION("""COMPUTED_VALUE"""),1.0)</f>
        <v>1</v>
      </c>
      <c r="D572" s="61">
        <f>IFERROR(__xludf.DUMMYFUNCTION("""COMPUTED_VALUE"""),237.0)</f>
        <v>237</v>
      </c>
      <c r="E572" s="61">
        <f>IFERROR(__xludf.DUMMYFUNCTION("""COMPUTED_VALUE"""),7.0)</f>
        <v>7</v>
      </c>
      <c r="F572" s="62" t="str">
        <f>IFERROR(__xludf.DUMMYFUNCTION("""COMPUTED_VALUE"""),"https://www.google.com/maps/search/?api=1&amp;query=-30.9030582142611,-0.5553829689086")</f>
        <v>https://www.google.com/maps/search/?api=1&amp;query=-30.9030582142611,-0.5553829689086</v>
      </c>
      <c r="G572" s="63" t="str">
        <f>IFERROR(__xludf.DUMMYFUNCTION("""COMPUTED_VALUE"""),"https://earth.google.com/web/search/-30.9030582142611,-0.5553829689086")</f>
        <v>https://earth.google.com/web/search/-30.9030582142611,-0.5553829689086</v>
      </c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</row>
    <row r="573">
      <c r="A573" s="65" t="str">
        <f>IFERROR(__xludf.DUMMYFUNCTION("""COMPUTED_VALUE"""),"-30.9033665891237")</f>
        <v>-30.9033665891237</v>
      </c>
      <c r="B573" s="66" t="str">
        <f>IFERROR(__xludf.DUMMYFUNCTION("""COMPUTED_VALUE"""),"-55.5394139054604")</f>
        <v>-55.5394139054604</v>
      </c>
      <c r="C573" s="66">
        <f>IFERROR(__xludf.DUMMYFUNCTION("""COMPUTED_VALUE"""),1.0)</f>
        <v>1</v>
      </c>
      <c r="D573" s="66">
        <f>IFERROR(__xludf.DUMMYFUNCTION("""COMPUTED_VALUE"""),238.0)</f>
        <v>238</v>
      </c>
      <c r="E573" s="66">
        <f>IFERROR(__xludf.DUMMYFUNCTION("""COMPUTED_VALUE"""),1.0)</f>
        <v>1</v>
      </c>
      <c r="F573" s="67" t="str">
        <f>IFERROR(__xludf.DUMMYFUNCTION("""COMPUTED_VALUE"""),"https://www.google.com/maps/search/?api=1&amp;query=-30.9033665891237,-55.5394139054604")</f>
        <v>https://www.google.com/maps/search/?api=1&amp;query=-30.9033665891237,-55.5394139054604</v>
      </c>
      <c r="G573" s="68" t="str">
        <f>IFERROR(__xludf.DUMMYFUNCTION("""COMPUTED_VALUE"""),"https://earth.google.com/web/search/-30.9033665891237,-55.5394139054604")</f>
        <v>https://earth.google.com/web/search/-30.9033665891237,-55.5394139054604</v>
      </c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</row>
    <row r="574">
      <c r="A574" s="69" t="str">
        <f>IFERROR(__xludf.DUMMYFUNCTION("""COMPUTED_VALUE"""),"-30.9033764049885")</f>
        <v>-30.9033764049885</v>
      </c>
      <c r="B574" s="61" t="str">
        <f>IFERROR(__xludf.DUMMYFUNCTION("""COMPUTED_VALUE"""),"-55.5393680096893")</f>
        <v>-55.5393680096893</v>
      </c>
      <c r="C574" s="61">
        <f>IFERROR(__xludf.DUMMYFUNCTION("""COMPUTED_VALUE"""),1.0)</f>
        <v>1</v>
      </c>
      <c r="D574" s="61">
        <f>IFERROR(__xludf.DUMMYFUNCTION("""COMPUTED_VALUE"""),238.0)</f>
        <v>238</v>
      </c>
      <c r="E574" s="61">
        <f>IFERROR(__xludf.DUMMYFUNCTION("""COMPUTED_VALUE"""),2.0)</f>
        <v>2</v>
      </c>
      <c r="F574" s="62" t="str">
        <f>IFERROR(__xludf.DUMMYFUNCTION("""COMPUTED_VALUE"""),"https://www.google.com/maps/search/?api=1&amp;query=-30.9033764049885,-55.5393680096893")</f>
        <v>https://www.google.com/maps/search/?api=1&amp;query=-30.9033764049885,-55.5393680096893</v>
      </c>
      <c r="G574" s="63" t="str">
        <f>IFERROR(__xludf.DUMMYFUNCTION("""COMPUTED_VALUE"""),"https://earth.google.com/web/search/-30.9033764049885,-55.5393680096893")</f>
        <v>https://earth.google.com/web/search/-30.9033764049885,-55.5393680096893</v>
      </c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</row>
    <row r="575">
      <c r="A575" s="65" t="str">
        <f>IFERROR(__xludf.DUMMYFUNCTION("""COMPUTED_VALUE"""),"-30.9034141846981")</f>
        <v>-30.9034141846981</v>
      </c>
      <c r="B575" s="66" t="str">
        <f>IFERROR(__xludf.DUMMYFUNCTION("""COMPUTED_VALUE"""),"-55.5393243191598")</f>
        <v>-55.5393243191598</v>
      </c>
      <c r="C575" s="66">
        <f>IFERROR(__xludf.DUMMYFUNCTION("""COMPUTED_VALUE"""),1.0)</f>
        <v>1</v>
      </c>
      <c r="D575" s="66">
        <f>IFERROR(__xludf.DUMMYFUNCTION("""COMPUTED_VALUE"""),238.0)</f>
        <v>238</v>
      </c>
      <c r="E575" s="66">
        <f>IFERROR(__xludf.DUMMYFUNCTION("""COMPUTED_VALUE"""),3.0)</f>
        <v>3</v>
      </c>
      <c r="F575" s="67" t="str">
        <f>IFERROR(__xludf.DUMMYFUNCTION("""COMPUTED_VALUE"""),"https://www.google.com/maps/search/?api=1&amp;query=-30.9034141846981,-55.5393243191598")</f>
        <v>https://www.google.com/maps/search/?api=1&amp;query=-30.9034141846981,-55.5393243191598</v>
      </c>
      <c r="G575" s="68" t="str">
        <f>IFERROR(__xludf.DUMMYFUNCTION("""COMPUTED_VALUE"""),"https://earth.google.com/web/search/-30.9034141846981,-55.5393243191598")</f>
        <v>https://earth.google.com/web/search/-30.9034141846981,-55.5393243191598</v>
      </c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</row>
    <row r="576">
      <c r="A576" s="69" t="str">
        <f>IFERROR(__xludf.DUMMYFUNCTION("""COMPUTED_VALUE"""),"-30.9035406707211")</f>
        <v>-30.9035406707211</v>
      </c>
      <c r="B576" s="61" t="str">
        <f>IFERROR(__xludf.DUMMYFUNCTION("""COMPUTED_VALUE"""),"-55.5387753648007")</f>
        <v>-55.5387753648007</v>
      </c>
      <c r="C576" s="61">
        <f>IFERROR(__xludf.DUMMYFUNCTION("""COMPUTED_VALUE"""),1.0)</f>
        <v>1</v>
      </c>
      <c r="D576" s="61">
        <f>IFERROR(__xludf.DUMMYFUNCTION("""COMPUTED_VALUE"""),238.0)</f>
        <v>238</v>
      </c>
      <c r="E576" s="61">
        <f>IFERROR(__xludf.DUMMYFUNCTION("""COMPUTED_VALUE"""),4.0)</f>
        <v>4</v>
      </c>
      <c r="F576" s="62" t="str">
        <f>IFERROR(__xludf.DUMMYFUNCTION("""COMPUTED_VALUE"""),"https://www.google.com/maps/search/?api=1&amp;query=-30.9035406707211,-55.5387753648007")</f>
        <v>https://www.google.com/maps/search/?api=1&amp;query=-30.9035406707211,-55.5387753648007</v>
      </c>
      <c r="G576" s="63" t="str">
        <f>IFERROR(__xludf.DUMMYFUNCTION("""COMPUTED_VALUE"""),"https://earth.google.com/web/search/-30.9035406707211,-55.5387753648007")</f>
        <v>https://earth.google.com/web/search/-30.9035406707211,-55.5387753648007</v>
      </c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</row>
    <row r="577">
      <c r="A577" s="65" t="str">
        <f>IFERROR(__xludf.DUMMYFUNCTION("""COMPUTED_VALUE"""),"-30.9034765600363")</f>
        <v>-30.9034765600363</v>
      </c>
      <c r="B577" s="66" t="str">
        <f>IFERROR(__xludf.DUMMYFUNCTION("""COMPUTED_VALUE"""),"-5.5538720133291")</f>
        <v>-5.5538720133291</v>
      </c>
      <c r="C577" s="66">
        <f>IFERROR(__xludf.DUMMYFUNCTION("""COMPUTED_VALUE"""),1.0)</f>
        <v>1</v>
      </c>
      <c r="D577" s="66">
        <f>IFERROR(__xludf.DUMMYFUNCTION("""COMPUTED_VALUE"""),238.0)</f>
        <v>238</v>
      </c>
      <c r="E577" s="66">
        <f>IFERROR(__xludf.DUMMYFUNCTION("""COMPUTED_VALUE"""),5.0)</f>
        <v>5</v>
      </c>
      <c r="F577" s="67" t="str">
        <f>IFERROR(__xludf.DUMMYFUNCTION("""COMPUTED_VALUE"""),"https://www.google.com/maps/search/?api=1&amp;query=-30.9034765600363,-5.5538720133291")</f>
        <v>https://www.google.com/maps/search/?api=1&amp;query=-30.9034765600363,-5.5538720133291</v>
      </c>
      <c r="G577" s="68" t="str">
        <f>IFERROR(__xludf.DUMMYFUNCTION("""COMPUTED_VALUE"""),"https://earth.google.com/web/search/-30.9034765600363,-5.5538720133291")</f>
        <v>https://earth.google.com/web/search/-30.9034765600363,-5.5538720133291</v>
      </c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</row>
    <row r="578">
      <c r="A578" s="69" t="str">
        <f>IFERROR(__xludf.DUMMYFUNCTION("""COMPUTED_VALUE"""),"-30.9034219327027")</f>
        <v>-30.9034219327027</v>
      </c>
      <c r="B578" s="61" t="str">
        <f>IFERROR(__xludf.DUMMYFUNCTION("""COMPUTED_VALUE"""),"-55.5386738494156")</f>
        <v>-55.5386738494156</v>
      </c>
      <c r="C578" s="61">
        <f>IFERROR(__xludf.DUMMYFUNCTION("""COMPUTED_VALUE"""),1.0)</f>
        <v>1</v>
      </c>
      <c r="D578" s="61">
        <f>IFERROR(__xludf.DUMMYFUNCTION("""COMPUTED_VALUE"""),238.0)</f>
        <v>238</v>
      </c>
      <c r="E578" s="61">
        <f>IFERROR(__xludf.DUMMYFUNCTION("""COMPUTED_VALUE"""),6.0)</f>
        <v>6</v>
      </c>
      <c r="F578" s="62" t="str">
        <f>IFERROR(__xludf.DUMMYFUNCTION("""COMPUTED_VALUE"""),"https://www.google.com/maps/search/?api=1&amp;query=-30.9034219327027,-55.5386738494156")</f>
        <v>https://www.google.com/maps/search/?api=1&amp;query=-30.9034219327027,-55.5386738494156</v>
      </c>
      <c r="G578" s="63" t="str">
        <f>IFERROR(__xludf.DUMMYFUNCTION("""COMPUTED_VALUE"""),"https://earth.google.com/web/search/-30.9034219327027,-55.5386738494156")</f>
        <v>https://earth.google.com/web/search/-30.9034219327027,-55.5386738494156</v>
      </c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</row>
    <row r="579">
      <c r="A579" s="65" t="str">
        <f>IFERROR(__xludf.DUMMYFUNCTION("""COMPUTED_VALUE"""),"-30.9032680466689")</f>
        <v>-30.9032680466689</v>
      </c>
      <c r="B579" s="66" t="str">
        <f>IFERROR(__xludf.DUMMYFUNCTION("""COMPUTED_VALUE"""),"-5.5538561515388")</f>
        <v>-5.5538561515388</v>
      </c>
      <c r="C579" s="66">
        <f>IFERROR(__xludf.DUMMYFUNCTION("""COMPUTED_VALUE"""),1.0)</f>
        <v>1</v>
      </c>
      <c r="D579" s="66">
        <f>IFERROR(__xludf.DUMMYFUNCTION("""COMPUTED_VALUE"""),238.0)</f>
        <v>238</v>
      </c>
      <c r="E579" s="66">
        <f>IFERROR(__xludf.DUMMYFUNCTION("""COMPUTED_VALUE"""),7.0)</f>
        <v>7</v>
      </c>
      <c r="F579" s="67" t="str">
        <f>IFERROR(__xludf.DUMMYFUNCTION("""COMPUTED_VALUE"""),"https://www.google.com/maps/search/?api=1&amp;query=-30.9032680466689,-5.5538561515388")</f>
        <v>https://www.google.com/maps/search/?api=1&amp;query=-30.9032680466689,-5.5538561515388</v>
      </c>
      <c r="G579" s="68" t="str">
        <f>IFERROR(__xludf.DUMMYFUNCTION("""COMPUTED_VALUE"""),"https://earth.google.com/web/search/-30.9032680466689,-5.5538561515388")</f>
        <v>https://earth.google.com/web/search/-30.9032680466689,-5.5538561515388</v>
      </c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</row>
    <row r="580">
      <c r="A580" s="69" t="str">
        <f>IFERROR(__xludf.DUMMYFUNCTION("""COMPUTED_VALUE"""),"-30.9030421794828")</f>
        <v>-30.9030421794828</v>
      </c>
      <c r="B580" s="61" t="str">
        <f>IFERROR(__xludf.DUMMYFUNCTION("""COMPUTED_VALUE"""),"-55.5383935067334")</f>
        <v>-55.5383935067334</v>
      </c>
      <c r="C580" s="61">
        <f>IFERROR(__xludf.DUMMYFUNCTION("""COMPUTED_VALUE"""),1.0)</f>
        <v>1</v>
      </c>
      <c r="D580" s="61">
        <f>IFERROR(__xludf.DUMMYFUNCTION("""COMPUTED_VALUE"""),238.0)</f>
        <v>238</v>
      </c>
      <c r="E580" s="61">
        <f>IFERROR(__xludf.DUMMYFUNCTION("""COMPUTED_VALUE"""),8.0)</f>
        <v>8</v>
      </c>
      <c r="F580" s="62" t="str">
        <f>IFERROR(__xludf.DUMMYFUNCTION("""COMPUTED_VALUE"""),"https://www.google.com/maps/search/?api=1&amp;query=-30.9030421794828,-55.5383935067334")</f>
        <v>https://www.google.com/maps/search/?api=1&amp;query=-30.9030421794828,-55.5383935067334</v>
      </c>
      <c r="G580" s="63" t="str">
        <f>IFERROR(__xludf.DUMMYFUNCTION("""COMPUTED_VALUE"""),"https://earth.google.com/web/search/-30.9030421794828,-55.5383935067334")</f>
        <v>https://earth.google.com/web/search/-30.9030421794828,-55.5383935067334</v>
      </c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</row>
    <row r="581">
      <c r="A581" s="65" t="str">
        <f>IFERROR(__xludf.DUMMYFUNCTION("""COMPUTED_VALUE"""),"-30.9028084939139")</f>
        <v>-30.9028084939139</v>
      </c>
      <c r="B581" s="66" t="str">
        <f>IFERROR(__xludf.DUMMYFUNCTION("""COMPUTED_VALUE"""),"-55.5386403235495")</f>
        <v>-55.5386403235495</v>
      </c>
      <c r="C581" s="66">
        <f>IFERROR(__xludf.DUMMYFUNCTION("""COMPUTED_VALUE"""),1.0)</f>
        <v>1</v>
      </c>
      <c r="D581" s="66">
        <f>IFERROR(__xludf.DUMMYFUNCTION("""COMPUTED_VALUE"""),238.0)</f>
        <v>238</v>
      </c>
      <c r="E581" s="66">
        <f>IFERROR(__xludf.DUMMYFUNCTION("""COMPUTED_VALUE"""),9.0)</f>
        <v>9</v>
      </c>
      <c r="F581" s="67" t="str">
        <f>IFERROR(__xludf.DUMMYFUNCTION("""COMPUTED_VALUE"""),"https://www.google.com/maps/search/?api=1&amp;query=-30.9028084939139,-55.5386403235495")</f>
        <v>https://www.google.com/maps/search/?api=1&amp;query=-30.9028084939139,-55.5386403235495</v>
      </c>
      <c r="G581" s="68" t="str">
        <f>IFERROR(__xludf.DUMMYFUNCTION("""COMPUTED_VALUE"""),"https://earth.google.com/web/search/-30.9028084939139,-55.5386403235495")</f>
        <v>https://earth.google.com/web/search/-30.9028084939139,-55.5386403235495</v>
      </c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</row>
    <row r="582">
      <c r="A582" s="69" t="str">
        <f>IFERROR(__xludf.DUMMYFUNCTION("""COMPUTED_VALUE"""),"-30.9027410867723")</f>
        <v>-30.9027410867723</v>
      </c>
      <c r="B582" s="61" t="str">
        <f>IFERROR(__xludf.DUMMYFUNCTION("""COMPUTED_VALUE"""),"-5.5538750058081")</f>
        <v>-5.5538750058081</v>
      </c>
      <c r="C582" s="61">
        <f>IFERROR(__xludf.DUMMYFUNCTION("""COMPUTED_VALUE"""),1.0)</f>
        <v>1</v>
      </c>
      <c r="D582" s="61">
        <f>IFERROR(__xludf.DUMMYFUNCTION("""COMPUTED_VALUE"""),238.0)</f>
        <v>238</v>
      </c>
      <c r="E582" s="61">
        <f>IFERROR(__xludf.DUMMYFUNCTION("""COMPUTED_VALUE"""),9.0)</f>
        <v>9</v>
      </c>
      <c r="F582" s="62" t="str">
        <f>IFERROR(__xludf.DUMMYFUNCTION("""COMPUTED_VALUE"""),"https://www.google.com/maps/search/?api=1&amp;query=-30.9027410867723,-5.5538750058081")</f>
        <v>https://www.google.com/maps/search/?api=1&amp;query=-30.9027410867723,-5.5538750058081</v>
      </c>
      <c r="G582" s="63" t="str">
        <f>IFERROR(__xludf.DUMMYFUNCTION("""COMPUTED_VALUE"""),"https://earth.google.com/web/search/-30.9027410867723,-5.5538750058081")</f>
        <v>https://earth.google.com/web/search/-30.9027410867723,-5.5538750058081</v>
      </c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</row>
    <row r="583">
      <c r="A583" s="65" t="str">
        <f>IFERROR(__xludf.DUMMYFUNCTION("""COMPUTED_VALUE"""),"-30.9027172727426")</f>
        <v>-30.9027172727426</v>
      </c>
      <c r="B583" s="66" t="str">
        <f>IFERROR(__xludf.DUMMYFUNCTION("""COMPUTED_VALUE"""),"-5.5538805030917")</f>
        <v>-5.5538805030917</v>
      </c>
      <c r="C583" s="66">
        <f>IFERROR(__xludf.DUMMYFUNCTION("""COMPUTED_VALUE"""),1.0)</f>
        <v>1</v>
      </c>
      <c r="D583" s="66">
        <f>IFERROR(__xludf.DUMMYFUNCTION("""COMPUTED_VALUE"""),238.0)</f>
        <v>238</v>
      </c>
      <c r="E583" s="66">
        <f>IFERROR(__xludf.DUMMYFUNCTION("""COMPUTED_VALUE"""),10.0)</f>
        <v>10</v>
      </c>
      <c r="F583" s="67" t="str">
        <f>IFERROR(__xludf.DUMMYFUNCTION("""COMPUTED_VALUE"""),"https://www.google.com/maps/search/?api=1&amp;query=-30.9027172727426,-5.5538805030917")</f>
        <v>https://www.google.com/maps/search/?api=1&amp;query=-30.9027172727426,-5.5538805030917</v>
      </c>
      <c r="G583" s="68" t="str">
        <f>IFERROR(__xludf.DUMMYFUNCTION("""COMPUTED_VALUE"""),"https://earth.google.com/web/search/-30.9027172727426,-5.5538805030917")</f>
        <v>https://earth.google.com/web/search/-30.9027172727426,-5.5538805030917</v>
      </c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</row>
    <row r="584">
      <c r="A584" s="69" t="str">
        <f>IFERROR(__xludf.DUMMYFUNCTION("""COMPUTED_VALUE"""),"-30.9026311383269")</f>
        <v>-30.9026311383269</v>
      </c>
      <c r="B584" s="61" t="str">
        <f>IFERROR(__xludf.DUMMYFUNCTION("""COMPUTED_VALUE"""),"-55.5389224793881")</f>
        <v>-55.5389224793881</v>
      </c>
      <c r="C584" s="61">
        <f>IFERROR(__xludf.DUMMYFUNCTION("""COMPUTED_VALUE"""),1.0)</f>
        <v>1</v>
      </c>
      <c r="D584" s="61">
        <f>IFERROR(__xludf.DUMMYFUNCTION("""COMPUTED_VALUE"""),238.0)</f>
        <v>238</v>
      </c>
      <c r="E584" s="61">
        <f>IFERROR(__xludf.DUMMYFUNCTION("""COMPUTED_VALUE"""),11.0)</f>
        <v>11</v>
      </c>
      <c r="F584" s="62" t="str">
        <f>IFERROR(__xludf.DUMMYFUNCTION("""COMPUTED_VALUE"""),"https://www.google.com/maps/search/?api=1&amp;query=-30.9026311383269,-55.5389224793881")</f>
        <v>https://www.google.com/maps/search/?api=1&amp;query=-30.9026311383269,-55.5389224793881</v>
      </c>
      <c r="G584" s="63" t="str">
        <f>IFERROR(__xludf.DUMMYFUNCTION("""COMPUTED_VALUE"""),"https://earth.google.com/web/search/-30.9026311383269,-55.5389224793881")</f>
        <v>https://earth.google.com/web/search/-30.9026311383269,-55.5389224793881</v>
      </c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</row>
    <row r="585">
      <c r="A585" s="65" t="str">
        <f>IFERROR(__xludf.DUMMYFUNCTION("""COMPUTED_VALUE"""),"-30.9026172192486")</f>
        <v>-30.9026172192486</v>
      </c>
      <c r="B585" s="66" t="str">
        <f>IFERROR(__xludf.DUMMYFUNCTION("""COMPUTED_VALUE"""),"-55.5389806312985")</f>
        <v>-55.5389806312985</v>
      </c>
      <c r="C585" s="66">
        <f>IFERROR(__xludf.DUMMYFUNCTION("""COMPUTED_VALUE"""),1.0)</f>
        <v>1</v>
      </c>
      <c r="D585" s="66">
        <f>IFERROR(__xludf.DUMMYFUNCTION("""COMPUTED_VALUE"""),238.0)</f>
        <v>238</v>
      </c>
      <c r="E585" s="66">
        <f>IFERROR(__xludf.DUMMYFUNCTION("""COMPUTED_VALUE"""),12.0)</f>
        <v>12</v>
      </c>
      <c r="F585" s="67" t="str">
        <f>IFERROR(__xludf.DUMMYFUNCTION("""COMPUTED_VALUE"""),"https://www.google.com/maps/search/?api=1&amp;query=-30.9026172192486,-55.5389806312985")</f>
        <v>https://www.google.com/maps/search/?api=1&amp;query=-30.9026172192486,-55.5389806312985</v>
      </c>
      <c r="G585" s="68" t="str">
        <f>IFERROR(__xludf.DUMMYFUNCTION("""COMPUTED_VALUE"""),"https://earth.google.com/web/search/-30.9026172192486,-55.5389806312985")</f>
        <v>https://earth.google.com/web/search/-30.9026172192486,-55.5389806312985</v>
      </c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</row>
    <row r="586">
      <c r="A586" s="69" t="str">
        <f>IFERROR(__xludf.DUMMYFUNCTION("""COMPUTED_VALUE"""),"-30.9025754552564")</f>
        <v>-30.9025754552564</v>
      </c>
      <c r="B586" s="61" t="str">
        <f>IFERROR(__xludf.DUMMYFUNCTION("""COMPUTED_VALUE"""),"-55.5390645996353")</f>
        <v>-55.5390645996353</v>
      </c>
      <c r="C586" s="61">
        <f>IFERROR(__xludf.DUMMYFUNCTION("""COMPUTED_VALUE"""),1.0)</f>
        <v>1</v>
      </c>
      <c r="D586" s="61">
        <f>IFERROR(__xludf.DUMMYFUNCTION("""COMPUTED_VALUE"""),238.0)</f>
        <v>238</v>
      </c>
      <c r="E586" s="61">
        <f>IFERROR(__xludf.DUMMYFUNCTION("""COMPUTED_VALUE"""),13.0)</f>
        <v>13</v>
      </c>
      <c r="F586" s="62" t="str">
        <f>IFERROR(__xludf.DUMMYFUNCTION("""COMPUTED_VALUE"""),"https://www.google.com/maps/search/?api=1&amp;query=-30.9025754552564,-55.5390645996353")</f>
        <v>https://www.google.com/maps/search/?api=1&amp;query=-30.9025754552564,-55.5390645996353</v>
      </c>
      <c r="G586" s="63" t="str">
        <f>IFERROR(__xludf.DUMMYFUNCTION("""COMPUTED_VALUE"""),"https://earth.google.com/web/search/-30.9025754552564,-55.5390645996353")</f>
        <v>https://earth.google.com/web/search/-30.9025754552564,-55.5390645996353</v>
      </c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</row>
    <row r="587">
      <c r="A587" s="65" t="str">
        <f>IFERROR(__xludf.DUMMYFUNCTION("""COMPUTED_VALUE"""),"-30.9025566687343")</f>
        <v>-30.9025566687343</v>
      </c>
      <c r="B587" s="66" t="str">
        <f>IFERROR(__xludf.DUMMYFUNCTION("""COMPUTED_VALUE"""),"-55.5392030374377")</f>
        <v>-55.5392030374377</v>
      </c>
      <c r="C587" s="66">
        <f>IFERROR(__xludf.DUMMYFUNCTION("""COMPUTED_VALUE"""),1.0)</f>
        <v>1</v>
      </c>
      <c r="D587" s="66">
        <f>IFERROR(__xludf.DUMMYFUNCTION("""COMPUTED_VALUE"""),238.0)</f>
        <v>238</v>
      </c>
      <c r="E587" s="66">
        <f>IFERROR(__xludf.DUMMYFUNCTION("""COMPUTED_VALUE"""),14.0)</f>
        <v>14</v>
      </c>
      <c r="F587" s="67" t="str">
        <f>IFERROR(__xludf.DUMMYFUNCTION("""COMPUTED_VALUE"""),"https://www.google.com/maps/search/?api=1&amp;query=-30.9025566687343,-55.5392030374377")</f>
        <v>https://www.google.com/maps/search/?api=1&amp;query=-30.9025566687343,-55.5392030374377</v>
      </c>
      <c r="G587" s="68" t="str">
        <f>IFERROR(__xludf.DUMMYFUNCTION("""COMPUTED_VALUE"""),"https://earth.google.com/web/search/-30.9025566687343,-55.5392030374377")</f>
        <v>https://earth.google.com/web/search/-30.9025566687343,-55.5392030374377</v>
      </c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</row>
    <row r="588">
      <c r="A588" s="69" t="str">
        <f>IFERROR(__xludf.DUMMYFUNCTION("""COMPUTED_VALUE"""),"-30.9026873135681")</f>
        <v>-30.9026873135681</v>
      </c>
      <c r="B588" s="61" t="str">
        <f>IFERROR(__xludf.DUMMYFUNCTION("""COMPUTED_VALUE"""),"-55.5392788468216")</f>
        <v>-55.5392788468216</v>
      </c>
      <c r="C588" s="61">
        <f>IFERROR(__xludf.DUMMYFUNCTION("""COMPUTED_VALUE"""),1.0)</f>
        <v>1</v>
      </c>
      <c r="D588" s="61">
        <f>IFERROR(__xludf.DUMMYFUNCTION("""COMPUTED_VALUE"""),238.0)</f>
        <v>238</v>
      </c>
      <c r="E588" s="61">
        <f>IFERROR(__xludf.DUMMYFUNCTION("""COMPUTED_VALUE"""),15.0)</f>
        <v>15</v>
      </c>
      <c r="F588" s="62" t="str">
        <f>IFERROR(__xludf.DUMMYFUNCTION("""COMPUTED_VALUE"""),"https://www.google.com/maps/search/?api=1&amp;query=-30.9026873135681,-55.5392788468216")</f>
        <v>https://www.google.com/maps/search/?api=1&amp;query=-30.9026873135681,-55.5392788468216</v>
      </c>
      <c r="G588" s="63" t="str">
        <f>IFERROR(__xludf.DUMMYFUNCTION("""COMPUTED_VALUE"""),"https://earth.google.com/web/search/-30.9026873135681,-55.5392788468216")</f>
        <v>https://earth.google.com/web/search/-30.9026873135681,-55.5392788468216</v>
      </c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</row>
    <row r="589">
      <c r="A589" s="65" t="str">
        <f>IFERROR(__xludf.DUMMYFUNCTION("""COMPUTED_VALUE"""),"-30.9028007795953")</f>
        <v>-30.9028007795953</v>
      </c>
      <c r="B589" s="66" t="str">
        <f>IFERROR(__xludf.DUMMYFUNCTION("""COMPUTED_VALUE"""),"-55.5393658776701")</f>
        <v>-55.5393658776701</v>
      </c>
      <c r="C589" s="66">
        <f>IFERROR(__xludf.DUMMYFUNCTION("""COMPUTED_VALUE"""),1.0)</f>
        <v>1</v>
      </c>
      <c r="D589" s="66">
        <f>IFERROR(__xludf.DUMMYFUNCTION("""COMPUTED_VALUE"""),238.0)</f>
        <v>238</v>
      </c>
      <c r="E589" s="66">
        <f>IFERROR(__xludf.DUMMYFUNCTION("""COMPUTED_VALUE"""),16.0)</f>
        <v>16</v>
      </c>
      <c r="F589" s="67" t="str">
        <f>IFERROR(__xludf.DUMMYFUNCTION("""COMPUTED_VALUE"""),"https://www.google.com/maps/search/?api=1&amp;query=-30.9028007795953,-55.5393658776701")</f>
        <v>https://www.google.com/maps/search/?api=1&amp;query=-30.9028007795953,-55.5393658776701</v>
      </c>
      <c r="G589" s="68" t="str">
        <f>IFERROR(__xludf.DUMMYFUNCTION("""COMPUTED_VALUE"""),"https://earth.google.com/web/search/-30.9028007795953,-55.5393658776701")</f>
        <v>https://earth.google.com/web/search/-30.9028007795953,-55.5393658776701</v>
      </c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</row>
    <row r="590">
      <c r="A590" s="69" t="str">
        <f>IFERROR(__xludf.DUMMYFUNCTION("""COMPUTED_VALUE"""),"-30.9028878381728")</f>
        <v>-30.9028878381728</v>
      </c>
      <c r="B590" s="61" t="str">
        <f>IFERROR(__xludf.DUMMYFUNCTION("""COMPUTED_VALUE"""),"-55.5394227108547")</f>
        <v>-55.5394227108547</v>
      </c>
      <c r="C590" s="61">
        <f>IFERROR(__xludf.DUMMYFUNCTION("""COMPUTED_VALUE"""),1.0)</f>
        <v>1</v>
      </c>
      <c r="D590" s="61">
        <f>IFERROR(__xludf.DUMMYFUNCTION("""COMPUTED_VALUE"""),238.0)</f>
        <v>238</v>
      </c>
      <c r="E590" s="61">
        <f>IFERROR(__xludf.DUMMYFUNCTION("""COMPUTED_VALUE"""),17.0)</f>
        <v>17</v>
      </c>
      <c r="F590" s="62" t="str">
        <f>IFERROR(__xludf.DUMMYFUNCTION("""COMPUTED_VALUE"""),"https://www.google.com/maps/search/?api=1&amp;query=-30.9028878381728,-55.5394227108547")</f>
        <v>https://www.google.com/maps/search/?api=1&amp;query=-30.9028878381728,-55.5394227108547</v>
      </c>
      <c r="G590" s="63" t="str">
        <f>IFERROR(__xludf.DUMMYFUNCTION("""COMPUTED_VALUE"""),"https://earth.google.com/web/search/-30.9028878381728,-55.5394227108547")</f>
        <v>https://earth.google.com/web/search/-30.9028878381728,-55.5394227108547</v>
      </c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</row>
    <row r="591">
      <c r="A591" s="65" t="str">
        <f>IFERROR(__xludf.DUMMYFUNCTION("""COMPUTED_VALUE"""),"-30.9029818025511")</f>
        <v>-30.9029818025511</v>
      </c>
      <c r="B591" s="66" t="str">
        <f>IFERROR(__xludf.DUMMYFUNCTION("""COMPUTED_VALUE"""),"-55.5395174741139")</f>
        <v>-55.5395174741139</v>
      </c>
      <c r="C591" s="66">
        <f>IFERROR(__xludf.DUMMYFUNCTION("""COMPUTED_VALUE"""),1.0)</f>
        <v>1</v>
      </c>
      <c r="D591" s="66">
        <f>IFERROR(__xludf.DUMMYFUNCTION("""COMPUTED_VALUE"""),238.0)</f>
        <v>238</v>
      </c>
      <c r="E591" s="66">
        <f>IFERROR(__xludf.DUMMYFUNCTION("""COMPUTED_VALUE"""),18.0)</f>
        <v>18</v>
      </c>
      <c r="F591" s="67" t="str">
        <f>IFERROR(__xludf.DUMMYFUNCTION("""COMPUTED_VALUE"""),"https://www.google.com/maps/search/?api=1&amp;query=-30.9029818025511,-55.5395174741139")</f>
        <v>https://www.google.com/maps/search/?api=1&amp;query=-30.9029818025511,-55.5395174741139</v>
      </c>
      <c r="G591" s="68" t="str">
        <f>IFERROR(__xludf.DUMMYFUNCTION("""COMPUTED_VALUE"""),"https://earth.google.com/web/search/-30.9029818025511,-55.5395174741139")</f>
        <v>https://earth.google.com/web/search/-30.9029818025511,-55.5395174741139</v>
      </c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</row>
    <row r="592">
      <c r="A592" s="69" t="str">
        <f>IFERROR(__xludf.DUMMYFUNCTION("""COMPUTED_VALUE"""),"-30.9030686034228")</f>
        <v>-30.9030686034228</v>
      </c>
      <c r="B592" s="61" t="str">
        <f>IFERROR(__xludf.DUMMYFUNCTION("""COMPUTED_VALUE"""),"-5.5539553348655")</f>
        <v>-5.5539553348655</v>
      </c>
      <c r="C592" s="61">
        <f>IFERROR(__xludf.DUMMYFUNCTION("""COMPUTED_VALUE"""),1.0)</f>
        <v>1</v>
      </c>
      <c r="D592" s="61">
        <f>IFERROR(__xludf.DUMMYFUNCTION("""COMPUTED_VALUE"""),238.0)</f>
        <v>238</v>
      </c>
      <c r="E592" s="61">
        <f>IFERROR(__xludf.DUMMYFUNCTION("""COMPUTED_VALUE"""),19.0)</f>
        <v>19</v>
      </c>
      <c r="F592" s="62" t="str">
        <f>IFERROR(__xludf.DUMMYFUNCTION("""COMPUTED_VALUE"""),"https://www.google.com/maps/search/?api=1&amp;query=-30.9030686034228,-5.5539553348655")</f>
        <v>https://www.google.com/maps/search/?api=1&amp;query=-30.9030686034228,-5.5539553348655</v>
      </c>
      <c r="G592" s="63" t="str">
        <f>IFERROR(__xludf.DUMMYFUNCTION("""COMPUTED_VALUE"""),"https://earth.google.com/web/search/-30.9030686034228,-5.5539553348655")</f>
        <v>https://earth.google.com/web/search/-30.9030686034228,-5.5539553348655</v>
      </c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</row>
    <row r="593">
      <c r="A593" s="65" t="str">
        <f>IFERROR(__xludf.DUMMYFUNCTION("""COMPUTED_VALUE"""),"-30.9031739165389")</f>
        <v>-30.9031739165389</v>
      </c>
      <c r="B593" s="66" t="str">
        <f>IFERROR(__xludf.DUMMYFUNCTION("""COMPUTED_VALUE"""),"-55.5396356839257")</f>
        <v>-55.5396356839257</v>
      </c>
      <c r="C593" s="66">
        <f>IFERROR(__xludf.DUMMYFUNCTION("""COMPUTED_VALUE"""),1.0)</f>
        <v>1</v>
      </c>
      <c r="D593" s="66">
        <f>IFERROR(__xludf.DUMMYFUNCTION("""COMPUTED_VALUE"""),238.0)</f>
        <v>238</v>
      </c>
      <c r="E593" s="66">
        <f>IFERROR(__xludf.DUMMYFUNCTION("""COMPUTED_VALUE"""),20.0)</f>
        <v>20</v>
      </c>
      <c r="F593" s="67" t="str">
        <f>IFERROR(__xludf.DUMMYFUNCTION("""COMPUTED_VALUE"""),"https://www.google.com/maps/search/?api=1&amp;query=-30.9031739165389,-55.5396356839257")</f>
        <v>https://www.google.com/maps/search/?api=1&amp;query=-30.9031739165389,-55.5396356839257</v>
      </c>
      <c r="G593" s="68" t="str">
        <f>IFERROR(__xludf.DUMMYFUNCTION("""COMPUTED_VALUE"""),"https://earth.google.com/web/search/-30.9031739165389,-55.5396356839257")</f>
        <v>https://earth.google.com/web/search/-30.9031739165389,-55.5396356839257</v>
      </c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</row>
    <row r="594">
      <c r="A594" s="69" t="str">
        <f>IFERROR(__xludf.DUMMYFUNCTION("""COMPUTED_VALUE"""),"-30.9028000888138")</f>
        <v>-30.9028000888138</v>
      </c>
      <c r="B594" s="61" t="str">
        <f>IFERROR(__xludf.DUMMYFUNCTION("""COMPUTED_VALUE"""),"-55.5404898362116")</f>
        <v>-55.5404898362116</v>
      </c>
      <c r="C594" s="61">
        <f>IFERROR(__xludf.DUMMYFUNCTION("""COMPUTED_VALUE"""),1.0)</f>
        <v>1</v>
      </c>
      <c r="D594" s="61">
        <f>IFERROR(__xludf.DUMMYFUNCTION("""COMPUTED_VALUE"""),239.0)</f>
        <v>239</v>
      </c>
      <c r="E594" s="61">
        <f>IFERROR(__xludf.DUMMYFUNCTION("""COMPUTED_VALUE"""),1.0)</f>
        <v>1</v>
      </c>
      <c r="F594" s="62" t="str">
        <f>IFERROR(__xludf.DUMMYFUNCTION("""COMPUTED_VALUE"""),"https://www.google.com/maps/search/?api=1&amp;query=-30.9028000888138,-55.5404898362116")</f>
        <v>https://www.google.com/maps/search/?api=1&amp;query=-30.9028000888138,-55.5404898362116</v>
      </c>
      <c r="G594" s="63" t="str">
        <f>IFERROR(__xludf.DUMMYFUNCTION("""COMPUTED_VALUE"""),"https://earth.google.com/web/search/-30.9028000888138,-55.5404898362116")</f>
        <v>https://earth.google.com/web/search/-30.9028000888138,-55.5404898362116</v>
      </c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</row>
    <row r="595">
      <c r="A595" s="65" t="str">
        <f>IFERROR(__xludf.DUMMYFUNCTION("""COMPUTED_VALUE"""),"-30.9028411132399")</f>
        <v>-30.9028411132399</v>
      </c>
      <c r="B595" s="66" t="str">
        <f>IFERROR(__xludf.DUMMYFUNCTION("""COMPUTED_VALUE"""),"-55.5403932246258")</f>
        <v>-55.5403932246258</v>
      </c>
      <c r="C595" s="66">
        <f>IFERROR(__xludf.DUMMYFUNCTION("""COMPUTED_VALUE"""),1.0)</f>
        <v>1</v>
      </c>
      <c r="D595" s="66">
        <f>IFERROR(__xludf.DUMMYFUNCTION("""COMPUTED_VALUE"""),239.0)</f>
        <v>239</v>
      </c>
      <c r="E595" s="66">
        <f>IFERROR(__xludf.DUMMYFUNCTION("""COMPUTED_VALUE"""),2.0)</f>
        <v>2</v>
      </c>
      <c r="F595" s="67" t="str">
        <f>IFERROR(__xludf.DUMMYFUNCTION("""COMPUTED_VALUE"""),"https://www.google.com/maps/search/?api=1&amp;query=-30.9028411132399,-55.5403932246258")</f>
        <v>https://www.google.com/maps/search/?api=1&amp;query=-30.9028411132399,-55.5403932246258</v>
      </c>
      <c r="G595" s="68" t="str">
        <f>IFERROR(__xludf.DUMMYFUNCTION("""COMPUTED_VALUE"""),"https://earth.google.com/web/search/-30.9028411132399,-55.5403932246258")</f>
        <v>https://earth.google.com/web/search/-30.9028411132399,-55.5403932246258</v>
      </c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</row>
    <row r="596">
      <c r="A596" s="69" t="str">
        <f>IFERROR(__xludf.DUMMYFUNCTION("""COMPUTED_VALUE"""),"-30.9029607083602")</f>
        <v>-30.9029607083602</v>
      </c>
      <c r="B596" s="61" t="str">
        <f>IFERROR(__xludf.DUMMYFUNCTION("""COMPUTED_VALUE"""),"-55.5401636279019")</f>
        <v>-55.5401636279019</v>
      </c>
      <c r="C596" s="61">
        <f>IFERROR(__xludf.DUMMYFUNCTION("""COMPUTED_VALUE"""),1.0)</f>
        <v>1</v>
      </c>
      <c r="D596" s="61">
        <f>IFERROR(__xludf.DUMMYFUNCTION("""COMPUTED_VALUE"""),239.0)</f>
        <v>239</v>
      </c>
      <c r="E596" s="61">
        <f>IFERROR(__xludf.DUMMYFUNCTION("""COMPUTED_VALUE"""),3.0)</f>
        <v>3</v>
      </c>
      <c r="F596" s="62" t="str">
        <f>IFERROR(__xludf.DUMMYFUNCTION("""COMPUTED_VALUE"""),"https://www.google.com/maps/search/?api=1&amp;query=-30.9029607083602,-55.5401636279019")</f>
        <v>https://www.google.com/maps/search/?api=1&amp;query=-30.9029607083602,-55.5401636279019</v>
      </c>
      <c r="G596" s="63" t="str">
        <f>IFERROR(__xludf.DUMMYFUNCTION("""COMPUTED_VALUE"""),"https://earth.google.com/web/search/-30.9029607083602,-55.5401636279019")</f>
        <v>https://earth.google.com/web/search/-30.9029607083602,-55.5401636279019</v>
      </c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</row>
    <row r="597">
      <c r="A597" s="65" t="str">
        <f>IFERROR(__xludf.DUMMYFUNCTION("""COMPUTED_VALUE"""),"-30.9028797933636")</f>
        <v>-30.9028797933636</v>
      </c>
      <c r="B597" s="66" t="str">
        <f>IFERROR(__xludf.DUMMYFUNCTION("""COMPUTED_VALUE"""),"-55.5395298481824")</f>
        <v>-55.5395298481824</v>
      </c>
      <c r="C597" s="66">
        <f>IFERROR(__xludf.DUMMYFUNCTION("""COMPUTED_VALUE"""),1.0)</f>
        <v>1</v>
      </c>
      <c r="D597" s="66">
        <f>IFERROR(__xludf.DUMMYFUNCTION("""COMPUTED_VALUE"""),239.0)</f>
        <v>239</v>
      </c>
      <c r="E597" s="66">
        <f>IFERROR(__xludf.DUMMYFUNCTION("""COMPUTED_VALUE"""),4.0)</f>
        <v>4</v>
      </c>
      <c r="F597" s="67" t="str">
        <f>IFERROR(__xludf.DUMMYFUNCTION("""COMPUTED_VALUE"""),"https://www.google.com/maps/search/?api=1&amp;query=-30.9028797933636,-55.5395298481824")</f>
        <v>https://www.google.com/maps/search/?api=1&amp;query=-30.9028797933636,-55.5395298481824</v>
      </c>
      <c r="G597" s="68" t="str">
        <f>IFERROR(__xludf.DUMMYFUNCTION("""COMPUTED_VALUE"""),"https://earth.google.com/web/search/-30.9028797933636,-55.5395298481824")</f>
        <v>https://earth.google.com/web/search/-30.9028797933636,-55.5395298481824</v>
      </c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</row>
    <row r="598">
      <c r="A598" s="69" t="str">
        <f>IFERROR(__xludf.DUMMYFUNCTION("""COMPUTED_VALUE"""),"-30.9027867770977")</f>
        <v>-30.9027867770977</v>
      </c>
      <c r="B598" s="61" t="str">
        <f>IFERROR(__xludf.DUMMYFUNCTION("""COMPUTED_VALUE"""),"-55.5394659574288")</f>
        <v>-55.5394659574288</v>
      </c>
      <c r="C598" s="61">
        <f>IFERROR(__xludf.DUMMYFUNCTION("""COMPUTED_VALUE"""),1.0)</f>
        <v>1</v>
      </c>
      <c r="D598" s="61">
        <f>IFERROR(__xludf.DUMMYFUNCTION("""COMPUTED_VALUE"""),239.0)</f>
        <v>239</v>
      </c>
      <c r="E598" s="61">
        <f>IFERROR(__xludf.DUMMYFUNCTION("""COMPUTED_VALUE"""),5.0)</f>
        <v>5</v>
      </c>
      <c r="F598" s="62" t="str">
        <f>IFERROR(__xludf.DUMMYFUNCTION("""COMPUTED_VALUE"""),"https://www.google.com/maps/search/?api=1&amp;query=-30.9027867770977,-55.5394659574288")</f>
        <v>https://www.google.com/maps/search/?api=1&amp;query=-30.9027867770977,-55.5394659574288</v>
      </c>
      <c r="G598" s="63" t="str">
        <f>IFERROR(__xludf.DUMMYFUNCTION("""COMPUTED_VALUE"""),"https://earth.google.com/web/search/-30.9027867770977,-55.5394659574288")</f>
        <v>https://earth.google.com/web/search/-30.9027867770977,-55.5394659574288</v>
      </c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</row>
    <row r="599">
      <c r="A599" s="65" t="str">
        <f>IFERROR(__xludf.DUMMYFUNCTION("""COMPUTED_VALUE"""),"-3.0902590999383")</f>
        <v>-3.0902590999383</v>
      </c>
      <c r="B599" s="66" t="str">
        <f>IFERROR(__xludf.DUMMYFUNCTION("""COMPUTED_VALUE"""),"-55.5393199994532")</f>
        <v>-55.5393199994532</v>
      </c>
      <c r="C599" s="66">
        <f>IFERROR(__xludf.DUMMYFUNCTION("""COMPUTED_VALUE"""),1.0)</f>
        <v>1</v>
      </c>
      <c r="D599" s="66">
        <f>IFERROR(__xludf.DUMMYFUNCTION("""COMPUTED_VALUE"""),239.0)</f>
        <v>239</v>
      </c>
      <c r="E599" s="66">
        <f>IFERROR(__xludf.DUMMYFUNCTION("""COMPUTED_VALUE"""),6.0)</f>
        <v>6</v>
      </c>
      <c r="F599" s="67" t="str">
        <f>IFERROR(__xludf.DUMMYFUNCTION("""COMPUTED_VALUE"""),"https://www.google.com/maps/search/?api=1&amp;query=-3.0902590999383,-55.5393199994532")</f>
        <v>https://www.google.com/maps/search/?api=1&amp;query=-3.0902590999383,-55.5393199994532</v>
      </c>
      <c r="G599" s="68" t="str">
        <f>IFERROR(__xludf.DUMMYFUNCTION("""COMPUTED_VALUE"""),"https://earth.google.com/web/search/-3.0902590999383,-55.5393199994532")</f>
        <v>https://earth.google.com/web/search/-3.0902590999383,-55.5393199994532</v>
      </c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</row>
    <row r="600">
      <c r="A600" s="69" t="str">
        <f>IFERROR(__xludf.DUMMYFUNCTION("""COMPUTED_VALUE"""),"-30.9025016133665")</f>
        <v>-30.9025016133665</v>
      </c>
      <c r="B600" s="61" t="str">
        <f>IFERROR(__xludf.DUMMYFUNCTION("""COMPUTED_VALUE"""),"-55.5392824418645")</f>
        <v>-55.5392824418645</v>
      </c>
      <c r="C600" s="61">
        <f>IFERROR(__xludf.DUMMYFUNCTION("""COMPUTED_VALUE"""),1.0)</f>
        <v>1</v>
      </c>
      <c r="D600" s="61">
        <f>IFERROR(__xludf.DUMMYFUNCTION("""COMPUTED_VALUE"""),239.0)</f>
        <v>239</v>
      </c>
      <c r="E600" s="61">
        <f>IFERROR(__xludf.DUMMYFUNCTION("""COMPUTED_VALUE"""),7.0)</f>
        <v>7</v>
      </c>
      <c r="F600" s="62" t="str">
        <f>IFERROR(__xludf.DUMMYFUNCTION("""COMPUTED_VALUE"""),"https://www.google.com/maps/search/?api=1&amp;query=-30.9025016133665,-55.5392824418645")</f>
        <v>https://www.google.com/maps/search/?api=1&amp;query=-30.9025016133665,-55.5392824418645</v>
      </c>
      <c r="G600" s="63" t="str">
        <f>IFERROR(__xludf.DUMMYFUNCTION("""COMPUTED_VALUE"""),"https://earth.google.com/web/search/-30.9025016133665,-55.5392824418645")</f>
        <v>https://earth.google.com/web/search/-30.9025016133665,-55.5392824418645</v>
      </c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</row>
    <row r="601">
      <c r="A601" s="65" t="str">
        <f>IFERROR(__xludf.DUMMYFUNCTION("""COMPUTED_VALUE"""),"-30.9024271456743")</f>
        <v>-30.9024271456743</v>
      </c>
      <c r="B601" s="66" t="str">
        <f>IFERROR(__xludf.DUMMYFUNCTION("""COMPUTED_VALUE"""),"-55.5393398725779")</f>
        <v>-55.5393398725779</v>
      </c>
      <c r="C601" s="66">
        <f>IFERROR(__xludf.DUMMYFUNCTION("""COMPUTED_VALUE"""),1.0)</f>
        <v>1</v>
      </c>
      <c r="D601" s="66">
        <f>IFERROR(__xludf.DUMMYFUNCTION("""COMPUTED_VALUE"""),239.0)</f>
        <v>239</v>
      </c>
      <c r="E601" s="66">
        <f>IFERROR(__xludf.DUMMYFUNCTION("""COMPUTED_VALUE"""),8.0)</f>
        <v>8</v>
      </c>
      <c r="F601" s="67" t="str">
        <f>IFERROR(__xludf.DUMMYFUNCTION("""COMPUTED_VALUE"""),"https://www.google.com/maps/search/?api=1&amp;query=-30.9024271456743,-55.5393398725779")</f>
        <v>https://www.google.com/maps/search/?api=1&amp;query=-30.9024271456743,-55.5393398725779</v>
      </c>
      <c r="G601" s="68" t="str">
        <f>IFERROR(__xludf.DUMMYFUNCTION("""COMPUTED_VALUE"""),"https://earth.google.com/web/search/-30.9024271456743,-55.5393398725779")</f>
        <v>https://earth.google.com/web/search/-30.9024271456743,-55.5393398725779</v>
      </c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</row>
    <row r="602">
      <c r="A602" s="69" t="str">
        <f>IFERROR(__xludf.DUMMYFUNCTION("""COMPUTED_VALUE"""),"-30.9023760010127")</f>
        <v>-30.9023760010127</v>
      </c>
      <c r="B602" s="61" t="str">
        <f>IFERROR(__xludf.DUMMYFUNCTION("""COMPUTED_VALUE"""),"-55.5394180362661")</f>
        <v>-55.5394180362661</v>
      </c>
      <c r="C602" s="61">
        <f>IFERROR(__xludf.DUMMYFUNCTION("""COMPUTED_VALUE"""),1.0)</f>
        <v>1</v>
      </c>
      <c r="D602" s="61">
        <f>IFERROR(__xludf.DUMMYFUNCTION("""COMPUTED_VALUE"""),239.0)</f>
        <v>239</v>
      </c>
      <c r="E602" s="61">
        <f>IFERROR(__xludf.DUMMYFUNCTION("""COMPUTED_VALUE"""),9.0)</f>
        <v>9</v>
      </c>
      <c r="F602" s="62" t="str">
        <f>IFERROR(__xludf.DUMMYFUNCTION("""COMPUTED_VALUE"""),"https://www.google.com/maps/search/?api=1&amp;query=-30.9023760010127,-55.5394180362661")</f>
        <v>https://www.google.com/maps/search/?api=1&amp;query=-30.9023760010127,-55.5394180362661</v>
      </c>
      <c r="G602" s="63" t="str">
        <f>IFERROR(__xludf.DUMMYFUNCTION("""COMPUTED_VALUE"""),"https://earth.google.com/web/search/-30.9023760010127,-55.5394180362661")</f>
        <v>https://earth.google.com/web/search/-30.9023760010127,-55.5394180362661</v>
      </c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</row>
    <row r="603">
      <c r="A603" s="65" t="str">
        <f>IFERROR(__xludf.DUMMYFUNCTION("""COMPUTED_VALUE"""),"-30.9023314910852")</f>
        <v>-30.9023314910852</v>
      </c>
      <c r="B603" s="66" t="str">
        <f>IFERROR(__xludf.DUMMYFUNCTION("""COMPUTED_VALUE"""),"-55.5394944460225")</f>
        <v>-55.5394944460225</v>
      </c>
      <c r="C603" s="66">
        <f>IFERROR(__xludf.DUMMYFUNCTION("""COMPUTED_VALUE"""),1.0)</f>
        <v>1</v>
      </c>
      <c r="D603" s="66">
        <f>IFERROR(__xludf.DUMMYFUNCTION("""COMPUTED_VALUE"""),239.0)</f>
        <v>239</v>
      </c>
      <c r="E603" s="66">
        <f>IFERROR(__xludf.DUMMYFUNCTION("""COMPUTED_VALUE"""),10.0)</f>
        <v>10</v>
      </c>
      <c r="F603" s="67" t="str">
        <f>IFERROR(__xludf.DUMMYFUNCTION("""COMPUTED_VALUE"""),"https://www.google.com/maps/search/?api=1&amp;query=-30.9023314910852,-55.5394944460225")</f>
        <v>https://www.google.com/maps/search/?api=1&amp;query=-30.9023314910852,-55.5394944460225</v>
      </c>
      <c r="G603" s="68" t="str">
        <f>IFERROR(__xludf.DUMMYFUNCTION("""COMPUTED_VALUE"""),"https://earth.google.com/web/search/-30.9023314910852,-55.5394944460225")</f>
        <v>https://earth.google.com/web/search/-30.9023314910852,-55.5394944460225</v>
      </c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</row>
    <row r="604">
      <c r="A604" s="69" t="str">
        <f>IFERROR(__xludf.DUMMYFUNCTION("""COMPUTED_VALUE"""),"-30.9022929919433")</f>
        <v>-30.9022929919433</v>
      </c>
      <c r="B604" s="61" t="str">
        <f>IFERROR(__xludf.DUMMYFUNCTION("""COMPUTED_VALUE"""),"-55.5395764418546")</f>
        <v>-55.5395764418546</v>
      </c>
      <c r="C604" s="61">
        <f>IFERROR(__xludf.DUMMYFUNCTION("""COMPUTED_VALUE"""),1.0)</f>
        <v>1</v>
      </c>
      <c r="D604" s="61">
        <f>IFERROR(__xludf.DUMMYFUNCTION("""COMPUTED_VALUE"""),239.0)</f>
        <v>239</v>
      </c>
      <c r="E604" s="61">
        <f>IFERROR(__xludf.DUMMYFUNCTION("""COMPUTED_VALUE"""),11.0)</f>
        <v>11</v>
      </c>
      <c r="F604" s="62" t="str">
        <f>IFERROR(__xludf.DUMMYFUNCTION("""COMPUTED_VALUE"""),"https://www.google.com/maps/search/?api=1&amp;query=-30.9022929919433,-55.5395764418546")</f>
        <v>https://www.google.com/maps/search/?api=1&amp;query=-30.9022929919433,-55.5395764418546</v>
      </c>
      <c r="G604" s="63" t="str">
        <f>IFERROR(__xludf.DUMMYFUNCTION("""COMPUTED_VALUE"""),"https://earth.google.com/web/search/-30.9022929919433,-55.5395764418546")</f>
        <v>https://earth.google.com/web/search/-30.9022929919433,-55.5395764418546</v>
      </c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</row>
    <row r="605">
      <c r="A605" s="65" t="str">
        <f>IFERROR(__xludf.DUMMYFUNCTION("""COMPUTED_VALUE"""),"-30.9021681560675")</f>
        <v>-30.9021681560675</v>
      </c>
      <c r="B605" s="66" t="str">
        <f>IFERROR(__xludf.DUMMYFUNCTION("""COMPUTED_VALUE"""),"-55.5398009928314")</f>
        <v>-55.5398009928314</v>
      </c>
      <c r="C605" s="66">
        <f>IFERROR(__xludf.DUMMYFUNCTION("""COMPUTED_VALUE"""),1.0)</f>
        <v>1</v>
      </c>
      <c r="D605" s="66">
        <f>IFERROR(__xludf.DUMMYFUNCTION("""COMPUTED_VALUE"""),239.0)</f>
        <v>239</v>
      </c>
      <c r="E605" s="66">
        <f>IFERROR(__xludf.DUMMYFUNCTION("""COMPUTED_VALUE"""),12.0)</f>
        <v>12</v>
      </c>
      <c r="F605" s="67" t="str">
        <f>IFERROR(__xludf.DUMMYFUNCTION("""COMPUTED_VALUE"""),"https://www.google.com/maps/search/?api=1&amp;query=-30.9021681560675,-55.5398009928314")</f>
        <v>https://www.google.com/maps/search/?api=1&amp;query=-30.9021681560675,-55.5398009928314</v>
      </c>
      <c r="G605" s="68" t="str">
        <f>IFERROR(__xludf.DUMMYFUNCTION("""COMPUTED_VALUE"""),"https://earth.google.com/web/search/-30.9021681560675,-55.5398009928314")</f>
        <v>https://earth.google.com/web/search/-30.9021681560675,-55.5398009928314</v>
      </c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</row>
    <row r="606">
      <c r="A606" s="69" t="str">
        <f>IFERROR(__xludf.DUMMYFUNCTION("""COMPUTED_VALUE"""),"-30.9021319522287")</f>
        <v>-30.9021319522287</v>
      </c>
      <c r="B606" s="61" t="str">
        <f>IFERROR(__xludf.DUMMYFUNCTION("""COMPUTED_VALUE"""),"-55.5398840626006")</f>
        <v>-55.5398840626006</v>
      </c>
      <c r="C606" s="61">
        <f>IFERROR(__xludf.DUMMYFUNCTION("""COMPUTED_VALUE"""),1.0)</f>
        <v>1</v>
      </c>
      <c r="D606" s="61">
        <f>IFERROR(__xludf.DUMMYFUNCTION("""COMPUTED_VALUE"""),239.0)</f>
        <v>239</v>
      </c>
      <c r="E606" s="61">
        <f>IFERROR(__xludf.DUMMYFUNCTION("""COMPUTED_VALUE"""),13.0)</f>
        <v>13</v>
      </c>
      <c r="F606" s="62" t="str">
        <f>IFERROR(__xludf.DUMMYFUNCTION("""COMPUTED_VALUE"""),"https://www.google.com/maps/search/?api=1&amp;query=-30.9021319522287,-55.5398840626006")</f>
        <v>https://www.google.com/maps/search/?api=1&amp;query=-30.9021319522287,-55.5398840626006</v>
      </c>
      <c r="G606" s="63" t="str">
        <f>IFERROR(__xludf.DUMMYFUNCTION("""COMPUTED_VALUE"""),"https://earth.google.com/web/search/-30.9021319522287,-55.5398840626006")</f>
        <v>https://earth.google.com/web/search/-30.9021319522287,-55.5398840626006</v>
      </c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64"/>
    </row>
    <row r="607">
      <c r="A607" s="65" t="str">
        <f>IFERROR(__xludf.DUMMYFUNCTION("""COMPUTED_VALUE"""),"-30.9020505229438")</f>
        <v>-30.9020505229438</v>
      </c>
      <c r="B607" s="66" t="str">
        <f>IFERROR(__xludf.DUMMYFUNCTION("""COMPUTED_VALUE"""),"-55.5400343554885")</f>
        <v>-55.5400343554885</v>
      </c>
      <c r="C607" s="66">
        <f>IFERROR(__xludf.DUMMYFUNCTION("""COMPUTED_VALUE"""),1.0)</f>
        <v>1</v>
      </c>
      <c r="D607" s="66">
        <f>IFERROR(__xludf.DUMMYFUNCTION("""COMPUTED_VALUE"""),239.0)</f>
        <v>239</v>
      </c>
      <c r="E607" s="66">
        <f>IFERROR(__xludf.DUMMYFUNCTION("""COMPUTED_VALUE"""),14.0)</f>
        <v>14</v>
      </c>
      <c r="F607" s="67" t="str">
        <f>IFERROR(__xludf.DUMMYFUNCTION("""COMPUTED_VALUE"""),"https://www.google.com/maps/search/?api=1&amp;query=-30.9020505229438,-55.5400343554885")</f>
        <v>https://www.google.com/maps/search/?api=1&amp;query=-30.9020505229438,-55.5400343554885</v>
      </c>
      <c r="G607" s="68" t="str">
        <f>IFERROR(__xludf.DUMMYFUNCTION("""COMPUTED_VALUE"""),"https://earth.google.com/web/search/-30.9020505229438,-55.5400343554885")</f>
        <v>https://earth.google.com/web/search/-30.9020505229438,-55.5400343554885</v>
      </c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</row>
    <row r="608">
      <c r="A608" s="69" t="str">
        <f>IFERROR(__xludf.DUMMYFUNCTION("""COMPUTED_VALUE"""),"-30.9022296536721")</f>
        <v>-30.9022296536721</v>
      </c>
      <c r="B608" s="61" t="str">
        <f>IFERROR(__xludf.DUMMYFUNCTION("""COMPUTED_VALUE"""),"-55.5402089604185")</f>
        <v>-55.5402089604185</v>
      </c>
      <c r="C608" s="61">
        <f>IFERROR(__xludf.DUMMYFUNCTION("""COMPUTED_VALUE"""),1.0)</f>
        <v>1</v>
      </c>
      <c r="D608" s="61">
        <f>IFERROR(__xludf.DUMMYFUNCTION("""COMPUTED_VALUE"""),239.0)</f>
        <v>239</v>
      </c>
      <c r="E608" s="61">
        <f>IFERROR(__xludf.DUMMYFUNCTION("""COMPUTED_VALUE"""),15.0)</f>
        <v>15</v>
      </c>
      <c r="F608" s="62" t="str">
        <f>IFERROR(__xludf.DUMMYFUNCTION("""COMPUTED_VALUE"""),"https://www.google.com/maps/search/?api=1&amp;query=-30.9022296536721,-55.5402089604185")</f>
        <v>https://www.google.com/maps/search/?api=1&amp;query=-30.9022296536721,-55.5402089604185</v>
      </c>
      <c r="G608" s="63" t="str">
        <f>IFERROR(__xludf.DUMMYFUNCTION("""COMPUTED_VALUE"""),"https://earth.google.com/web/search/-30.9022296536721,-55.5402089604185")</f>
        <v>https://earth.google.com/web/search/-30.9022296536721,-55.5402089604185</v>
      </c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</row>
    <row r="609">
      <c r="A609" s="65" t="str">
        <f>IFERROR(__xludf.DUMMYFUNCTION("""COMPUTED_VALUE"""),"-3.0902306740981")</f>
        <v>-3.0902306740981</v>
      </c>
      <c r="B609" s="66" t="str">
        <f>IFERROR(__xludf.DUMMYFUNCTION("""COMPUTED_VALUE"""),"-55.5402527277438")</f>
        <v>-55.5402527277438</v>
      </c>
      <c r="C609" s="66">
        <f>IFERROR(__xludf.DUMMYFUNCTION("""COMPUTED_VALUE"""),1.0)</f>
        <v>1</v>
      </c>
      <c r="D609" s="66">
        <f>IFERROR(__xludf.DUMMYFUNCTION("""COMPUTED_VALUE"""),239.0)</f>
        <v>239</v>
      </c>
      <c r="E609" s="66">
        <f>IFERROR(__xludf.DUMMYFUNCTION("""COMPUTED_VALUE"""),16.0)</f>
        <v>16</v>
      </c>
      <c r="F609" s="67" t="str">
        <f>IFERROR(__xludf.DUMMYFUNCTION("""COMPUTED_VALUE"""),"https://www.google.com/maps/search/?api=1&amp;query=-3.0902306740981,-55.5402527277438")</f>
        <v>https://www.google.com/maps/search/?api=1&amp;query=-3.0902306740981,-55.5402527277438</v>
      </c>
      <c r="G609" s="68" t="str">
        <f>IFERROR(__xludf.DUMMYFUNCTION("""COMPUTED_VALUE"""),"https://earth.google.com/web/search/-3.0902306740981,-55.5402527277438")</f>
        <v>https://earth.google.com/web/search/-3.0902306740981,-55.5402527277438</v>
      </c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</row>
    <row r="610">
      <c r="A610" s="69" t="str">
        <f>IFERROR(__xludf.DUMMYFUNCTION("""COMPUTED_VALUE"""),"-30.9022961440698")</f>
        <v>-30.9022961440698</v>
      </c>
      <c r="B610" s="61" t="str">
        <f>IFERROR(__xludf.DUMMYFUNCTION("""COMPUTED_VALUE"""),"-55.5414203319484")</f>
        <v>-55.5414203319484</v>
      </c>
      <c r="C610" s="61">
        <f>IFERROR(__xludf.DUMMYFUNCTION("""COMPUTED_VALUE"""),1.0)</f>
        <v>1</v>
      </c>
      <c r="D610" s="61">
        <f>IFERROR(__xludf.DUMMYFUNCTION("""COMPUTED_VALUE"""),240.0)</f>
        <v>240</v>
      </c>
      <c r="E610" s="61">
        <f>IFERROR(__xludf.DUMMYFUNCTION("""COMPUTED_VALUE"""),1.0)</f>
        <v>1</v>
      </c>
      <c r="F610" s="62" t="str">
        <f>IFERROR(__xludf.DUMMYFUNCTION("""COMPUTED_VALUE"""),"https://www.google.com/maps/search/?api=1&amp;query=-30.9022961440698,-55.5414203319484")</f>
        <v>https://www.google.com/maps/search/?api=1&amp;query=-30.9022961440698,-55.5414203319484</v>
      </c>
      <c r="G610" s="63" t="str">
        <f>IFERROR(__xludf.DUMMYFUNCTION("""COMPUTED_VALUE"""),"https://earth.google.com/web/search/-30.9022961440698,-55.5414203319484")</f>
        <v>https://earth.google.com/web/search/-30.9022961440698,-55.5414203319484</v>
      </c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</row>
    <row r="611">
      <c r="A611" s="65" t="str">
        <f>IFERROR(__xludf.DUMMYFUNCTION("""COMPUTED_VALUE"""),"-30.9023607013153")</f>
        <v>-30.9023607013153</v>
      </c>
      <c r="B611" s="66" t="str">
        <f>IFERROR(__xludf.DUMMYFUNCTION("""COMPUTED_VALUE"""),"-55.5413062088555")</f>
        <v>-55.5413062088555</v>
      </c>
      <c r="C611" s="66">
        <f>IFERROR(__xludf.DUMMYFUNCTION("""COMPUTED_VALUE"""),1.0)</f>
        <v>1</v>
      </c>
      <c r="D611" s="66">
        <f>IFERROR(__xludf.DUMMYFUNCTION("""COMPUTED_VALUE"""),240.0)</f>
        <v>240</v>
      </c>
      <c r="E611" s="66">
        <f>IFERROR(__xludf.DUMMYFUNCTION("""COMPUTED_VALUE"""),2.0)</f>
        <v>2</v>
      </c>
      <c r="F611" s="67" t="str">
        <f>IFERROR(__xludf.DUMMYFUNCTION("""COMPUTED_VALUE"""),"https://www.google.com/maps/search/?api=1&amp;query=-30.9023607013153,-55.5413062088555")</f>
        <v>https://www.google.com/maps/search/?api=1&amp;query=-30.9023607013153,-55.5413062088555</v>
      </c>
      <c r="G611" s="68" t="str">
        <f>IFERROR(__xludf.DUMMYFUNCTION("""COMPUTED_VALUE"""),"https://earth.google.com/web/search/-30.9023607013153,-55.5413062088555")</f>
        <v>https://earth.google.com/web/search/-30.9023607013153,-55.5413062088555</v>
      </c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</row>
    <row r="612">
      <c r="A612" s="69" t="str">
        <f>IFERROR(__xludf.DUMMYFUNCTION("""COMPUTED_VALUE"""),"-30.9024882626124")</f>
        <v>-30.9024882626124</v>
      </c>
      <c r="B612" s="61" t="str">
        <f>IFERROR(__xludf.DUMMYFUNCTION("""COMPUTED_VALUE"""),"-55.5410477874026")</f>
        <v>-55.5410477874026</v>
      </c>
      <c r="C612" s="61">
        <f>IFERROR(__xludf.DUMMYFUNCTION("""COMPUTED_VALUE"""),1.0)</f>
        <v>1</v>
      </c>
      <c r="D612" s="61">
        <f>IFERROR(__xludf.DUMMYFUNCTION("""COMPUTED_VALUE"""),240.0)</f>
        <v>240</v>
      </c>
      <c r="E612" s="61">
        <f>IFERROR(__xludf.DUMMYFUNCTION("""COMPUTED_VALUE"""),3.0)</f>
        <v>3</v>
      </c>
      <c r="F612" s="62" t="str">
        <f>IFERROR(__xludf.DUMMYFUNCTION("""COMPUTED_VALUE"""),"https://www.google.com/maps/search/?api=1&amp;query=-30.9024882626124,-55.5410477874026")</f>
        <v>https://www.google.com/maps/search/?api=1&amp;query=-30.9024882626124,-55.5410477874026</v>
      </c>
      <c r="G612" s="63" t="str">
        <f>IFERROR(__xludf.DUMMYFUNCTION("""COMPUTED_VALUE"""),"https://earth.google.com/web/search/-30.9024882626124,-55.5410477874026")</f>
        <v>https://earth.google.com/web/search/-30.9024882626124,-55.5410477874026</v>
      </c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</row>
    <row r="613">
      <c r="A613" s="65" t="str">
        <f>IFERROR(__xludf.DUMMYFUNCTION("""COMPUTED_VALUE"""),"-30.9025513197417")</f>
        <v>-30.9025513197417</v>
      </c>
      <c r="B613" s="66" t="str">
        <f>IFERROR(__xludf.DUMMYFUNCTION("""COMPUTED_VALUE"""),"-55.5409560017832")</f>
        <v>-55.5409560017832</v>
      </c>
      <c r="C613" s="66">
        <f>IFERROR(__xludf.DUMMYFUNCTION("""COMPUTED_VALUE"""),1.0)</f>
        <v>1</v>
      </c>
      <c r="D613" s="66">
        <f>IFERROR(__xludf.DUMMYFUNCTION("""COMPUTED_VALUE"""),240.0)</f>
        <v>240</v>
      </c>
      <c r="E613" s="66">
        <f>IFERROR(__xludf.DUMMYFUNCTION("""COMPUTED_VALUE"""),4.0)</f>
        <v>4</v>
      </c>
      <c r="F613" s="67" t="str">
        <f>IFERROR(__xludf.DUMMYFUNCTION("""COMPUTED_VALUE"""),"https://www.google.com/maps/search/?api=1&amp;query=-30.9025513197417,-55.5409560017832")</f>
        <v>https://www.google.com/maps/search/?api=1&amp;query=-30.9025513197417,-55.5409560017832</v>
      </c>
      <c r="G613" s="68" t="str">
        <f>IFERROR(__xludf.DUMMYFUNCTION("""COMPUTED_VALUE"""),"https://earth.google.com/web/search/-30.9025513197417,-55.5409560017832")</f>
        <v>https://earth.google.com/web/search/-30.9025513197417,-55.5409560017832</v>
      </c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</row>
    <row r="614">
      <c r="A614" s="69" t="str">
        <f>IFERROR(__xludf.DUMMYFUNCTION("""COMPUTED_VALUE"""),"-30.9026484387965")</f>
        <v>-30.9026484387965</v>
      </c>
      <c r="B614" s="61" t="str">
        <f>IFERROR(__xludf.DUMMYFUNCTION("""COMPUTED_VALUE"""),"-55.5407642309465")</f>
        <v>-55.5407642309465</v>
      </c>
      <c r="C614" s="61">
        <f>IFERROR(__xludf.DUMMYFUNCTION("""COMPUTED_VALUE"""),1.0)</f>
        <v>1</v>
      </c>
      <c r="D614" s="61">
        <f>IFERROR(__xludf.DUMMYFUNCTION("""COMPUTED_VALUE"""),240.0)</f>
        <v>240</v>
      </c>
      <c r="E614" s="61">
        <f>IFERROR(__xludf.DUMMYFUNCTION("""COMPUTED_VALUE"""),5.0)</f>
        <v>5</v>
      </c>
      <c r="F614" s="62" t="str">
        <f>IFERROR(__xludf.DUMMYFUNCTION("""COMPUTED_VALUE"""),"https://www.google.com/maps/search/?api=1&amp;query=-30.9026484387965,-55.5407642309465")</f>
        <v>https://www.google.com/maps/search/?api=1&amp;query=-30.9026484387965,-55.5407642309465</v>
      </c>
      <c r="G614" s="63" t="str">
        <f>IFERROR(__xludf.DUMMYFUNCTION("""COMPUTED_VALUE"""),"https://earth.google.com/web/search/-30.9026484387965,-55.5407642309465")</f>
        <v>https://earth.google.com/web/search/-30.9026484387965,-55.5407642309465</v>
      </c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</row>
    <row r="615">
      <c r="A615" s="65" t="str">
        <f>IFERROR(__xludf.DUMMYFUNCTION("""COMPUTED_VALUE"""),"-30.9024822870426")</f>
        <v>-30.9024822870426</v>
      </c>
      <c r="B615" s="66" t="str">
        <f>IFERROR(__xludf.DUMMYFUNCTION("""COMPUTED_VALUE"""),"-0.0555404960557")</f>
        <v>-0.0555404960557</v>
      </c>
      <c r="C615" s="66">
        <f>IFERROR(__xludf.DUMMYFUNCTION("""COMPUTED_VALUE"""),1.0)</f>
        <v>1</v>
      </c>
      <c r="D615" s="66">
        <f>IFERROR(__xludf.DUMMYFUNCTION("""COMPUTED_VALUE"""),240.0)</f>
        <v>240</v>
      </c>
      <c r="E615" s="66">
        <f>IFERROR(__xludf.DUMMYFUNCTION("""COMPUTED_VALUE"""),6.0)</f>
        <v>6</v>
      </c>
      <c r="F615" s="67" t="str">
        <f>IFERROR(__xludf.DUMMYFUNCTION("""COMPUTED_VALUE"""),"https://www.google.com/maps/search/?api=1&amp;query=-30.9024822870426,-0.0555404960557")</f>
        <v>https://www.google.com/maps/search/?api=1&amp;query=-30.9024822870426,-0.0555404960557</v>
      </c>
      <c r="G615" s="68" t="str">
        <f>IFERROR(__xludf.DUMMYFUNCTION("""COMPUTED_VALUE"""),"https://earth.google.com/web/search/-30.9024822870426,-0.0555404960557")</f>
        <v>https://earth.google.com/web/search/-30.9024822870426,-0.0555404960557</v>
      </c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</row>
    <row r="616">
      <c r="A616" s="69" t="str">
        <f>IFERROR(__xludf.DUMMYFUNCTION("""COMPUTED_VALUE"""),"-3.0902414956376")</f>
        <v>-3.0902414956376</v>
      </c>
      <c r="B616" s="61" t="str">
        <f>IFERROR(__xludf.DUMMYFUNCTION("""COMPUTED_VALUE"""),"-55.5404623205987")</f>
        <v>-55.5404623205987</v>
      </c>
      <c r="C616" s="61">
        <f>IFERROR(__xludf.DUMMYFUNCTION("""COMPUTED_VALUE"""),1.0)</f>
        <v>1</v>
      </c>
      <c r="D616" s="61">
        <f>IFERROR(__xludf.DUMMYFUNCTION("""COMPUTED_VALUE"""),240.0)</f>
        <v>240</v>
      </c>
      <c r="E616" s="61">
        <f>IFERROR(__xludf.DUMMYFUNCTION("""COMPUTED_VALUE"""),7.0)</f>
        <v>7</v>
      </c>
      <c r="F616" s="62" t="str">
        <f>IFERROR(__xludf.DUMMYFUNCTION("""COMPUTED_VALUE"""),"https://www.google.com/maps/search/?api=1&amp;query=-3.0902414956376,-55.5404623205987")</f>
        <v>https://www.google.com/maps/search/?api=1&amp;query=-3.0902414956376,-55.5404623205987</v>
      </c>
      <c r="G616" s="63" t="str">
        <f>IFERROR(__xludf.DUMMYFUNCTION("""COMPUTED_VALUE"""),"https://earth.google.com/web/search/-3.0902414956376,-55.5404623205987")</f>
        <v>https://earth.google.com/web/search/-3.0902414956376,-55.5404623205987</v>
      </c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</row>
    <row r="617">
      <c r="A617" s="65" t="str">
        <f>IFERROR(__xludf.DUMMYFUNCTION("""COMPUTED_VALUE"""),"-30.9021444118091")</f>
        <v>-30.9021444118091</v>
      </c>
      <c r="B617" s="66" t="str">
        <f>IFERROR(__xludf.DUMMYFUNCTION("""COMPUTED_VALUE"""),"-55.5402679664092")</f>
        <v>-55.5402679664092</v>
      </c>
      <c r="C617" s="66">
        <f>IFERROR(__xludf.DUMMYFUNCTION("""COMPUTED_VALUE"""),1.0)</f>
        <v>1</v>
      </c>
      <c r="D617" s="66">
        <f>IFERROR(__xludf.DUMMYFUNCTION("""COMPUTED_VALUE"""),240.0)</f>
        <v>240</v>
      </c>
      <c r="E617" s="66">
        <f>IFERROR(__xludf.DUMMYFUNCTION("""COMPUTED_VALUE"""),8.0)</f>
        <v>8</v>
      </c>
      <c r="F617" s="67" t="str">
        <f>IFERROR(__xludf.DUMMYFUNCTION("""COMPUTED_VALUE"""),"https://www.google.com/maps/search/?api=1&amp;query=-30.9021444118091,-55.5402679664092")</f>
        <v>https://www.google.com/maps/search/?api=1&amp;query=-30.9021444118091,-55.5402679664092</v>
      </c>
      <c r="G617" s="68" t="str">
        <f>IFERROR(__xludf.DUMMYFUNCTION("""COMPUTED_VALUE"""),"https://earth.google.com/web/search/-30.9021444118091,-55.5402679664092")</f>
        <v>https://earth.google.com/web/search/-30.9021444118091,-55.5402679664092</v>
      </c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</row>
    <row r="618">
      <c r="A618" s="69" t="str">
        <f>IFERROR(__xludf.DUMMYFUNCTION("""COMPUTED_VALUE"""),"-30.9020734856255")</f>
        <v>-30.9020734856255</v>
      </c>
      <c r="B618" s="61" t="str">
        <f>IFERROR(__xludf.DUMMYFUNCTION("""COMPUTED_VALUE"""),"-0.0555402140062")</f>
        <v>-0.0555402140062</v>
      </c>
      <c r="C618" s="61">
        <f>IFERROR(__xludf.DUMMYFUNCTION("""COMPUTED_VALUE"""),1.0)</f>
        <v>1</v>
      </c>
      <c r="D618" s="61">
        <f>IFERROR(__xludf.DUMMYFUNCTION("""COMPUTED_VALUE"""),240.0)</f>
        <v>240</v>
      </c>
      <c r="E618" s="61">
        <f>IFERROR(__xludf.DUMMYFUNCTION("""COMPUTED_VALUE"""),9.0)</f>
        <v>9</v>
      </c>
      <c r="F618" s="62" t="str">
        <f>IFERROR(__xludf.DUMMYFUNCTION("""COMPUTED_VALUE"""),"https://www.google.com/maps/search/?api=1&amp;query=-30.9020734856255,-0.0555402140062")</f>
        <v>https://www.google.com/maps/search/?api=1&amp;query=-30.9020734856255,-0.0555402140062</v>
      </c>
      <c r="G618" s="63" t="str">
        <f>IFERROR(__xludf.DUMMYFUNCTION("""COMPUTED_VALUE"""),"https://earth.google.com/web/search/-30.9020734856255,-0.0555402140062")</f>
        <v>https://earth.google.com/web/search/-30.9020734856255,-0.0555402140062</v>
      </c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</row>
    <row r="619">
      <c r="A619" s="65" t="str">
        <f>IFERROR(__xludf.DUMMYFUNCTION("""COMPUTED_VALUE"""),"-30.9020182627137")</f>
        <v>-30.9020182627137</v>
      </c>
      <c r="B619" s="66" t="str">
        <f>IFERROR(__xludf.DUMMYFUNCTION("""COMPUTED_VALUE"""),"-55.5401712892078")</f>
        <v>-55.5401712892078</v>
      </c>
      <c r="C619" s="66">
        <f>IFERROR(__xludf.DUMMYFUNCTION("""COMPUTED_VALUE"""),1.0)</f>
        <v>1</v>
      </c>
      <c r="D619" s="66">
        <f>IFERROR(__xludf.DUMMYFUNCTION("""COMPUTED_VALUE"""),240.0)</f>
        <v>240</v>
      </c>
      <c r="E619" s="66">
        <f>IFERROR(__xludf.DUMMYFUNCTION("""COMPUTED_VALUE"""),10.0)</f>
        <v>10</v>
      </c>
      <c r="F619" s="67" t="str">
        <f>IFERROR(__xludf.DUMMYFUNCTION("""COMPUTED_VALUE"""),"https://www.google.com/maps/search/?api=1&amp;query=-30.9020182627137,-55.5401712892078")</f>
        <v>https://www.google.com/maps/search/?api=1&amp;query=-30.9020182627137,-55.5401712892078</v>
      </c>
      <c r="G619" s="68" t="str">
        <f>IFERROR(__xludf.DUMMYFUNCTION("""COMPUTED_VALUE"""),"https://earth.google.com/web/search/-30.9020182627137,-55.5401712892078")</f>
        <v>https://earth.google.com/web/search/-30.9020182627137,-55.5401712892078</v>
      </c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</row>
    <row r="620">
      <c r="A620" s="69" t="str">
        <f>IFERROR(__xludf.DUMMYFUNCTION("""COMPUTED_VALUE"""),"-30.9019226679829")</f>
        <v>-30.9019226679829</v>
      </c>
      <c r="B620" s="61" t="str">
        <f>IFERROR(__xludf.DUMMYFUNCTION("""COMPUTED_VALUE"""),"-55.5402659060448")</f>
        <v>-55.5402659060448</v>
      </c>
      <c r="C620" s="61">
        <f>IFERROR(__xludf.DUMMYFUNCTION("""COMPUTED_VALUE"""),1.0)</f>
        <v>1</v>
      </c>
      <c r="D620" s="61">
        <f>IFERROR(__xludf.DUMMYFUNCTION("""COMPUTED_VALUE"""),240.0)</f>
        <v>240</v>
      </c>
      <c r="E620" s="61">
        <f>IFERROR(__xludf.DUMMYFUNCTION("""COMPUTED_VALUE"""),11.0)</f>
        <v>11</v>
      </c>
      <c r="F620" s="62" t="str">
        <f>IFERROR(__xludf.DUMMYFUNCTION("""COMPUTED_VALUE"""),"https://www.google.com/maps/search/?api=1&amp;query=-30.9019226679829,-55.5402659060448")</f>
        <v>https://www.google.com/maps/search/?api=1&amp;query=-30.9019226679829,-55.5402659060448</v>
      </c>
      <c r="G620" s="63" t="str">
        <f>IFERROR(__xludf.DUMMYFUNCTION("""COMPUTED_VALUE"""),"https://earth.google.com/web/search/-30.9019226679829,-55.5402659060448")</f>
        <v>https://earth.google.com/web/search/-30.9019226679829,-55.5402659060448</v>
      </c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</row>
    <row r="621">
      <c r="A621" s="65" t="str">
        <f>IFERROR(__xludf.DUMMYFUNCTION("""COMPUTED_VALUE"""),"-30.9017053047596")</f>
        <v>-30.9017053047596</v>
      </c>
      <c r="B621" s="66" t="str">
        <f>IFERROR(__xludf.DUMMYFUNCTION("""COMPUTED_VALUE"""),"-55.5406747621145")</f>
        <v>-55.5406747621145</v>
      </c>
      <c r="C621" s="66">
        <f>IFERROR(__xludf.DUMMYFUNCTION("""COMPUTED_VALUE"""),1.0)</f>
        <v>1</v>
      </c>
      <c r="D621" s="66">
        <f>IFERROR(__xludf.DUMMYFUNCTION("""COMPUTED_VALUE"""),240.0)</f>
        <v>240</v>
      </c>
      <c r="E621" s="66">
        <f>IFERROR(__xludf.DUMMYFUNCTION("""COMPUTED_VALUE"""),12.0)</f>
        <v>12</v>
      </c>
      <c r="F621" s="67" t="str">
        <f>IFERROR(__xludf.DUMMYFUNCTION("""COMPUTED_VALUE"""),"https://www.google.com/maps/search/?api=1&amp;query=-30.9017053047596,-55.5406747621145")</f>
        <v>https://www.google.com/maps/search/?api=1&amp;query=-30.9017053047596,-55.5406747621145</v>
      </c>
      <c r="G621" s="68" t="str">
        <f>IFERROR(__xludf.DUMMYFUNCTION("""COMPUTED_VALUE"""),"https://earth.google.com/web/search/-30.9017053047596,-55.5406747621145")</f>
        <v>https://earth.google.com/web/search/-30.9017053047596,-55.5406747621145</v>
      </c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</row>
    <row r="622">
      <c r="A622" s="69" t="str">
        <f>IFERROR(__xludf.DUMMYFUNCTION("""COMPUTED_VALUE"""),"-3.0901666269077")</f>
        <v>-3.0901666269077</v>
      </c>
      <c r="B622" s="61" t="str">
        <f>IFERROR(__xludf.DUMMYFUNCTION("""COMPUTED_VALUE"""),"-55.5407417114323")</f>
        <v>-55.5407417114323</v>
      </c>
      <c r="C622" s="61">
        <f>IFERROR(__xludf.DUMMYFUNCTION("""COMPUTED_VALUE"""),1.0)</f>
        <v>1</v>
      </c>
      <c r="D622" s="61">
        <f>IFERROR(__xludf.DUMMYFUNCTION("""COMPUTED_VALUE"""),240.0)</f>
        <v>240</v>
      </c>
      <c r="E622" s="61">
        <f>IFERROR(__xludf.DUMMYFUNCTION("""COMPUTED_VALUE"""),13.0)</f>
        <v>13</v>
      </c>
      <c r="F622" s="62" t="str">
        <f>IFERROR(__xludf.DUMMYFUNCTION("""COMPUTED_VALUE"""),"https://www.google.com/maps/search/?api=1&amp;query=-3.0901666269077,-55.5407417114323")</f>
        <v>https://www.google.com/maps/search/?api=1&amp;query=-3.0901666269077,-55.5407417114323</v>
      </c>
      <c r="G622" s="63" t="str">
        <f>IFERROR(__xludf.DUMMYFUNCTION("""COMPUTED_VALUE"""),"https://earth.google.com/web/search/-3.0901666269077,-55.5407417114323")</f>
        <v>https://earth.google.com/web/search/-3.0901666269077,-55.5407417114323</v>
      </c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</row>
    <row r="623">
      <c r="A623" s="65" t="str">
        <f>IFERROR(__xludf.DUMMYFUNCTION("""COMPUTED_VALUE"""),"-30.9017528383348")</f>
        <v>-30.9017528383348</v>
      </c>
      <c r="B623" s="66" t="str">
        <f>IFERROR(__xludf.DUMMYFUNCTION("""COMPUTED_VALUE"""),"-55.5411512611621")</f>
        <v>-55.5411512611621</v>
      </c>
      <c r="C623" s="66">
        <f>IFERROR(__xludf.DUMMYFUNCTION("""COMPUTED_VALUE"""),1.0)</f>
        <v>1</v>
      </c>
      <c r="D623" s="66">
        <f>IFERROR(__xludf.DUMMYFUNCTION("""COMPUTED_VALUE"""),240.0)</f>
        <v>240</v>
      </c>
      <c r="E623" s="66">
        <f>IFERROR(__xludf.DUMMYFUNCTION("""COMPUTED_VALUE"""),14.0)</f>
        <v>14</v>
      </c>
      <c r="F623" s="67" t="str">
        <f>IFERROR(__xludf.DUMMYFUNCTION("""COMPUTED_VALUE"""),"https://www.google.com/maps/search/?api=1&amp;query=-30.9017528383348,-55.5411512611621")</f>
        <v>https://www.google.com/maps/search/?api=1&amp;query=-30.9017528383348,-55.5411512611621</v>
      </c>
      <c r="G623" s="68" t="str">
        <f>IFERROR(__xludf.DUMMYFUNCTION("""COMPUTED_VALUE"""),"https://earth.google.com/web/search/-30.9017528383348,-55.5411512611621")</f>
        <v>https://earth.google.com/web/search/-30.9017528383348,-55.5411512611621</v>
      </c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</row>
    <row r="624">
      <c r="A624" s="69" t="str">
        <f>IFERROR(__xludf.DUMMYFUNCTION("""COMPUTED_VALUE"""),"-30.9018008882797")</f>
        <v>-30.9018008882797</v>
      </c>
      <c r="B624" s="61" t="str">
        <f>IFERROR(__xludf.DUMMYFUNCTION("""COMPUTED_VALUE"""),"-55.5411898937168")</f>
        <v>-55.5411898937168</v>
      </c>
      <c r="C624" s="61">
        <f>IFERROR(__xludf.DUMMYFUNCTION("""COMPUTED_VALUE"""),1.0)</f>
        <v>1</v>
      </c>
      <c r="D624" s="61">
        <f>IFERROR(__xludf.DUMMYFUNCTION("""COMPUTED_VALUE"""),240.0)</f>
        <v>240</v>
      </c>
      <c r="E624" s="61">
        <f>IFERROR(__xludf.DUMMYFUNCTION("""COMPUTED_VALUE"""),15.0)</f>
        <v>15</v>
      </c>
      <c r="F624" s="62" t="str">
        <f>IFERROR(__xludf.DUMMYFUNCTION("""COMPUTED_VALUE"""),"https://www.google.com/maps/search/?api=1&amp;query=-30.9018008882797,-55.5411898937168")</f>
        <v>https://www.google.com/maps/search/?api=1&amp;query=-30.9018008882797,-55.5411898937168</v>
      </c>
      <c r="G624" s="63" t="str">
        <f>IFERROR(__xludf.DUMMYFUNCTION("""COMPUTED_VALUE"""),"https://earth.google.com/web/search/-30.9018008882797,-55.5411898937168")</f>
        <v>https://earth.google.com/web/search/-30.9018008882797,-55.5411898937168</v>
      </c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</row>
    <row r="625">
      <c r="A625" s="65" t="str">
        <f>IFERROR(__xludf.DUMMYFUNCTION("""COMPUTED_VALUE"""),"-30.9018711246798")</f>
        <v>-30.9018711246798</v>
      </c>
      <c r="B625" s="66" t="str">
        <f>IFERROR(__xludf.DUMMYFUNCTION("""COMPUTED_VALUE"""),"-55.5412254117508")</f>
        <v>-55.5412254117508</v>
      </c>
      <c r="C625" s="66">
        <f>IFERROR(__xludf.DUMMYFUNCTION("""COMPUTED_VALUE"""),1.0)</f>
        <v>1</v>
      </c>
      <c r="D625" s="66">
        <f>IFERROR(__xludf.DUMMYFUNCTION("""COMPUTED_VALUE"""),240.0)</f>
        <v>240</v>
      </c>
      <c r="E625" s="66">
        <f>IFERROR(__xludf.DUMMYFUNCTION("""COMPUTED_VALUE"""),16.0)</f>
        <v>16</v>
      </c>
      <c r="F625" s="67" t="str">
        <f>IFERROR(__xludf.DUMMYFUNCTION("""COMPUTED_VALUE"""),"https://www.google.com/maps/search/?api=1&amp;query=-30.9018711246798,-55.5412254117508")</f>
        <v>https://www.google.com/maps/search/?api=1&amp;query=-30.9018711246798,-55.5412254117508</v>
      </c>
      <c r="G625" s="68" t="str">
        <f>IFERROR(__xludf.DUMMYFUNCTION("""COMPUTED_VALUE"""),"https://earth.google.com/web/search/-30.9018711246798,-55.5412254117508")</f>
        <v>https://earth.google.com/web/search/-30.9018711246798,-55.5412254117508</v>
      </c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</row>
    <row r="626">
      <c r="A626" s="69" t="str">
        <f>IFERROR(__xludf.DUMMYFUNCTION("""COMPUTED_VALUE"""),"-30.9021978798699")</f>
        <v>-30.9021978798699</v>
      </c>
      <c r="B626" s="61" t="str">
        <f>IFERROR(__xludf.DUMMYFUNCTION("""COMPUTED_VALUE"""),"-55.5414434684857")</f>
        <v>-55.5414434684857</v>
      </c>
      <c r="C626" s="61">
        <f>IFERROR(__xludf.DUMMYFUNCTION("""COMPUTED_VALUE"""),1.0)</f>
        <v>1</v>
      </c>
      <c r="D626" s="61">
        <f>IFERROR(__xludf.DUMMYFUNCTION("""COMPUTED_VALUE"""),240.0)</f>
        <v>240</v>
      </c>
      <c r="E626" s="61">
        <f>IFERROR(__xludf.DUMMYFUNCTION("""COMPUTED_VALUE"""),17.0)</f>
        <v>17</v>
      </c>
      <c r="F626" s="62" t="str">
        <f>IFERROR(__xludf.DUMMYFUNCTION("""COMPUTED_VALUE"""),"https://www.google.com/maps/search/?api=1&amp;query=-30.9021978798699,-55.5414434684857")</f>
        <v>https://www.google.com/maps/search/?api=1&amp;query=-30.9021978798699,-55.5414434684857</v>
      </c>
      <c r="G626" s="63" t="str">
        <f>IFERROR(__xludf.DUMMYFUNCTION("""COMPUTED_VALUE"""),"https://earth.google.com/web/search/-30.9021978798699,-55.5414434684857")</f>
        <v>https://earth.google.com/web/search/-30.9021978798699,-55.5414434684857</v>
      </c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</row>
    <row r="627">
      <c r="A627" s="65" t="str">
        <f>IFERROR(__xludf.DUMMYFUNCTION("""COMPUTED_VALUE"""),"-30.9018080955379")</f>
        <v>-30.9018080955379</v>
      </c>
      <c r="B627" s="66" t="str">
        <f>IFERROR(__xludf.DUMMYFUNCTION("""COMPUTED_VALUE"""),"-55.5423410840961")</f>
        <v>-55.5423410840961</v>
      </c>
      <c r="C627" s="66">
        <f>IFERROR(__xludf.DUMMYFUNCTION("""COMPUTED_VALUE"""),1.0)</f>
        <v>1</v>
      </c>
      <c r="D627" s="66">
        <f>IFERROR(__xludf.DUMMYFUNCTION("""COMPUTED_VALUE"""),241.0)</f>
        <v>241</v>
      </c>
      <c r="E627" s="66">
        <f>IFERROR(__xludf.DUMMYFUNCTION("""COMPUTED_VALUE"""),1.0)</f>
        <v>1</v>
      </c>
      <c r="F627" s="67" t="str">
        <f>IFERROR(__xludf.DUMMYFUNCTION("""COMPUTED_VALUE"""),"https://www.google.com/maps/search/?api=1&amp;query=-30.9018080955379,-55.5423410840961")</f>
        <v>https://www.google.com/maps/search/?api=1&amp;query=-30.9018080955379,-55.5423410840961</v>
      </c>
      <c r="G627" s="68" t="str">
        <f>IFERROR(__xludf.DUMMYFUNCTION("""COMPUTED_VALUE"""),"https://earth.google.com/web/search/-30.9018080955379,-55.5423410840961")</f>
        <v>https://earth.google.com/web/search/-30.9018080955379,-55.5423410840961</v>
      </c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</row>
    <row r="628">
      <c r="A628" s="69" t="str">
        <f>IFERROR(__xludf.DUMMYFUNCTION("""COMPUTED_VALUE"""),"-30.9018332022765")</f>
        <v>-30.9018332022765</v>
      </c>
      <c r="B628" s="61" t="str">
        <f>IFERROR(__xludf.DUMMYFUNCTION("""COMPUTED_VALUE"""),"-55.5422353069332")</f>
        <v>-55.5422353069332</v>
      </c>
      <c r="C628" s="61">
        <f>IFERROR(__xludf.DUMMYFUNCTION("""COMPUTED_VALUE"""),1.0)</f>
        <v>1</v>
      </c>
      <c r="D628" s="61">
        <f>IFERROR(__xludf.DUMMYFUNCTION("""COMPUTED_VALUE"""),241.0)</f>
        <v>241</v>
      </c>
      <c r="E628" s="61">
        <f>IFERROR(__xludf.DUMMYFUNCTION("""COMPUTED_VALUE"""),2.0)</f>
        <v>2</v>
      </c>
      <c r="F628" s="62" t="str">
        <f>IFERROR(__xludf.DUMMYFUNCTION("""COMPUTED_VALUE"""),"https://www.google.com/maps/search/?api=1&amp;query=-30.9018332022765,-55.5422353069332")</f>
        <v>https://www.google.com/maps/search/?api=1&amp;query=-30.9018332022765,-55.5422353069332</v>
      </c>
      <c r="G628" s="63" t="str">
        <f>IFERROR(__xludf.DUMMYFUNCTION("""COMPUTED_VALUE"""),"https://earth.google.com/web/search/-30.9018332022765,-55.5422353069332")</f>
        <v>https://earth.google.com/web/search/-30.9018332022765,-55.5422353069332</v>
      </c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</row>
    <row r="629">
      <c r="A629" s="65" t="str">
        <f>IFERROR(__xludf.DUMMYFUNCTION("""COMPUTED_VALUE"""),"-30.9018912581068")</f>
        <v>-30.9018912581068</v>
      </c>
      <c r="B629" s="66" t="str">
        <f>IFERROR(__xludf.DUMMYFUNCTION("""COMPUTED_VALUE"""),"-55.5421822567834")</f>
        <v>-55.5421822567834</v>
      </c>
      <c r="C629" s="66">
        <f>IFERROR(__xludf.DUMMYFUNCTION("""COMPUTED_VALUE"""),1.0)</f>
        <v>1</v>
      </c>
      <c r="D629" s="66">
        <f>IFERROR(__xludf.DUMMYFUNCTION("""COMPUTED_VALUE"""),241.0)</f>
        <v>241</v>
      </c>
      <c r="E629" s="66">
        <f>IFERROR(__xludf.DUMMYFUNCTION("""COMPUTED_VALUE"""),3.0)</f>
        <v>3</v>
      </c>
      <c r="F629" s="67" t="str">
        <f>IFERROR(__xludf.DUMMYFUNCTION("""COMPUTED_VALUE"""),"https://www.google.com/maps/search/?api=1&amp;query=-30.9018912581068,-55.5421822567834")</f>
        <v>https://www.google.com/maps/search/?api=1&amp;query=-30.9018912581068,-55.5421822567834</v>
      </c>
      <c r="G629" s="68" t="str">
        <f>IFERROR(__xludf.DUMMYFUNCTION("""COMPUTED_VALUE"""),"https://earth.google.com/web/search/-30.9018912581068,-55.5421822567834")</f>
        <v>https://earth.google.com/web/search/-30.9018912581068,-55.5421822567834</v>
      </c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</row>
    <row r="630">
      <c r="A630" s="69" t="str">
        <f>IFERROR(__xludf.DUMMYFUNCTION("""COMPUTED_VALUE"""),"-30.9019216355971")</f>
        <v>-30.9019216355971</v>
      </c>
      <c r="B630" s="61" t="str">
        <f>IFERROR(__xludf.DUMMYFUNCTION("""COMPUTED_VALUE"""),"-55.5420965930842")</f>
        <v>-55.5420965930842</v>
      </c>
      <c r="C630" s="61">
        <f>IFERROR(__xludf.DUMMYFUNCTION("""COMPUTED_VALUE"""),1.0)</f>
        <v>1</v>
      </c>
      <c r="D630" s="61">
        <f>IFERROR(__xludf.DUMMYFUNCTION("""COMPUTED_VALUE"""),241.0)</f>
        <v>241</v>
      </c>
      <c r="E630" s="61">
        <f>IFERROR(__xludf.DUMMYFUNCTION("""COMPUTED_VALUE"""),4.0)</f>
        <v>4</v>
      </c>
      <c r="F630" s="62" t="str">
        <f>IFERROR(__xludf.DUMMYFUNCTION("""COMPUTED_VALUE"""),"https://www.google.com/maps/search/?api=1&amp;query=-30.9019216355971,-55.5420965930842")</f>
        <v>https://www.google.com/maps/search/?api=1&amp;query=-30.9019216355971,-55.5420965930842</v>
      </c>
      <c r="G630" s="63" t="str">
        <f>IFERROR(__xludf.DUMMYFUNCTION("""COMPUTED_VALUE"""),"https://earth.google.com/web/search/-30.9019216355971,-55.5420965930842")</f>
        <v>https://earth.google.com/web/search/-30.9019216355971,-55.5420965930842</v>
      </c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</row>
    <row r="631">
      <c r="A631" s="65" t="str">
        <f>IFERROR(__xludf.DUMMYFUNCTION("""COMPUTED_VALUE"""),"-30.9019682572635")</f>
        <v>-30.9019682572635</v>
      </c>
      <c r="B631" s="66" t="str">
        <f>IFERROR(__xludf.DUMMYFUNCTION("""COMPUTED_VALUE"""),"-55.5420508141841")</f>
        <v>-55.5420508141841</v>
      </c>
      <c r="C631" s="66">
        <f>IFERROR(__xludf.DUMMYFUNCTION("""COMPUTED_VALUE"""),1.0)</f>
        <v>1</v>
      </c>
      <c r="D631" s="66">
        <f>IFERROR(__xludf.DUMMYFUNCTION("""COMPUTED_VALUE"""),241.0)</f>
        <v>241</v>
      </c>
      <c r="E631" s="66">
        <f>IFERROR(__xludf.DUMMYFUNCTION("""COMPUTED_VALUE"""),5.0)</f>
        <v>5</v>
      </c>
      <c r="F631" s="67" t="str">
        <f>IFERROR(__xludf.DUMMYFUNCTION("""COMPUTED_VALUE"""),"https://www.google.com/maps/search/?api=1&amp;query=-30.9019682572635,-55.5420508141841")</f>
        <v>https://www.google.com/maps/search/?api=1&amp;query=-30.9019682572635,-55.5420508141841</v>
      </c>
      <c r="G631" s="68" t="str">
        <f>IFERROR(__xludf.DUMMYFUNCTION("""COMPUTED_VALUE"""),"https://earth.google.com/web/search/-30.9019682572635,-55.5420508141841")</f>
        <v>https://earth.google.com/web/search/-30.9019682572635,-55.5420508141841</v>
      </c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</row>
    <row r="632">
      <c r="A632" s="69" t="str">
        <f>IFERROR(__xludf.DUMMYFUNCTION("""COMPUTED_VALUE"""),"-30.9020332607359")</f>
        <v>-30.9020332607359</v>
      </c>
      <c r="B632" s="61" t="str">
        <f>IFERROR(__xludf.DUMMYFUNCTION("""COMPUTED_VALUE"""),"-55.5418945537269")</f>
        <v>-55.5418945537269</v>
      </c>
      <c r="C632" s="61">
        <f>IFERROR(__xludf.DUMMYFUNCTION("""COMPUTED_VALUE"""),1.0)</f>
        <v>1</v>
      </c>
      <c r="D632" s="61">
        <f>IFERROR(__xludf.DUMMYFUNCTION("""COMPUTED_VALUE"""),241.0)</f>
        <v>241</v>
      </c>
      <c r="E632" s="61">
        <f>IFERROR(__xludf.DUMMYFUNCTION("""COMPUTED_VALUE"""),6.0)</f>
        <v>6</v>
      </c>
      <c r="F632" s="62" t="str">
        <f>IFERROR(__xludf.DUMMYFUNCTION("""COMPUTED_VALUE"""),"https://www.google.com/maps/search/?api=1&amp;query=-30.9020332607359,-55.5418945537269")</f>
        <v>https://www.google.com/maps/search/?api=1&amp;query=-30.9020332607359,-55.5418945537269</v>
      </c>
      <c r="G632" s="63" t="str">
        <f>IFERROR(__xludf.DUMMYFUNCTION("""COMPUTED_VALUE"""),"https://earth.google.com/web/search/-30.9020332607359,-55.5418945537269")</f>
        <v>https://earth.google.com/web/search/-30.9020332607359,-55.5418945537269</v>
      </c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</row>
    <row r="633">
      <c r="A633" s="65" t="str">
        <f>IFERROR(__xludf.DUMMYFUNCTION("""COMPUTED_VALUE"""),"-30.9019183252779")</f>
        <v>-30.9019183252779</v>
      </c>
      <c r="B633" s="66" t="str">
        <f>IFERROR(__xludf.DUMMYFUNCTION("""COMPUTED_VALUE"""),"-5.5541412331933")</f>
        <v>-5.5541412331933</v>
      </c>
      <c r="C633" s="66">
        <f>IFERROR(__xludf.DUMMYFUNCTION("""COMPUTED_VALUE"""),1.0)</f>
        <v>1</v>
      </c>
      <c r="D633" s="66">
        <f>IFERROR(__xludf.DUMMYFUNCTION("""COMPUTED_VALUE"""),241.0)</f>
        <v>241</v>
      </c>
      <c r="E633" s="66">
        <f>IFERROR(__xludf.DUMMYFUNCTION("""COMPUTED_VALUE"""),7.0)</f>
        <v>7</v>
      </c>
      <c r="F633" s="67" t="str">
        <f>IFERROR(__xludf.DUMMYFUNCTION("""COMPUTED_VALUE"""),"https://www.google.com/maps/search/?api=1&amp;query=-30.9019183252779,-5.5541412331933")</f>
        <v>https://www.google.com/maps/search/?api=1&amp;query=-30.9019183252779,-5.5541412331933</v>
      </c>
      <c r="G633" s="68" t="str">
        <f>IFERROR(__xludf.DUMMYFUNCTION("""COMPUTED_VALUE"""),"https://earth.google.com/web/search/-30.9019183252779,-5.5541412331933")</f>
        <v>https://earth.google.com/web/search/-30.9019183252779,-5.5541412331933</v>
      </c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</row>
    <row r="634">
      <c r="A634" s="69" t="str">
        <f>IFERROR(__xludf.DUMMYFUNCTION("""COMPUTED_VALUE"""),"-30.9017006147533")</f>
        <v>-30.9017006147533</v>
      </c>
      <c r="B634" s="61" t="str">
        <f>IFERROR(__xludf.DUMMYFUNCTION("""COMPUTED_VALUE"""),"-55.5412586101812")</f>
        <v>-55.5412586101812</v>
      </c>
      <c r="C634" s="61">
        <f>IFERROR(__xludf.DUMMYFUNCTION("""COMPUTED_VALUE"""),1.0)</f>
        <v>1</v>
      </c>
      <c r="D634" s="61">
        <f>IFERROR(__xludf.DUMMYFUNCTION("""COMPUTED_VALUE"""),241.0)</f>
        <v>241</v>
      </c>
      <c r="E634" s="61">
        <f>IFERROR(__xludf.DUMMYFUNCTION("""COMPUTED_VALUE"""),8.0)</f>
        <v>8</v>
      </c>
      <c r="F634" s="62" t="str">
        <f>IFERROR(__xludf.DUMMYFUNCTION("""COMPUTED_VALUE"""),"https://www.google.com/maps/search/?api=1&amp;query=-30.9017006147533,-55.5412586101812")</f>
        <v>https://www.google.com/maps/search/?api=1&amp;query=-30.9017006147533,-55.5412586101812</v>
      </c>
      <c r="G634" s="63" t="str">
        <f>IFERROR(__xludf.DUMMYFUNCTION("""COMPUTED_VALUE"""),"https://earth.google.com/web/search/-30.9017006147533,-55.5412586101812")</f>
        <v>https://earth.google.com/web/search/-30.9017006147533,-55.5412586101812</v>
      </c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</row>
    <row r="635">
      <c r="A635" s="65" t="str">
        <f>IFERROR(__xludf.DUMMYFUNCTION("""COMPUTED_VALUE"""),"-30.9015528912066")</f>
        <v>-30.9015528912066</v>
      </c>
      <c r="B635" s="66" t="str">
        <f>IFERROR(__xludf.DUMMYFUNCTION("""COMPUTED_VALUE"""),"-55.5411465976641")</f>
        <v>-55.5411465976641</v>
      </c>
      <c r="C635" s="66">
        <f>IFERROR(__xludf.DUMMYFUNCTION("""COMPUTED_VALUE"""),1.0)</f>
        <v>1</v>
      </c>
      <c r="D635" s="66">
        <f>IFERROR(__xludf.DUMMYFUNCTION("""COMPUTED_VALUE"""),241.0)</f>
        <v>241</v>
      </c>
      <c r="E635" s="66">
        <f>IFERROR(__xludf.DUMMYFUNCTION("""COMPUTED_VALUE"""),9.0)</f>
        <v>9</v>
      </c>
      <c r="F635" s="67" t="str">
        <f>IFERROR(__xludf.DUMMYFUNCTION("""COMPUTED_VALUE"""),"https://www.google.com/maps/search/?api=1&amp;query=-30.9015528912066,-55.5411465976641")</f>
        <v>https://www.google.com/maps/search/?api=1&amp;query=-30.9015528912066,-55.5411465976641</v>
      </c>
      <c r="G635" s="68" t="str">
        <f>IFERROR(__xludf.DUMMYFUNCTION("""COMPUTED_VALUE"""),"https://earth.google.com/web/search/-30.9015528912066,-55.5411465976641")</f>
        <v>https://earth.google.com/web/search/-30.9015528912066,-55.5411465976641</v>
      </c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</row>
    <row r="636">
      <c r="A636" s="69" t="str">
        <f>IFERROR(__xludf.DUMMYFUNCTION("""COMPUTED_VALUE"""),"-30.9013911511194")</f>
        <v>-30.9013911511194</v>
      </c>
      <c r="B636" s="61" t="str">
        <f>IFERROR(__xludf.DUMMYFUNCTION("""COMPUTED_VALUE"""),"-55.5412508516116")</f>
        <v>-55.5412508516116</v>
      </c>
      <c r="C636" s="61">
        <f>IFERROR(__xludf.DUMMYFUNCTION("""COMPUTED_VALUE"""),1.0)</f>
        <v>1</v>
      </c>
      <c r="D636" s="61">
        <f>IFERROR(__xludf.DUMMYFUNCTION("""COMPUTED_VALUE"""),241.0)</f>
        <v>241</v>
      </c>
      <c r="E636" s="61">
        <f>IFERROR(__xludf.DUMMYFUNCTION("""COMPUTED_VALUE"""),10.0)</f>
        <v>10</v>
      </c>
      <c r="F636" s="62" t="str">
        <f>IFERROR(__xludf.DUMMYFUNCTION("""COMPUTED_VALUE"""),"https://www.google.com/maps/search/?api=1&amp;query=-30.9013911511194,-55.5412508516116")</f>
        <v>https://www.google.com/maps/search/?api=1&amp;query=-30.9013911511194,-55.5412508516116</v>
      </c>
      <c r="G636" s="63" t="str">
        <f>IFERROR(__xludf.DUMMYFUNCTION("""COMPUTED_VALUE"""),"https://earth.google.com/web/search/-30.9013911511194,-55.5412508516116")</f>
        <v>https://earth.google.com/web/search/-30.9013911511194,-55.5412508516116</v>
      </c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</row>
    <row r="637">
      <c r="A637" s="65" t="str">
        <f>IFERROR(__xludf.DUMMYFUNCTION("""COMPUTED_VALUE"""),"-30.9013054441722")</f>
        <v>-30.9013054441722</v>
      </c>
      <c r="B637" s="66" t="str">
        <f>IFERROR(__xludf.DUMMYFUNCTION("""COMPUTED_VALUE"""),"-55.5414234451095")</f>
        <v>-55.5414234451095</v>
      </c>
      <c r="C637" s="66">
        <f>IFERROR(__xludf.DUMMYFUNCTION("""COMPUTED_VALUE"""),1.0)</f>
        <v>1</v>
      </c>
      <c r="D637" s="66">
        <f>IFERROR(__xludf.DUMMYFUNCTION("""COMPUTED_VALUE"""),241.0)</f>
        <v>241</v>
      </c>
      <c r="E637" s="66">
        <f>IFERROR(__xludf.DUMMYFUNCTION("""COMPUTED_VALUE"""),11.0)</f>
        <v>11</v>
      </c>
      <c r="F637" s="67" t="str">
        <f>IFERROR(__xludf.DUMMYFUNCTION("""COMPUTED_VALUE"""),"https://www.google.com/maps/search/?api=1&amp;query=-30.9013054441722,-55.5414234451095")</f>
        <v>https://www.google.com/maps/search/?api=1&amp;query=-30.9013054441722,-55.5414234451095</v>
      </c>
      <c r="G637" s="68" t="str">
        <f>IFERROR(__xludf.DUMMYFUNCTION("""COMPUTED_VALUE"""),"https://earth.google.com/web/search/-30.9013054441722,-55.5414234451095")</f>
        <v>https://earth.google.com/web/search/-30.9013054441722,-55.5414234451095</v>
      </c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</row>
    <row r="638">
      <c r="A638" s="69" t="str">
        <f>IFERROR(__xludf.DUMMYFUNCTION("""COMPUTED_VALUE"""),"-30.9010802093436")</f>
        <v>-30.9010802093436</v>
      </c>
      <c r="B638" s="61" t="str">
        <f>IFERROR(__xludf.DUMMYFUNCTION("""COMPUTED_VALUE"""),"-55.5419469140898")</f>
        <v>-55.5419469140898</v>
      </c>
      <c r="C638" s="61">
        <f>IFERROR(__xludf.DUMMYFUNCTION("""COMPUTED_VALUE"""),1.0)</f>
        <v>1</v>
      </c>
      <c r="D638" s="61">
        <f>IFERROR(__xludf.DUMMYFUNCTION("""COMPUTED_VALUE"""),241.0)</f>
        <v>241</v>
      </c>
      <c r="E638" s="61">
        <f>IFERROR(__xludf.DUMMYFUNCTION("""COMPUTED_VALUE"""),12.0)</f>
        <v>12</v>
      </c>
      <c r="F638" s="62" t="str">
        <f>IFERROR(__xludf.DUMMYFUNCTION("""COMPUTED_VALUE"""),"https://www.google.com/maps/search/?api=1&amp;query=-30.9010802093436,-55.5419469140898")</f>
        <v>https://www.google.com/maps/search/?api=1&amp;query=-30.9010802093436,-55.5419469140898</v>
      </c>
      <c r="G638" s="63" t="str">
        <f>IFERROR(__xludf.DUMMYFUNCTION("""COMPUTED_VALUE"""),"https://earth.google.com/web/search/-30.9010802093436,-55.5419469140898")</f>
        <v>https://earth.google.com/web/search/-30.9010802093436,-55.5419469140898</v>
      </c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</row>
    <row r="639">
      <c r="A639" s="65" t="str">
        <f>IFERROR(__xludf.DUMMYFUNCTION("""COMPUTED_VALUE"""),"-30.9011776190759")</f>
        <v>-30.9011776190759</v>
      </c>
      <c r="B639" s="66" t="str">
        <f>IFERROR(__xludf.DUMMYFUNCTION("""COMPUTED_VALUE"""),"-55.5420127640376")</f>
        <v>-55.5420127640376</v>
      </c>
      <c r="C639" s="66">
        <f>IFERROR(__xludf.DUMMYFUNCTION("""COMPUTED_VALUE"""),1.0)</f>
        <v>1</v>
      </c>
      <c r="D639" s="66">
        <f>IFERROR(__xludf.DUMMYFUNCTION("""COMPUTED_VALUE"""),241.0)</f>
        <v>241</v>
      </c>
      <c r="E639" s="66">
        <f>IFERROR(__xludf.DUMMYFUNCTION("""COMPUTED_VALUE"""),13.0)</f>
        <v>13</v>
      </c>
      <c r="F639" s="67" t="str">
        <f>IFERROR(__xludf.DUMMYFUNCTION("""COMPUTED_VALUE"""),"https://www.google.com/maps/search/?api=1&amp;query=-30.9011776190759,-55.5420127640376")</f>
        <v>https://www.google.com/maps/search/?api=1&amp;query=-30.9011776190759,-55.5420127640376</v>
      </c>
      <c r="G639" s="68" t="str">
        <f>IFERROR(__xludf.DUMMYFUNCTION("""COMPUTED_VALUE"""),"https://earth.google.com/web/search/-30.9011776190759,-55.5420127640376")</f>
        <v>https://earth.google.com/web/search/-30.9011776190759,-55.5420127640376</v>
      </c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</row>
    <row r="640">
      <c r="A640" s="69" t="str">
        <f>IFERROR(__xludf.DUMMYFUNCTION("""COMPUTED_VALUE"""),"-30.9012955346869")</f>
        <v>-30.9012955346869</v>
      </c>
      <c r="B640" s="61" t="str">
        <f>IFERROR(__xludf.DUMMYFUNCTION("""COMPUTED_VALUE"""),"-55.5420863203445")</f>
        <v>-55.5420863203445</v>
      </c>
      <c r="C640" s="61">
        <f>IFERROR(__xludf.DUMMYFUNCTION("""COMPUTED_VALUE"""),1.0)</f>
        <v>1</v>
      </c>
      <c r="D640" s="61">
        <f>IFERROR(__xludf.DUMMYFUNCTION("""COMPUTED_VALUE"""),241.0)</f>
        <v>241</v>
      </c>
      <c r="E640" s="61">
        <f>IFERROR(__xludf.DUMMYFUNCTION("""COMPUTED_VALUE"""),14.0)</f>
        <v>14</v>
      </c>
      <c r="F640" s="62" t="str">
        <f>IFERROR(__xludf.DUMMYFUNCTION("""COMPUTED_VALUE"""),"https://www.google.com/maps/search/?api=1&amp;query=-30.9012955346869,-55.5420863203445")</f>
        <v>https://www.google.com/maps/search/?api=1&amp;query=-30.9012955346869,-55.5420863203445</v>
      </c>
      <c r="G640" s="63" t="str">
        <f>IFERROR(__xludf.DUMMYFUNCTION("""COMPUTED_VALUE"""),"https://earth.google.com/web/search/-30.9012955346869,-55.5420863203445")</f>
        <v>https://earth.google.com/web/search/-30.9012955346869,-55.5420863203445</v>
      </c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</row>
    <row r="641">
      <c r="A641" s="65" t="str">
        <f>IFERROR(__xludf.DUMMYFUNCTION("""COMPUTED_VALUE"""),"-30.9013584108793")</f>
        <v>-30.9013584108793</v>
      </c>
      <c r="B641" s="66" t="str">
        <f>IFERROR(__xludf.DUMMYFUNCTION("""COMPUTED_VALUE"""),"-55.5421322015792")</f>
        <v>-55.5421322015792</v>
      </c>
      <c r="C641" s="66">
        <f>IFERROR(__xludf.DUMMYFUNCTION("""COMPUTED_VALUE"""),1.0)</f>
        <v>1</v>
      </c>
      <c r="D641" s="66">
        <f>IFERROR(__xludf.DUMMYFUNCTION("""COMPUTED_VALUE"""),241.0)</f>
        <v>241</v>
      </c>
      <c r="E641" s="66">
        <f>IFERROR(__xludf.DUMMYFUNCTION("""COMPUTED_VALUE"""),15.0)</f>
        <v>15</v>
      </c>
      <c r="F641" s="67" t="str">
        <f>IFERROR(__xludf.DUMMYFUNCTION("""COMPUTED_VALUE"""),"https://www.google.com/maps/search/?api=1&amp;query=-30.9013584108793,-55.5421322015792")</f>
        <v>https://www.google.com/maps/search/?api=1&amp;query=-30.9013584108793,-55.5421322015792</v>
      </c>
      <c r="G641" s="68" t="str">
        <f>IFERROR(__xludf.DUMMYFUNCTION("""COMPUTED_VALUE"""),"https://earth.google.com/web/search/-30.9013584108793,-55.5421322015792")</f>
        <v>https://earth.google.com/web/search/-30.9013584108793,-55.5421322015792</v>
      </c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</row>
    <row r="642">
      <c r="A642" s="69" t="str">
        <f>IFERROR(__xludf.DUMMYFUNCTION("""COMPUTED_VALUE"""),"-30.9014487963209")</f>
        <v>-30.9014487963209</v>
      </c>
      <c r="B642" s="61" t="str">
        <f>IFERROR(__xludf.DUMMYFUNCTION("""COMPUTED_VALUE"""),"-55.5421859576441")</f>
        <v>-55.5421859576441</v>
      </c>
      <c r="C642" s="61">
        <f>IFERROR(__xludf.DUMMYFUNCTION("""COMPUTED_VALUE"""),1.0)</f>
        <v>1</v>
      </c>
      <c r="D642" s="61">
        <f>IFERROR(__xludf.DUMMYFUNCTION("""COMPUTED_VALUE"""),241.0)</f>
        <v>241</v>
      </c>
      <c r="E642" s="61">
        <f>IFERROR(__xludf.DUMMYFUNCTION("""COMPUTED_VALUE"""),16.0)</f>
        <v>16</v>
      </c>
      <c r="F642" s="62" t="str">
        <f>IFERROR(__xludf.DUMMYFUNCTION("""COMPUTED_VALUE"""),"https://www.google.com/maps/search/?api=1&amp;query=-30.9014487963209,-55.5421859576441")</f>
        <v>https://www.google.com/maps/search/?api=1&amp;query=-30.9014487963209,-55.5421859576441</v>
      </c>
      <c r="G642" s="63" t="str">
        <f>IFERROR(__xludf.DUMMYFUNCTION("""COMPUTED_VALUE"""),"https://earth.google.com/web/search/-30.9014487963209,-55.5421859576441")</f>
        <v>https://earth.google.com/web/search/-30.9014487963209,-55.5421859576441</v>
      </c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</row>
    <row r="643">
      <c r="A643" s="65" t="str">
        <f>IFERROR(__xludf.DUMMYFUNCTION("""COMPUTED_VALUE"""),"-3.0901532581208")</f>
        <v>-3.0901532581208</v>
      </c>
      <c r="B643" s="66" t="str">
        <f>IFERROR(__xludf.DUMMYFUNCTION("""COMPUTED_VALUE"""),"-55.5422592199248")</f>
        <v>-55.5422592199248</v>
      </c>
      <c r="C643" s="66">
        <f>IFERROR(__xludf.DUMMYFUNCTION("""COMPUTED_VALUE"""),1.0)</f>
        <v>1</v>
      </c>
      <c r="D643" s="66">
        <f>IFERROR(__xludf.DUMMYFUNCTION("""COMPUTED_VALUE"""),241.0)</f>
        <v>241</v>
      </c>
      <c r="E643" s="66">
        <f>IFERROR(__xludf.DUMMYFUNCTION("""COMPUTED_VALUE"""),17.0)</f>
        <v>17</v>
      </c>
      <c r="F643" s="67" t="str">
        <f>IFERROR(__xludf.DUMMYFUNCTION("""COMPUTED_VALUE"""),"https://www.google.com/maps/search/?api=1&amp;query=-3.0901532581208,-55.5422592199248")</f>
        <v>https://www.google.com/maps/search/?api=1&amp;query=-3.0901532581208,-55.5422592199248</v>
      </c>
      <c r="G643" s="68" t="str">
        <f>IFERROR(__xludf.DUMMYFUNCTION("""COMPUTED_VALUE"""),"https://earth.google.com/web/search/-3.0901532581208,-55.5422592199248")</f>
        <v>https://earth.google.com/web/search/-3.0901532581208,-55.5422592199248</v>
      </c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</row>
    <row r="644">
      <c r="A644" s="69" t="str">
        <f>IFERROR(__xludf.DUMMYFUNCTION("""COMPUTED_VALUE"""),"-30.9016556970047")</f>
        <v>-30.9016556970047</v>
      </c>
      <c r="B644" s="61" t="str">
        <f>IFERROR(__xludf.DUMMYFUNCTION("""COMPUTED_VALUE"""),"-55.5423594930492")</f>
        <v>-55.5423594930492</v>
      </c>
      <c r="C644" s="61">
        <f>IFERROR(__xludf.DUMMYFUNCTION("""COMPUTED_VALUE"""),1.0)</f>
        <v>1</v>
      </c>
      <c r="D644" s="61">
        <f>IFERROR(__xludf.DUMMYFUNCTION("""COMPUTED_VALUE"""),241.0)</f>
        <v>241</v>
      </c>
      <c r="E644" s="61">
        <f>IFERROR(__xludf.DUMMYFUNCTION("""COMPUTED_VALUE"""),18.0)</f>
        <v>18</v>
      </c>
      <c r="F644" s="62" t="str">
        <f>IFERROR(__xludf.DUMMYFUNCTION("""COMPUTED_VALUE"""),"https://www.google.com/maps/search/?api=1&amp;query=-30.9016556970047,-55.5423594930492")</f>
        <v>https://www.google.com/maps/search/?api=1&amp;query=-30.9016556970047,-55.5423594930492</v>
      </c>
      <c r="G644" s="63" t="str">
        <f>IFERROR(__xludf.DUMMYFUNCTION("""COMPUTED_VALUE"""),"https://earth.google.com/web/search/-30.9016556970047,-55.5423594930492")</f>
        <v>https://earth.google.com/web/search/-30.9016556970047,-55.5423594930492</v>
      </c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</row>
    <row r="645">
      <c r="A645" s="65" t="str">
        <f>IFERROR(__xludf.DUMMYFUNCTION("""COMPUTED_VALUE"""),"-30.9013857539518")</f>
        <v>-30.9013857539518</v>
      </c>
      <c r="B645" s="66" t="str">
        <f>IFERROR(__xludf.DUMMYFUNCTION("""COMPUTED_VALUE"""),"-55.5431477828208")</f>
        <v>-55.5431477828208</v>
      </c>
      <c r="C645" s="66">
        <f>IFERROR(__xludf.DUMMYFUNCTION("""COMPUTED_VALUE"""),1.0)</f>
        <v>1</v>
      </c>
      <c r="D645" s="66">
        <f>IFERROR(__xludf.DUMMYFUNCTION("""COMPUTED_VALUE"""),242.0)</f>
        <v>242</v>
      </c>
      <c r="E645" s="66">
        <f>IFERROR(__xludf.DUMMYFUNCTION("""COMPUTED_VALUE"""),1.0)</f>
        <v>1</v>
      </c>
      <c r="F645" s="67" t="str">
        <f>IFERROR(__xludf.DUMMYFUNCTION("""COMPUTED_VALUE"""),"https://www.google.com/maps/search/?api=1&amp;query=-30.9013857539518,-55.5431477828208")</f>
        <v>https://www.google.com/maps/search/?api=1&amp;query=-30.9013857539518,-55.5431477828208</v>
      </c>
      <c r="G645" s="68" t="str">
        <f>IFERROR(__xludf.DUMMYFUNCTION("""COMPUTED_VALUE"""),"https://earth.google.com/web/search/-30.9013857539518,-55.5431477828208")</f>
        <v>https://earth.google.com/web/search/-30.9013857539518,-55.5431477828208</v>
      </c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</row>
    <row r="646">
      <c r="A646" s="69" t="str">
        <f>IFERROR(__xludf.DUMMYFUNCTION("""COMPUTED_VALUE"""),"-30.9015291156478")</f>
        <v>-30.9015291156478</v>
      </c>
      <c r="B646" s="61" t="str">
        <f>IFERROR(__xludf.DUMMYFUNCTION("""COMPUTED_VALUE"""),"-55.5428256190046")</f>
        <v>-55.5428256190046</v>
      </c>
      <c r="C646" s="61">
        <f>IFERROR(__xludf.DUMMYFUNCTION("""COMPUTED_VALUE"""),1.0)</f>
        <v>1</v>
      </c>
      <c r="D646" s="61">
        <f>IFERROR(__xludf.DUMMYFUNCTION("""COMPUTED_VALUE"""),242.0)</f>
        <v>242</v>
      </c>
      <c r="E646" s="61">
        <f>IFERROR(__xludf.DUMMYFUNCTION("""COMPUTED_VALUE"""),2.0)</f>
        <v>2</v>
      </c>
      <c r="F646" s="62" t="str">
        <f>IFERROR(__xludf.DUMMYFUNCTION("""COMPUTED_VALUE"""),"https://www.google.com/maps/search/?api=1&amp;query=-30.9015291156478,-55.5428256190046")</f>
        <v>https://www.google.com/maps/search/?api=1&amp;query=-30.9015291156478,-55.5428256190046</v>
      </c>
      <c r="G646" s="63" t="str">
        <f>IFERROR(__xludf.DUMMYFUNCTION("""COMPUTED_VALUE"""),"https://earth.google.com/web/search/-30.9015291156478,-55.5428256190046")</f>
        <v>https://earth.google.com/web/search/-30.9015291156478,-55.5428256190046</v>
      </c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</row>
    <row r="647">
      <c r="A647" s="65" t="str">
        <f>IFERROR(__xludf.DUMMYFUNCTION("""COMPUTED_VALUE"""),"-30.9016024234247")</f>
        <v>-30.9016024234247</v>
      </c>
      <c r="B647" s="66" t="str">
        <f>IFERROR(__xludf.DUMMYFUNCTION("""COMPUTED_VALUE"""),"-55.5427200301705")</f>
        <v>-55.5427200301705</v>
      </c>
      <c r="C647" s="66">
        <f>IFERROR(__xludf.DUMMYFUNCTION("""COMPUTED_VALUE"""),1.0)</f>
        <v>1</v>
      </c>
      <c r="D647" s="66">
        <f>IFERROR(__xludf.DUMMYFUNCTION("""COMPUTED_VALUE"""),242.0)</f>
        <v>242</v>
      </c>
      <c r="E647" s="66">
        <f>IFERROR(__xludf.DUMMYFUNCTION("""COMPUTED_VALUE"""),3.0)</f>
        <v>3</v>
      </c>
      <c r="F647" s="67" t="str">
        <f>IFERROR(__xludf.DUMMYFUNCTION("""COMPUTED_VALUE"""),"https://www.google.com/maps/search/?api=1&amp;query=-30.9016024234247,-55.5427200301705")</f>
        <v>https://www.google.com/maps/search/?api=1&amp;query=-30.9016024234247,-55.5427200301705</v>
      </c>
      <c r="G647" s="68" t="str">
        <f>IFERROR(__xludf.DUMMYFUNCTION("""COMPUTED_VALUE"""),"https://earth.google.com/web/search/-30.9016024234247,-55.5427200301705")</f>
        <v>https://earth.google.com/web/search/-30.9016024234247,-55.5427200301705</v>
      </c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</row>
    <row r="648">
      <c r="A648" s="69" t="str">
        <f>IFERROR(__xludf.DUMMYFUNCTION("""COMPUTED_VALUE"""),"-30.9016298049702")</f>
        <v>-30.9016298049702</v>
      </c>
      <c r="B648" s="61" t="str">
        <f>IFERROR(__xludf.DUMMYFUNCTION("""COMPUTED_VALUE"""),"-55.5426398573767")</f>
        <v>-55.5426398573767</v>
      </c>
      <c r="C648" s="61">
        <f>IFERROR(__xludf.DUMMYFUNCTION("""COMPUTED_VALUE"""),1.0)</f>
        <v>1</v>
      </c>
      <c r="D648" s="61">
        <f>IFERROR(__xludf.DUMMYFUNCTION("""COMPUTED_VALUE"""),242.0)</f>
        <v>242</v>
      </c>
      <c r="E648" s="61">
        <f>IFERROR(__xludf.DUMMYFUNCTION("""COMPUTED_VALUE"""),4.0)</f>
        <v>4</v>
      </c>
      <c r="F648" s="62" t="str">
        <f>IFERROR(__xludf.DUMMYFUNCTION("""COMPUTED_VALUE"""),"https://www.google.com/maps/search/?api=1&amp;query=-30.9016298049702,-55.5426398573767")</f>
        <v>https://www.google.com/maps/search/?api=1&amp;query=-30.9016298049702,-55.5426398573767</v>
      </c>
      <c r="G648" s="63" t="str">
        <f>IFERROR(__xludf.DUMMYFUNCTION("""COMPUTED_VALUE"""),"https://earth.google.com/web/search/-30.9016298049702,-55.5426398573767")</f>
        <v>https://earth.google.com/web/search/-30.9016298049702,-55.5426398573767</v>
      </c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</row>
    <row r="649">
      <c r="A649" s="65" t="str">
        <f>IFERROR(__xludf.DUMMYFUNCTION("""COMPUTED_VALUE"""),"-30.9016913601602")</f>
        <v>-30.9016913601602</v>
      </c>
      <c r="B649" s="66" t="str">
        <f>IFERROR(__xludf.DUMMYFUNCTION("""COMPUTED_VALUE"""),"-55.5425772699879")</f>
        <v>-55.5425772699879</v>
      </c>
      <c r="C649" s="66">
        <f>IFERROR(__xludf.DUMMYFUNCTION("""COMPUTED_VALUE"""),1.0)</f>
        <v>1</v>
      </c>
      <c r="D649" s="66">
        <f>IFERROR(__xludf.DUMMYFUNCTION("""COMPUTED_VALUE"""),242.0)</f>
        <v>242</v>
      </c>
      <c r="E649" s="66">
        <f>IFERROR(__xludf.DUMMYFUNCTION("""COMPUTED_VALUE"""),5.0)</f>
        <v>5</v>
      </c>
      <c r="F649" s="67" t="str">
        <f>IFERROR(__xludf.DUMMYFUNCTION("""COMPUTED_VALUE"""),"https://www.google.com/maps/search/?api=1&amp;query=-30.9016913601602,-55.5425772699879")</f>
        <v>https://www.google.com/maps/search/?api=1&amp;query=-30.9016913601602,-55.5425772699879</v>
      </c>
      <c r="G649" s="68" t="str">
        <f>IFERROR(__xludf.DUMMYFUNCTION("""COMPUTED_VALUE"""),"https://earth.google.com/web/search/-30.9016913601602,-55.5425772699879")</f>
        <v>https://earth.google.com/web/search/-30.9016913601602,-55.5425772699879</v>
      </c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</row>
    <row r="650">
      <c r="A650" s="69" t="str">
        <f>IFERROR(__xludf.DUMMYFUNCTION("""COMPUTED_VALUE"""),"-30.9015639832184")</f>
        <v>-30.9015639832184</v>
      </c>
      <c r="B650" s="61" t="str">
        <f>IFERROR(__xludf.DUMMYFUNCTION("""COMPUTED_VALUE"""),"-55.5424102543612")</f>
        <v>-55.5424102543612</v>
      </c>
      <c r="C650" s="61">
        <f>IFERROR(__xludf.DUMMYFUNCTION("""COMPUTED_VALUE"""),1.0)</f>
        <v>1</v>
      </c>
      <c r="D650" s="61">
        <f>IFERROR(__xludf.DUMMYFUNCTION("""COMPUTED_VALUE"""),242.0)</f>
        <v>242</v>
      </c>
      <c r="E650" s="61">
        <f>IFERROR(__xludf.DUMMYFUNCTION("""COMPUTED_VALUE"""),6.0)</f>
        <v>6</v>
      </c>
      <c r="F650" s="62" t="str">
        <f>IFERROR(__xludf.DUMMYFUNCTION("""COMPUTED_VALUE"""),"https://www.google.com/maps/search/?api=1&amp;query=-30.9015639832184,-55.5424102543612")</f>
        <v>https://www.google.com/maps/search/?api=1&amp;query=-30.9015639832184,-55.5424102543612</v>
      </c>
      <c r="G650" s="63" t="str">
        <f>IFERROR(__xludf.DUMMYFUNCTION("""COMPUTED_VALUE"""),"https://earth.google.com/web/search/-30.9015639832184,-55.5424102543612")</f>
        <v>https://earth.google.com/web/search/-30.9015639832184,-55.5424102543612</v>
      </c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</row>
    <row r="651">
      <c r="A651" s="65" t="str">
        <f>IFERROR(__xludf.DUMMYFUNCTION("""COMPUTED_VALUE"""),"-30.9014576844646")</f>
        <v>-30.9014576844646</v>
      </c>
      <c r="B651" s="66" t="str">
        <f>IFERROR(__xludf.DUMMYFUNCTION("""COMPUTED_VALUE"""),"-55.5423250344137")</f>
        <v>-55.5423250344137</v>
      </c>
      <c r="C651" s="66">
        <f>IFERROR(__xludf.DUMMYFUNCTION("""COMPUTED_VALUE"""),1.0)</f>
        <v>1</v>
      </c>
      <c r="D651" s="66">
        <f>IFERROR(__xludf.DUMMYFUNCTION("""COMPUTED_VALUE"""),242.0)</f>
        <v>242</v>
      </c>
      <c r="E651" s="66">
        <f>IFERROR(__xludf.DUMMYFUNCTION("""COMPUTED_VALUE"""),7.0)</f>
        <v>7</v>
      </c>
      <c r="F651" s="67" t="str">
        <f>IFERROR(__xludf.DUMMYFUNCTION("""COMPUTED_VALUE"""),"https://www.google.com/maps/search/?api=1&amp;query=-30.9014576844646,-55.5423250344137")</f>
        <v>https://www.google.com/maps/search/?api=1&amp;query=-30.9014576844646,-55.5423250344137</v>
      </c>
      <c r="G651" s="68" t="str">
        <f>IFERROR(__xludf.DUMMYFUNCTION("""COMPUTED_VALUE"""),"https://earth.google.com/web/search/-30.9014576844646,-55.5423250344137")</f>
        <v>https://earth.google.com/web/search/-30.9014576844646,-55.5423250344137</v>
      </c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</row>
    <row r="652">
      <c r="A652" s="69" t="str">
        <f>IFERROR(__xludf.DUMMYFUNCTION("""COMPUTED_VALUE"""),"-30.9013174819635")</f>
        <v>-30.9013174819635</v>
      </c>
      <c r="B652" s="61" t="str">
        <f>IFERROR(__xludf.DUMMYFUNCTION("""COMPUTED_VALUE"""),"-55.5422467488746")</f>
        <v>-55.5422467488746</v>
      </c>
      <c r="C652" s="61">
        <f>IFERROR(__xludf.DUMMYFUNCTION("""COMPUTED_VALUE"""),1.0)</f>
        <v>1</v>
      </c>
      <c r="D652" s="61">
        <f>IFERROR(__xludf.DUMMYFUNCTION("""COMPUTED_VALUE"""),242.0)</f>
        <v>242</v>
      </c>
      <c r="E652" s="61">
        <f>IFERROR(__xludf.DUMMYFUNCTION("""COMPUTED_VALUE"""),8.0)</f>
        <v>8</v>
      </c>
      <c r="F652" s="62" t="str">
        <f>IFERROR(__xludf.DUMMYFUNCTION("""COMPUTED_VALUE"""),"https://www.google.com/maps/search/?api=1&amp;query=-30.9013174819635,-55.5422467488746")</f>
        <v>https://www.google.com/maps/search/?api=1&amp;query=-30.9013174819635,-55.5422467488746</v>
      </c>
      <c r="G652" s="63" t="str">
        <f>IFERROR(__xludf.DUMMYFUNCTION("""COMPUTED_VALUE"""),"https://earth.google.com/web/search/-30.9013174819635,-55.5422467488746")</f>
        <v>https://earth.google.com/web/search/-30.9013174819635,-55.5422467488746</v>
      </c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</row>
    <row r="653">
      <c r="A653" s="65" t="str">
        <f>IFERROR(__xludf.DUMMYFUNCTION("""COMPUTED_VALUE"""),"-30.9012158428027")</f>
        <v>-30.9012158428027</v>
      </c>
      <c r="B653" s="66" t="str">
        <f>IFERROR(__xludf.DUMMYFUNCTION("""COMPUTED_VALUE"""),"-55.5421501808645")</f>
        <v>-55.5421501808645</v>
      </c>
      <c r="C653" s="66">
        <f>IFERROR(__xludf.DUMMYFUNCTION("""COMPUTED_VALUE"""),1.0)</f>
        <v>1</v>
      </c>
      <c r="D653" s="66">
        <f>IFERROR(__xludf.DUMMYFUNCTION("""COMPUTED_VALUE"""),242.0)</f>
        <v>242</v>
      </c>
      <c r="E653" s="66">
        <f>IFERROR(__xludf.DUMMYFUNCTION("""COMPUTED_VALUE"""),9.0)</f>
        <v>9</v>
      </c>
      <c r="F653" s="67" t="str">
        <f>IFERROR(__xludf.DUMMYFUNCTION("""COMPUTED_VALUE"""),"https://www.google.com/maps/search/?api=1&amp;query=-30.9012158428027,-55.5421501808645")</f>
        <v>https://www.google.com/maps/search/?api=1&amp;query=-30.9012158428027,-55.5421501808645</v>
      </c>
      <c r="G653" s="68" t="str">
        <f>IFERROR(__xludf.DUMMYFUNCTION("""COMPUTED_VALUE"""),"https://earth.google.com/web/search/-30.9012158428027,-55.5421501808645")</f>
        <v>https://earth.google.com/web/search/-30.9012158428027,-55.5421501808645</v>
      </c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</row>
    <row r="654">
      <c r="A654" s="69" t="str">
        <f>IFERROR(__xludf.DUMMYFUNCTION("""COMPUTED_VALUE"""),"-30.9011264897174")</f>
        <v>-30.9011264897174</v>
      </c>
      <c r="B654" s="61" t="str">
        <f>IFERROR(__xludf.DUMMYFUNCTION("""COMPUTED_VALUE"""),"-5.5542095357829")</f>
        <v>-5.5542095357829</v>
      </c>
      <c r="C654" s="61">
        <f>IFERROR(__xludf.DUMMYFUNCTION("""COMPUTED_VALUE"""),1.0)</f>
        <v>1</v>
      </c>
      <c r="D654" s="61">
        <f>IFERROR(__xludf.DUMMYFUNCTION("""COMPUTED_VALUE"""),242.0)</f>
        <v>242</v>
      </c>
      <c r="E654" s="61">
        <f>IFERROR(__xludf.DUMMYFUNCTION("""COMPUTED_VALUE"""),10.0)</f>
        <v>10</v>
      </c>
      <c r="F654" s="62" t="str">
        <f>IFERROR(__xludf.DUMMYFUNCTION("""COMPUTED_VALUE"""),"https://www.google.com/maps/search/?api=1&amp;query=-30.9011264897174,-5.5542095357829")</f>
        <v>https://www.google.com/maps/search/?api=1&amp;query=-30.9011264897174,-5.5542095357829</v>
      </c>
      <c r="G654" s="63" t="str">
        <f>IFERROR(__xludf.DUMMYFUNCTION("""COMPUTED_VALUE"""),"https://earth.google.com/web/search/-30.9011264897174,-5.5542095357829")</f>
        <v>https://earth.google.com/web/search/-30.9011264897174,-5.5542095357829</v>
      </c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</row>
    <row r="655">
      <c r="A655" s="65" t="str">
        <f>IFERROR(__xludf.DUMMYFUNCTION("""COMPUTED_VALUE"""),"-30.9009977978099")</f>
        <v>-30.9009977978099</v>
      </c>
      <c r="B655" s="66" t="str">
        <f>IFERROR(__xludf.DUMMYFUNCTION("""COMPUTED_VALUE"""),"-55.5420660233869")</f>
        <v>-55.5420660233869</v>
      </c>
      <c r="C655" s="66">
        <f>IFERROR(__xludf.DUMMYFUNCTION("""COMPUTED_VALUE"""),1.0)</f>
        <v>1</v>
      </c>
      <c r="D655" s="66">
        <f>IFERROR(__xludf.DUMMYFUNCTION("""COMPUTED_VALUE"""),242.0)</f>
        <v>242</v>
      </c>
      <c r="E655" s="66">
        <f>IFERROR(__xludf.DUMMYFUNCTION("""COMPUTED_VALUE"""),11.0)</f>
        <v>11</v>
      </c>
      <c r="F655" s="67" t="str">
        <f>IFERROR(__xludf.DUMMYFUNCTION("""COMPUTED_VALUE"""),"https://www.google.com/maps/search/?api=1&amp;query=-30.9009977978099,-55.5420660233869")</f>
        <v>https://www.google.com/maps/search/?api=1&amp;query=-30.9009977978099,-55.5420660233869</v>
      </c>
      <c r="G655" s="68" t="str">
        <f>IFERROR(__xludf.DUMMYFUNCTION("""COMPUTED_VALUE"""),"https://earth.google.com/web/search/-30.9009977978099,-55.5420660233869")</f>
        <v>https://earth.google.com/web/search/-30.9009977978099,-55.5420660233869</v>
      </c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</row>
    <row r="656">
      <c r="A656" s="69" t="str">
        <f>IFERROR(__xludf.DUMMYFUNCTION("""COMPUTED_VALUE"""),"-30.9007988331606")</f>
        <v>-30.9007988331606</v>
      </c>
      <c r="B656" s="61" t="str">
        <f>IFERROR(__xludf.DUMMYFUNCTION("""COMPUTED_VALUE"""),"-55.5424378566196")</f>
        <v>-55.5424378566196</v>
      </c>
      <c r="C656" s="61">
        <f>IFERROR(__xludf.DUMMYFUNCTION("""COMPUTED_VALUE"""),1.0)</f>
        <v>1</v>
      </c>
      <c r="D656" s="61">
        <f>IFERROR(__xludf.DUMMYFUNCTION("""COMPUTED_VALUE"""),242.0)</f>
        <v>242</v>
      </c>
      <c r="E656" s="61">
        <f>IFERROR(__xludf.DUMMYFUNCTION("""COMPUTED_VALUE"""),12.0)</f>
        <v>12</v>
      </c>
      <c r="F656" s="62" t="str">
        <f>IFERROR(__xludf.DUMMYFUNCTION("""COMPUTED_VALUE"""),"https://www.google.com/maps/search/?api=1&amp;query=-30.9007988331606,-55.5424378566196")</f>
        <v>https://www.google.com/maps/search/?api=1&amp;query=-30.9007988331606,-55.5424378566196</v>
      </c>
      <c r="G656" s="63" t="str">
        <f>IFERROR(__xludf.DUMMYFUNCTION("""COMPUTED_VALUE"""),"https://earth.google.com/web/search/-30.9007988331606,-55.5424378566196")</f>
        <v>https://earth.google.com/web/search/-30.9007988331606,-55.5424378566196</v>
      </c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</row>
    <row r="657">
      <c r="A657" s="65" t="str">
        <f>IFERROR(__xludf.DUMMYFUNCTION("""COMPUTED_VALUE"""),"-3.0900747330556")</f>
        <v>-3.0900747330556</v>
      </c>
      <c r="B657" s="66" t="str">
        <f>IFERROR(__xludf.DUMMYFUNCTION("""COMPUTED_VALUE"""),"-55.5425293796176")</f>
        <v>-55.5425293796176</v>
      </c>
      <c r="C657" s="66">
        <f>IFERROR(__xludf.DUMMYFUNCTION("""COMPUTED_VALUE"""),1.0)</f>
        <v>1</v>
      </c>
      <c r="D657" s="66">
        <f>IFERROR(__xludf.DUMMYFUNCTION("""COMPUTED_VALUE"""),242.0)</f>
        <v>242</v>
      </c>
      <c r="E657" s="66">
        <f>IFERROR(__xludf.DUMMYFUNCTION("""COMPUTED_VALUE"""),13.0)</f>
        <v>13</v>
      </c>
      <c r="F657" s="67" t="str">
        <f>IFERROR(__xludf.DUMMYFUNCTION("""COMPUTED_VALUE"""),"https://www.google.com/maps/search/?api=1&amp;query=-3.0900747330556,-55.5425293796176")</f>
        <v>https://www.google.com/maps/search/?api=1&amp;query=-3.0900747330556,-55.5425293796176</v>
      </c>
      <c r="G657" s="68" t="str">
        <f>IFERROR(__xludf.DUMMYFUNCTION("""COMPUTED_VALUE"""),"https://earth.google.com/web/search/-3.0900747330556,-55.5425293796176")</f>
        <v>https://earth.google.com/web/search/-3.0900747330556,-55.5425293796176</v>
      </c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</row>
    <row r="658">
      <c r="A658" s="69" t="str">
        <f>IFERROR(__xludf.DUMMYFUNCTION("""COMPUTED_VALUE"""),"-30.9008188129076")</f>
        <v>-30.9008188129076</v>
      </c>
      <c r="B658" s="61" t="str">
        <f>IFERROR(__xludf.DUMMYFUNCTION("""COMPUTED_VALUE"""),"-0.5554301727586")</f>
        <v>-0.5554301727586</v>
      </c>
      <c r="C658" s="61">
        <f>IFERROR(__xludf.DUMMYFUNCTION("""COMPUTED_VALUE"""),1.0)</f>
        <v>1</v>
      </c>
      <c r="D658" s="61">
        <f>IFERROR(__xludf.DUMMYFUNCTION("""COMPUTED_VALUE"""),242.0)</f>
        <v>242</v>
      </c>
      <c r="E658" s="61">
        <f>IFERROR(__xludf.DUMMYFUNCTION("""COMPUTED_VALUE"""),14.0)</f>
        <v>14</v>
      </c>
      <c r="F658" s="62" t="str">
        <f>IFERROR(__xludf.DUMMYFUNCTION("""COMPUTED_VALUE"""),"https://www.google.com/maps/search/?api=1&amp;query=-30.9008188129076,-0.5554301727586")</f>
        <v>https://www.google.com/maps/search/?api=1&amp;query=-30.9008188129076,-0.5554301727586</v>
      </c>
      <c r="G658" s="63" t="str">
        <f>IFERROR(__xludf.DUMMYFUNCTION("""COMPUTED_VALUE"""),"https://earth.google.com/web/search/-30.9008188129076,-0.5554301727586")</f>
        <v>https://earth.google.com/web/search/-30.9008188129076,-0.5554301727586</v>
      </c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</row>
    <row r="659">
      <c r="A659" s="65" t="str">
        <f>IFERROR(__xludf.DUMMYFUNCTION("""COMPUTED_VALUE"""),"-30.9011739333327")</f>
        <v>-30.9011739333327</v>
      </c>
      <c r="B659" s="66" t="str">
        <f>IFERROR(__xludf.DUMMYFUNCTION("""COMPUTED_VALUE"""),"-55.5432502313648")</f>
        <v>-55.5432502313648</v>
      </c>
      <c r="C659" s="66">
        <f>IFERROR(__xludf.DUMMYFUNCTION("""COMPUTED_VALUE"""),1.0)</f>
        <v>1</v>
      </c>
      <c r="D659" s="66">
        <f>IFERROR(__xludf.DUMMYFUNCTION("""COMPUTED_VALUE"""),242.0)</f>
        <v>242</v>
      </c>
      <c r="E659" s="66">
        <f>IFERROR(__xludf.DUMMYFUNCTION("""COMPUTED_VALUE"""),15.0)</f>
        <v>15</v>
      </c>
      <c r="F659" s="67" t="str">
        <f>IFERROR(__xludf.DUMMYFUNCTION("""COMPUTED_VALUE"""),"https://www.google.com/maps/search/?api=1&amp;query=-30.9011739333327,-55.5432502313648")</f>
        <v>https://www.google.com/maps/search/?api=1&amp;query=-30.9011739333327,-55.5432502313648</v>
      </c>
      <c r="G659" s="68" t="str">
        <f>IFERROR(__xludf.DUMMYFUNCTION("""COMPUTED_VALUE"""),"https://earth.google.com/web/search/-30.9011739333327,-55.5432502313648")</f>
        <v>https://earth.google.com/web/search/-30.9011739333327,-55.5432502313648</v>
      </c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</row>
    <row r="660">
      <c r="A660" s="69" t="str">
        <f>IFERROR(__xludf.DUMMYFUNCTION("""COMPUTED_VALUE"""),"-30.9012373461805")</f>
        <v>-30.9012373461805</v>
      </c>
      <c r="B660" s="61" t="str">
        <f>IFERROR(__xludf.DUMMYFUNCTION("""COMPUTED_VALUE"""),"-55.5432863474526")</f>
        <v>-55.5432863474526</v>
      </c>
      <c r="C660" s="61">
        <f>IFERROR(__xludf.DUMMYFUNCTION("""COMPUTED_VALUE"""),1.0)</f>
        <v>1</v>
      </c>
      <c r="D660" s="61">
        <f>IFERROR(__xludf.DUMMYFUNCTION("""COMPUTED_VALUE"""),242.0)</f>
        <v>242</v>
      </c>
      <c r="E660" s="61">
        <f>IFERROR(__xludf.DUMMYFUNCTION("""COMPUTED_VALUE"""),16.0)</f>
        <v>16</v>
      </c>
      <c r="F660" s="62" t="str">
        <f>IFERROR(__xludf.DUMMYFUNCTION("""COMPUTED_VALUE"""),"https://www.google.com/maps/search/?api=1&amp;query=-30.9012373461805,-55.5432863474526")</f>
        <v>https://www.google.com/maps/search/?api=1&amp;query=-30.9012373461805,-55.5432863474526</v>
      </c>
      <c r="G660" s="63" t="str">
        <f>IFERROR(__xludf.DUMMYFUNCTION("""COMPUTED_VALUE"""),"https://earth.google.com/web/search/-30.9012373461805,-55.5432863474526")</f>
        <v>https://earth.google.com/web/search/-30.9012373461805,-55.5432863474526</v>
      </c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</row>
    <row r="661">
      <c r="A661" s="65" t="str">
        <f>IFERROR(__xludf.DUMMYFUNCTION("""COMPUTED_VALUE"""),"-30.9009784401968")</f>
        <v>-30.9009784401968</v>
      </c>
      <c r="B661" s="66" t="str">
        <f>IFERROR(__xludf.DUMMYFUNCTION("""COMPUTED_VALUE"""),"-55.5438908112847")</f>
        <v>-55.5438908112847</v>
      </c>
      <c r="C661" s="66">
        <f>IFERROR(__xludf.DUMMYFUNCTION("""COMPUTED_VALUE"""),1.0)</f>
        <v>1</v>
      </c>
      <c r="D661" s="66">
        <f>IFERROR(__xludf.DUMMYFUNCTION("""COMPUTED_VALUE"""),243.0)</f>
        <v>243</v>
      </c>
      <c r="E661" s="66">
        <f>IFERROR(__xludf.DUMMYFUNCTION("""COMPUTED_VALUE"""),1.0)</f>
        <v>1</v>
      </c>
      <c r="F661" s="67" t="str">
        <f>IFERROR(__xludf.DUMMYFUNCTION("""COMPUTED_VALUE"""),"https://www.google.com/maps/search/?api=1&amp;query=-30.9009784401968,-55.5438908112847")</f>
        <v>https://www.google.com/maps/search/?api=1&amp;query=-30.9009784401968,-55.5438908112847</v>
      </c>
      <c r="G661" s="68" t="str">
        <f>IFERROR(__xludf.DUMMYFUNCTION("""COMPUTED_VALUE"""),"https://earth.google.com/web/search/-30.9009784401968,-55.5438908112847")</f>
        <v>https://earth.google.com/web/search/-30.9009784401968,-55.5438908112847</v>
      </c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</row>
    <row r="662">
      <c r="A662" s="69" t="str">
        <f>IFERROR(__xludf.DUMMYFUNCTION("""COMPUTED_VALUE"""),"-30.9010159301989")</f>
        <v>-30.9010159301989</v>
      </c>
      <c r="B662" s="61" t="str">
        <f>IFERROR(__xludf.DUMMYFUNCTION("""COMPUTED_VALUE"""),"-55.5438098409405")</f>
        <v>-55.5438098409405</v>
      </c>
      <c r="C662" s="61">
        <f>IFERROR(__xludf.DUMMYFUNCTION("""COMPUTED_VALUE"""),1.0)</f>
        <v>1</v>
      </c>
      <c r="D662" s="61">
        <f>IFERROR(__xludf.DUMMYFUNCTION("""COMPUTED_VALUE"""),243.0)</f>
        <v>243</v>
      </c>
      <c r="E662" s="61">
        <f>IFERROR(__xludf.DUMMYFUNCTION("""COMPUTED_VALUE"""),2.0)</f>
        <v>2</v>
      </c>
      <c r="F662" s="62" t="str">
        <f>IFERROR(__xludf.DUMMYFUNCTION("""COMPUTED_VALUE"""),"https://www.google.com/maps/search/?api=1&amp;query=-30.9010159301989,-55.5438098409405")</f>
        <v>https://www.google.com/maps/search/?api=1&amp;query=-30.9010159301989,-55.5438098409405</v>
      </c>
      <c r="G662" s="63" t="str">
        <f>IFERROR(__xludf.DUMMYFUNCTION("""COMPUTED_VALUE"""),"https://earth.google.com/web/search/-30.9010159301989,-55.5438098409405")</f>
        <v>https://earth.google.com/web/search/-30.9010159301989,-55.5438098409405</v>
      </c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</row>
    <row r="663">
      <c r="A663" s="65" t="str">
        <f>IFERROR(__xludf.DUMMYFUNCTION("""COMPUTED_VALUE"""),"-30.9010661601938")</f>
        <v>-30.9010661601938</v>
      </c>
      <c r="B663" s="66" t="str">
        <f>IFERROR(__xludf.DUMMYFUNCTION("""COMPUTED_VALUE"""),"-55.5437282722097")</f>
        <v>-55.5437282722097</v>
      </c>
      <c r="C663" s="66">
        <f>IFERROR(__xludf.DUMMYFUNCTION("""COMPUTED_VALUE"""),1.0)</f>
        <v>1</v>
      </c>
      <c r="D663" s="66">
        <f>IFERROR(__xludf.DUMMYFUNCTION("""COMPUTED_VALUE"""),243.0)</f>
        <v>243</v>
      </c>
      <c r="E663" s="66">
        <f>IFERROR(__xludf.DUMMYFUNCTION("""COMPUTED_VALUE"""),3.0)</f>
        <v>3</v>
      </c>
      <c r="F663" s="67" t="str">
        <f>IFERROR(__xludf.DUMMYFUNCTION("""COMPUTED_VALUE"""),"https://www.google.com/maps/search/?api=1&amp;query=-30.9010661601938,-55.5437282722097")</f>
        <v>https://www.google.com/maps/search/?api=1&amp;query=-30.9010661601938,-55.5437282722097</v>
      </c>
      <c r="G663" s="68" t="str">
        <f>IFERROR(__xludf.DUMMYFUNCTION("""COMPUTED_VALUE"""),"https://earth.google.com/web/search/-30.9010661601938,-55.5437282722097")</f>
        <v>https://earth.google.com/web/search/-30.9010661601938,-55.5437282722097</v>
      </c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</row>
    <row r="664">
      <c r="A664" s="69" t="str">
        <f>IFERROR(__xludf.DUMMYFUNCTION("""COMPUTED_VALUE"""),"-30.9011284112498")</f>
        <v>-30.9011284112498</v>
      </c>
      <c r="B664" s="61" t="str">
        <f>IFERROR(__xludf.DUMMYFUNCTION("""COMPUTED_VALUE"""),"-55.5436110083281")</f>
        <v>-55.5436110083281</v>
      </c>
      <c r="C664" s="61">
        <f>IFERROR(__xludf.DUMMYFUNCTION("""COMPUTED_VALUE"""),1.0)</f>
        <v>1</v>
      </c>
      <c r="D664" s="61">
        <f>IFERROR(__xludf.DUMMYFUNCTION("""COMPUTED_VALUE"""),243.0)</f>
        <v>243</v>
      </c>
      <c r="E664" s="61">
        <f>IFERROR(__xludf.DUMMYFUNCTION("""COMPUTED_VALUE"""),4.0)</f>
        <v>4</v>
      </c>
      <c r="F664" s="62" t="str">
        <f>IFERROR(__xludf.DUMMYFUNCTION("""COMPUTED_VALUE"""),"https://www.google.com/maps/search/?api=1&amp;query=-30.9011284112498,-55.5436110083281")</f>
        <v>https://www.google.com/maps/search/?api=1&amp;query=-30.9011284112498,-55.5436110083281</v>
      </c>
      <c r="G664" s="63" t="str">
        <f>IFERROR(__xludf.DUMMYFUNCTION("""COMPUTED_VALUE"""),"https://earth.google.com/web/search/-30.9011284112498,-55.5436110083281")</f>
        <v>https://earth.google.com/web/search/-30.9011284112498,-55.5436110083281</v>
      </c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</row>
    <row r="665">
      <c r="A665" s="65" t="str">
        <f>IFERROR(__xludf.DUMMYFUNCTION("""COMPUTED_VALUE"""),"-30.9010547954593")</f>
        <v>-30.9010547954593</v>
      </c>
      <c r="B665" s="66" t="str">
        <f>IFERROR(__xludf.DUMMYFUNCTION("""COMPUTED_VALUE"""),"-55.5432905493962")</f>
        <v>-55.5432905493962</v>
      </c>
      <c r="C665" s="66">
        <f>IFERROR(__xludf.DUMMYFUNCTION("""COMPUTED_VALUE"""),1.0)</f>
        <v>1</v>
      </c>
      <c r="D665" s="66">
        <f>IFERROR(__xludf.DUMMYFUNCTION("""COMPUTED_VALUE"""),243.0)</f>
        <v>243</v>
      </c>
      <c r="E665" s="66">
        <f>IFERROR(__xludf.DUMMYFUNCTION("""COMPUTED_VALUE"""),5.0)</f>
        <v>5</v>
      </c>
      <c r="F665" s="67" t="str">
        <f>IFERROR(__xludf.DUMMYFUNCTION("""COMPUTED_VALUE"""),"https://www.google.com/maps/search/?api=1&amp;query=-30.9010547954593,-55.5432905493962")</f>
        <v>https://www.google.com/maps/search/?api=1&amp;query=-30.9010547954593,-55.5432905493962</v>
      </c>
      <c r="G665" s="68" t="str">
        <f>IFERROR(__xludf.DUMMYFUNCTION("""COMPUTED_VALUE"""),"https://earth.google.com/web/search/-30.9010547954593,-55.5432905493962")</f>
        <v>https://earth.google.com/web/search/-30.9010547954593,-55.5432905493962</v>
      </c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</row>
    <row r="666">
      <c r="A666" s="69" t="str">
        <f>IFERROR(__xludf.DUMMYFUNCTION("""COMPUTED_VALUE"""),"-30.9009535123055")</f>
        <v>-30.9009535123055</v>
      </c>
      <c r="B666" s="61" t="str">
        <f>IFERROR(__xludf.DUMMYFUNCTION("""COMPUTED_VALUE"""),"-55.5432182340427")</f>
        <v>-55.5432182340427</v>
      </c>
      <c r="C666" s="61">
        <f>IFERROR(__xludf.DUMMYFUNCTION("""COMPUTED_VALUE"""),1.0)</f>
        <v>1</v>
      </c>
      <c r="D666" s="61">
        <f>IFERROR(__xludf.DUMMYFUNCTION("""COMPUTED_VALUE"""),243.0)</f>
        <v>243</v>
      </c>
      <c r="E666" s="61">
        <f>IFERROR(__xludf.DUMMYFUNCTION("""COMPUTED_VALUE"""),6.0)</f>
        <v>6</v>
      </c>
      <c r="F666" s="62" t="str">
        <f>IFERROR(__xludf.DUMMYFUNCTION("""COMPUTED_VALUE"""),"https://www.google.com/maps/search/?api=1&amp;query=-30.9009535123055,-55.5432182340427")</f>
        <v>https://www.google.com/maps/search/?api=1&amp;query=-30.9009535123055,-55.5432182340427</v>
      </c>
      <c r="G666" s="63" t="str">
        <f>IFERROR(__xludf.DUMMYFUNCTION("""COMPUTED_VALUE"""),"https://earth.google.com/web/search/-30.9009535123055,-55.5432182340427")</f>
        <v>https://earth.google.com/web/search/-30.9009535123055,-55.5432182340427</v>
      </c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</row>
    <row r="667">
      <c r="A667" s="65" t="str">
        <f>IFERROR(__xludf.DUMMYFUNCTION("""COMPUTED_VALUE"""),"-30.9006076139134")</f>
        <v>-30.9006076139134</v>
      </c>
      <c r="B667" s="66" t="str">
        <f>IFERROR(__xludf.DUMMYFUNCTION("""COMPUTED_VALUE"""),"-55.5429837046285")</f>
        <v>-55.5429837046285</v>
      </c>
      <c r="C667" s="66">
        <f>IFERROR(__xludf.DUMMYFUNCTION("""COMPUTED_VALUE"""),1.0)</f>
        <v>1</v>
      </c>
      <c r="D667" s="66">
        <f>IFERROR(__xludf.DUMMYFUNCTION("""COMPUTED_VALUE"""),243.0)</f>
        <v>243</v>
      </c>
      <c r="E667" s="66">
        <f>IFERROR(__xludf.DUMMYFUNCTION("""COMPUTED_VALUE"""),7.0)</f>
        <v>7</v>
      </c>
      <c r="F667" s="67" t="str">
        <f>IFERROR(__xludf.DUMMYFUNCTION("""COMPUTED_VALUE"""),"https://www.google.com/maps/search/?api=1&amp;query=-30.9006076139134,-55.5429837046285")</f>
        <v>https://www.google.com/maps/search/?api=1&amp;query=-30.9006076139134,-55.5429837046285</v>
      </c>
      <c r="G667" s="68" t="str">
        <f>IFERROR(__xludf.DUMMYFUNCTION("""COMPUTED_VALUE"""),"https://earth.google.com/web/search/-30.9006076139134,-55.5429837046285")</f>
        <v>https://earth.google.com/web/search/-30.9006076139134,-55.5429837046285</v>
      </c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</row>
    <row r="668">
      <c r="A668" s="69" t="str">
        <f>IFERROR(__xludf.DUMMYFUNCTION("""COMPUTED_VALUE"""),"-30.9004569920979")</f>
        <v>-30.9004569920979</v>
      </c>
      <c r="B668" s="61" t="str">
        <f>IFERROR(__xludf.DUMMYFUNCTION("""COMPUTED_VALUE"""),"-55.5430496091677")</f>
        <v>-55.5430496091677</v>
      </c>
      <c r="C668" s="61">
        <f>IFERROR(__xludf.DUMMYFUNCTION("""COMPUTED_VALUE"""),1.0)</f>
        <v>1</v>
      </c>
      <c r="D668" s="61">
        <f>IFERROR(__xludf.DUMMYFUNCTION("""COMPUTED_VALUE"""),243.0)</f>
        <v>243</v>
      </c>
      <c r="E668" s="61">
        <f>IFERROR(__xludf.DUMMYFUNCTION("""COMPUTED_VALUE"""),8.0)</f>
        <v>8</v>
      </c>
      <c r="F668" s="62" t="str">
        <f>IFERROR(__xludf.DUMMYFUNCTION("""COMPUTED_VALUE"""),"https://www.google.com/maps/search/?api=1&amp;query=-30.9004569920979,-55.5430496091677")</f>
        <v>https://www.google.com/maps/search/?api=1&amp;query=-30.9004569920979,-55.5430496091677</v>
      </c>
      <c r="G668" s="63" t="str">
        <f>IFERROR(__xludf.DUMMYFUNCTION("""COMPUTED_VALUE"""),"https://earth.google.com/web/search/-30.9004569920979,-55.5430496091677")</f>
        <v>https://earth.google.com/web/search/-30.9004569920979,-55.5430496091677</v>
      </c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</row>
    <row r="669">
      <c r="A669" s="65" t="str">
        <f>IFERROR(__xludf.DUMMYFUNCTION("""COMPUTED_VALUE"""),"-30.9004092773196")</f>
        <v>-30.9004092773196</v>
      </c>
      <c r="B669" s="66" t="str">
        <f>IFERROR(__xludf.DUMMYFUNCTION("""COMPUTED_VALUE"""),"-55.5431530408174")</f>
        <v>-55.5431530408174</v>
      </c>
      <c r="C669" s="66">
        <f>IFERROR(__xludf.DUMMYFUNCTION("""COMPUTED_VALUE"""),1.0)</f>
        <v>1</v>
      </c>
      <c r="D669" s="66">
        <f>IFERROR(__xludf.DUMMYFUNCTION("""COMPUTED_VALUE"""),243.0)</f>
        <v>243</v>
      </c>
      <c r="E669" s="66">
        <f>IFERROR(__xludf.DUMMYFUNCTION("""COMPUTED_VALUE"""),9.0)</f>
        <v>9</v>
      </c>
      <c r="F669" s="67" t="str">
        <f>IFERROR(__xludf.DUMMYFUNCTION("""COMPUTED_VALUE"""),"https://www.google.com/maps/search/?api=1&amp;query=-30.9004092773196,-55.5431530408174")</f>
        <v>https://www.google.com/maps/search/?api=1&amp;query=-30.9004092773196,-55.5431530408174</v>
      </c>
      <c r="G669" s="68" t="str">
        <f>IFERROR(__xludf.DUMMYFUNCTION("""COMPUTED_VALUE"""),"https://earth.google.com/web/search/-30.9004092773196,-55.5431530408174")</f>
        <v>https://earth.google.com/web/search/-30.9004092773196,-55.5431530408174</v>
      </c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</row>
    <row r="670">
      <c r="A670" s="69" t="str">
        <f>IFERROR(__xludf.DUMMYFUNCTION("""COMPUTED_VALUE"""),"-30.9003067299395")</f>
        <v>-30.9003067299395</v>
      </c>
      <c r="B670" s="61" t="str">
        <f>IFERROR(__xludf.DUMMYFUNCTION("""COMPUTED_VALUE"""),"-55.5433277057102")</f>
        <v>-55.5433277057102</v>
      </c>
      <c r="C670" s="61">
        <f>IFERROR(__xludf.DUMMYFUNCTION("""COMPUTED_VALUE"""),1.0)</f>
        <v>1</v>
      </c>
      <c r="D670" s="61">
        <f>IFERROR(__xludf.DUMMYFUNCTION("""COMPUTED_VALUE"""),243.0)</f>
        <v>243</v>
      </c>
      <c r="E670" s="61">
        <f>IFERROR(__xludf.DUMMYFUNCTION("""COMPUTED_VALUE"""),10.0)</f>
        <v>10</v>
      </c>
      <c r="F670" s="62" t="str">
        <f>IFERROR(__xludf.DUMMYFUNCTION("""COMPUTED_VALUE"""),"https://www.google.com/maps/search/?api=1&amp;query=-30.9003067299395,-55.5433277057102")</f>
        <v>https://www.google.com/maps/search/?api=1&amp;query=-30.9003067299395,-55.5433277057102</v>
      </c>
      <c r="G670" s="63" t="str">
        <f>IFERROR(__xludf.DUMMYFUNCTION("""COMPUTED_VALUE"""),"https://earth.google.com/web/search/-30.9003067299395,-55.5433277057102")</f>
        <v>https://earth.google.com/web/search/-30.9003067299395,-55.5433277057102</v>
      </c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</row>
    <row r="671">
      <c r="A671" s="65" t="str">
        <f>IFERROR(__xludf.DUMMYFUNCTION("""COMPUTED_VALUE"""),"-30.9001927282029")</f>
        <v>-30.9001927282029</v>
      </c>
      <c r="B671" s="66" t="str">
        <f>IFERROR(__xludf.DUMMYFUNCTION("""COMPUTED_VALUE"""),"-55.5435254095072")</f>
        <v>-55.5435254095072</v>
      </c>
      <c r="C671" s="66">
        <f>IFERROR(__xludf.DUMMYFUNCTION("""COMPUTED_VALUE"""),1.0)</f>
        <v>1</v>
      </c>
      <c r="D671" s="66">
        <f>IFERROR(__xludf.DUMMYFUNCTION("""COMPUTED_VALUE"""),243.0)</f>
        <v>243</v>
      </c>
      <c r="E671" s="66">
        <f>IFERROR(__xludf.DUMMYFUNCTION("""COMPUTED_VALUE"""),11.0)</f>
        <v>11</v>
      </c>
      <c r="F671" s="67" t="str">
        <f>IFERROR(__xludf.DUMMYFUNCTION("""COMPUTED_VALUE"""),"https://www.google.com/maps/search/?api=1&amp;query=-30.9001927282029,-55.5435254095072")</f>
        <v>https://www.google.com/maps/search/?api=1&amp;query=-30.9001927282029,-55.5435254095072</v>
      </c>
      <c r="G671" s="68" t="str">
        <f>IFERROR(__xludf.DUMMYFUNCTION("""COMPUTED_VALUE"""),"https://earth.google.com/web/search/-30.9001927282029,-55.5435254095072")</f>
        <v>https://earth.google.com/web/search/-30.9001927282029,-55.5435254095072</v>
      </c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</row>
    <row r="672">
      <c r="A672" s="69" t="str">
        <f>IFERROR(__xludf.DUMMYFUNCTION("""COMPUTED_VALUE"""),"-30.9001408090291")</f>
        <v>-30.9001408090291</v>
      </c>
      <c r="B672" s="61" t="str">
        <f>IFERROR(__xludf.DUMMYFUNCTION("""COMPUTED_VALUE"""),"-55.5436073502946")</f>
        <v>-55.5436073502946</v>
      </c>
      <c r="C672" s="61">
        <f>IFERROR(__xludf.DUMMYFUNCTION("""COMPUTED_VALUE"""),1.0)</f>
        <v>1</v>
      </c>
      <c r="D672" s="61">
        <f>IFERROR(__xludf.DUMMYFUNCTION("""COMPUTED_VALUE"""),243.0)</f>
        <v>243</v>
      </c>
      <c r="E672" s="61">
        <f>IFERROR(__xludf.DUMMYFUNCTION("""COMPUTED_VALUE"""),12.0)</f>
        <v>12</v>
      </c>
      <c r="F672" s="62" t="str">
        <f>IFERROR(__xludf.DUMMYFUNCTION("""COMPUTED_VALUE"""),"https://www.google.com/maps/search/?api=1&amp;query=-30.9001408090291,-55.5436073502946")</f>
        <v>https://www.google.com/maps/search/?api=1&amp;query=-30.9001408090291,-55.5436073502946</v>
      </c>
      <c r="G672" s="63" t="str">
        <f>IFERROR(__xludf.DUMMYFUNCTION("""COMPUTED_VALUE"""),"https://earth.google.com/web/search/-30.9001408090291,-55.5436073502946")</f>
        <v>https://earth.google.com/web/search/-30.9001408090291,-55.5436073502946</v>
      </c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</row>
    <row r="673">
      <c r="A673" s="65" t="str">
        <f>IFERROR(__xludf.DUMMYFUNCTION("""COMPUTED_VALUE"""),"-30.9002014206773")</f>
        <v>-30.9002014206773</v>
      </c>
      <c r="B673" s="66" t="str">
        <f>IFERROR(__xludf.DUMMYFUNCTION("""COMPUTED_VALUE"""),"-55.5438102241546")</f>
        <v>-55.5438102241546</v>
      </c>
      <c r="C673" s="66">
        <f>IFERROR(__xludf.DUMMYFUNCTION("""COMPUTED_VALUE"""),1.0)</f>
        <v>1</v>
      </c>
      <c r="D673" s="66">
        <f>IFERROR(__xludf.DUMMYFUNCTION("""COMPUTED_VALUE"""),243.0)</f>
        <v>243</v>
      </c>
      <c r="E673" s="66">
        <f>IFERROR(__xludf.DUMMYFUNCTION("""COMPUTED_VALUE"""),13.0)</f>
        <v>13</v>
      </c>
      <c r="F673" s="67" t="str">
        <f>IFERROR(__xludf.DUMMYFUNCTION("""COMPUTED_VALUE"""),"https://www.google.com/maps/search/?api=1&amp;query=-30.9002014206773,-55.5438102241546")</f>
        <v>https://www.google.com/maps/search/?api=1&amp;query=-30.9002014206773,-55.5438102241546</v>
      </c>
      <c r="G673" s="68" t="str">
        <f>IFERROR(__xludf.DUMMYFUNCTION("""COMPUTED_VALUE"""),"https://earth.google.com/web/search/-30.9002014206773,-55.5438102241546")</f>
        <v>https://earth.google.com/web/search/-30.9002014206773,-55.5438102241546</v>
      </c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</row>
    <row r="674">
      <c r="A674" s="69" t="str">
        <f>IFERROR(__xludf.DUMMYFUNCTION("""COMPUTED_VALUE"""),"-30.9003200251517")</f>
        <v>-30.9003200251517</v>
      </c>
      <c r="B674" s="61" t="str">
        <f>IFERROR(__xludf.DUMMYFUNCTION("""COMPUTED_VALUE"""),"-55.5439228635196")</f>
        <v>-55.5439228635196</v>
      </c>
      <c r="C674" s="61">
        <f>IFERROR(__xludf.DUMMYFUNCTION("""COMPUTED_VALUE"""),1.0)</f>
        <v>1</v>
      </c>
      <c r="D674" s="61">
        <f>IFERROR(__xludf.DUMMYFUNCTION("""COMPUTED_VALUE"""),243.0)</f>
        <v>243</v>
      </c>
      <c r="E674" s="61">
        <f>IFERROR(__xludf.DUMMYFUNCTION("""COMPUTED_VALUE"""),14.0)</f>
        <v>14</v>
      </c>
      <c r="F674" s="62" t="str">
        <f>IFERROR(__xludf.DUMMYFUNCTION("""COMPUTED_VALUE"""),"https://www.google.com/maps/search/?api=1&amp;query=-30.9003200251517,-55.5439228635196")</f>
        <v>https://www.google.com/maps/search/?api=1&amp;query=-30.9003200251517,-55.5439228635196</v>
      </c>
      <c r="G674" s="63" t="str">
        <f>IFERROR(__xludf.DUMMYFUNCTION("""COMPUTED_VALUE"""),"https://earth.google.com/web/search/-30.9003200251517,-55.5439228635196")</f>
        <v>https://earth.google.com/web/search/-30.9003200251517,-55.5439228635196</v>
      </c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</row>
    <row r="675">
      <c r="A675" s="65" t="str">
        <f>IFERROR(__xludf.DUMMYFUNCTION("""COMPUTED_VALUE"""),"-30.9004147540826")</f>
        <v>-30.9004147540826</v>
      </c>
      <c r="B675" s="66" t="str">
        <f>IFERROR(__xludf.DUMMYFUNCTION("""COMPUTED_VALUE"""),"-55.5439661617162")</f>
        <v>-55.5439661617162</v>
      </c>
      <c r="C675" s="66">
        <f>IFERROR(__xludf.DUMMYFUNCTION("""COMPUTED_VALUE"""),1.0)</f>
        <v>1</v>
      </c>
      <c r="D675" s="66">
        <f>IFERROR(__xludf.DUMMYFUNCTION("""COMPUTED_VALUE"""),243.0)</f>
        <v>243</v>
      </c>
      <c r="E675" s="66">
        <f>IFERROR(__xludf.DUMMYFUNCTION("""COMPUTED_VALUE"""),15.0)</f>
        <v>15</v>
      </c>
      <c r="F675" s="67" t="str">
        <f>IFERROR(__xludf.DUMMYFUNCTION("""COMPUTED_VALUE"""),"https://www.google.com/maps/search/?api=1&amp;query=-30.9004147540826,-55.5439661617162")</f>
        <v>https://www.google.com/maps/search/?api=1&amp;query=-30.9004147540826,-55.5439661617162</v>
      </c>
      <c r="G675" s="68" t="str">
        <f>IFERROR(__xludf.DUMMYFUNCTION("""COMPUTED_VALUE"""),"https://earth.google.com/web/search/-30.9004147540826,-55.5439661617162")</f>
        <v>https://earth.google.com/web/search/-30.9004147540826,-55.5439661617162</v>
      </c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</row>
    <row r="676">
      <c r="A676" s="69" t="str">
        <f>IFERROR(__xludf.DUMMYFUNCTION("""COMPUTED_VALUE"""),"-30.9006313235958")</f>
        <v>-30.9006313235958</v>
      </c>
      <c r="B676" s="61" t="str">
        <f>IFERROR(__xludf.DUMMYFUNCTION("""COMPUTED_VALUE"""),"-55.5441230420559")</f>
        <v>-55.5441230420559</v>
      </c>
      <c r="C676" s="61">
        <f>IFERROR(__xludf.DUMMYFUNCTION("""COMPUTED_VALUE"""),1.0)</f>
        <v>1</v>
      </c>
      <c r="D676" s="61">
        <f>IFERROR(__xludf.DUMMYFUNCTION("""COMPUTED_VALUE"""),243.0)</f>
        <v>243</v>
      </c>
      <c r="E676" s="61">
        <f>IFERROR(__xludf.DUMMYFUNCTION("""COMPUTED_VALUE"""),16.0)</f>
        <v>16</v>
      </c>
      <c r="F676" s="62" t="str">
        <f>IFERROR(__xludf.DUMMYFUNCTION("""COMPUTED_VALUE"""),"https://www.google.com/maps/search/?api=1&amp;query=-30.9006313235958,-55.5441230420559")</f>
        <v>https://www.google.com/maps/search/?api=1&amp;query=-30.9006313235958,-55.5441230420559</v>
      </c>
      <c r="G676" s="63" t="str">
        <f>IFERROR(__xludf.DUMMYFUNCTION("""COMPUTED_VALUE"""),"https://earth.google.com/web/search/-30.9006313235958,-55.5441230420559")</f>
        <v>https://earth.google.com/web/search/-30.9006313235958,-55.5441230420559</v>
      </c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</row>
    <row r="677">
      <c r="A677" s="65" t="str">
        <f>IFERROR(__xludf.DUMMYFUNCTION("""COMPUTED_VALUE"""),"-30.9007023719299")</f>
        <v>-30.9007023719299</v>
      </c>
      <c r="B677" s="66" t="str">
        <f>IFERROR(__xludf.DUMMYFUNCTION("""COMPUTED_VALUE"""),"-55.5441793384086")</f>
        <v>-55.5441793384086</v>
      </c>
      <c r="C677" s="66">
        <f>IFERROR(__xludf.DUMMYFUNCTION("""COMPUTED_VALUE"""),1.0)</f>
        <v>1</v>
      </c>
      <c r="D677" s="66">
        <f>IFERROR(__xludf.DUMMYFUNCTION("""COMPUTED_VALUE"""),243.0)</f>
        <v>243</v>
      </c>
      <c r="E677" s="66">
        <f>IFERROR(__xludf.DUMMYFUNCTION("""COMPUTED_VALUE"""),17.0)</f>
        <v>17</v>
      </c>
      <c r="F677" s="67" t="str">
        <f>IFERROR(__xludf.DUMMYFUNCTION("""COMPUTED_VALUE"""),"https://www.google.com/maps/search/?api=1&amp;query=-30.9007023719299,-55.5441793384086")</f>
        <v>https://www.google.com/maps/search/?api=1&amp;query=-30.9007023719299,-55.5441793384086</v>
      </c>
      <c r="G677" s="68" t="str">
        <f>IFERROR(__xludf.DUMMYFUNCTION("""COMPUTED_VALUE"""),"https://earth.google.com/web/search/-30.9007023719299,-55.5441793384086")</f>
        <v>https://earth.google.com/web/search/-30.9007023719299,-55.5441793384086</v>
      </c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</row>
    <row r="678">
      <c r="A678" s="69" t="str">
        <f>IFERROR(__xludf.DUMMYFUNCTION("""COMPUTED_VALUE"""),"-30.9029656608156")</f>
        <v>-30.9029656608156</v>
      </c>
      <c r="B678" s="61" t="str">
        <f>IFERROR(__xludf.DUMMYFUNCTION("""COMPUTED_VALUE"""),"-55.5381174739293")</f>
        <v>-55.5381174739293</v>
      </c>
      <c r="C678" s="61">
        <f>IFERROR(__xludf.DUMMYFUNCTION("""COMPUTED_VALUE"""),1.0)</f>
        <v>1</v>
      </c>
      <c r="D678" s="61">
        <f>IFERROR(__xludf.DUMMYFUNCTION("""COMPUTED_VALUE"""),232.0)</f>
        <v>232</v>
      </c>
      <c r="E678" s="61">
        <f>IFERROR(__xludf.DUMMYFUNCTION("""COMPUTED_VALUE"""),1.0)</f>
        <v>1</v>
      </c>
      <c r="F678" s="62" t="str">
        <f>IFERROR(__xludf.DUMMYFUNCTION("""COMPUTED_VALUE"""),"https://www.google.com/maps/search/?api=1&amp;query=-30.9029656608156,-55.5381174739293")</f>
        <v>https://www.google.com/maps/search/?api=1&amp;query=-30.9029656608156,-55.5381174739293</v>
      </c>
      <c r="G678" s="63" t="str">
        <f>IFERROR(__xludf.DUMMYFUNCTION("""COMPUTED_VALUE"""),"https://earth.google.com/web/search/-30.9029656608156,-55.5381174739293")</f>
        <v>https://earth.google.com/web/search/-30.9029656608156,-55.5381174739293</v>
      </c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</row>
    <row r="679">
      <c r="A679" s="65" t="str">
        <f>IFERROR(__xludf.DUMMYFUNCTION("""COMPUTED_VALUE"""),"-30.9030633537783")</f>
        <v>-30.9030633537783</v>
      </c>
      <c r="B679" s="66" t="str">
        <f>IFERROR(__xludf.DUMMYFUNCTION("""COMPUTED_VALUE"""),"-55.5379298050188")</f>
        <v>-55.5379298050188</v>
      </c>
      <c r="C679" s="66">
        <f>IFERROR(__xludf.DUMMYFUNCTION("""COMPUTED_VALUE"""),1.0)</f>
        <v>1</v>
      </c>
      <c r="D679" s="66">
        <f>IFERROR(__xludf.DUMMYFUNCTION("""COMPUTED_VALUE"""),232.0)</f>
        <v>232</v>
      </c>
      <c r="E679" s="66">
        <f>IFERROR(__xludf.DUMMYFUNCTION("""COMPUTED_VALUE"""),2.0)</f>
        <v>2</v>
      </c>
      <c r="F679" s="67" t="str">
        <f>IFERROR(__xludf.DUMMYFUNCTION("""COMPUTED_VALUE"""),"https://www.google.com/maps/search/?api=1&amp;query=-30.9030633537783,-55.5379298050188")</f>
        <v>https://www.google.com/maps/search/?api=1&amp;query=-30.9030633537783,-55.5379298050188</v>
      </c>
      <c r="G679" s="68" t="str">
        <f>IFERROR(__xludf.DUMMYFUNCTION("""COMPUTED_VALUE"""),"https://earth.google.com/web/search/-30.9030633537783,-55.5379298050188")</f>
        <v>https://earth.google.com/web/search/-30.9030633537783,-55.5379298050188</v>
      </c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</row>
    <row r="680">
      <c r="A680" s="69" t="str">
        <f>IFERROR(__xludf.DUMMYFUNCTION("""COMPUTED_VALUE"""),"-30.9028132077807")</f>
        <v>-30.9028132077807</v>
      </c>
      <c r="B680" s="61" t="str">
        <f>IFERROR(__xludf.DUMMYFUNCTION("""COMPUTED_VALUE"""),"-5.5537008126342")</f>
        <v>-5.5537008126342</v>
      </c>
      <c r="C680" s="61">
        <f>IFERROR(__xludf.DUMMYFUNCTION("""COMPUTED_VALUE"""),1.0)</f>
        <v>1</v>
      </c>
      <c r="D680" s="61">
        <f>IFERROR(__xludf.DUMMYFUNCTION("""COMPUTED_VALUE"""),232.0)</f>
        <v>232</v>
      </c>
      <c r="E680" s="61">
        <f>IFERROR(__xludf.DUMMYFUNCTION("""COMPUTED_VALUE"""),3.0)</f>
        <v>3</v>
      </c>
      <c r="F680" s="62" t="str">
        <f>IFERROR(__xludf.DUMMYFUNCTION("""COMPUTED_VALUE"""),"https://www.google.com/maps/search/?api=1&amp;query=-30.9028132077807,-5.5537008126342")</f>
        <v>https://www.google.com/maps/search/?api=1&amp;query=-30.9028132077807,-5.5537008126342</v>
      </c>
      <c r="G680" s="63" t="str">
        <f>IFERROR(__xludf.DUMMYFUNCTION("""COMPUTED_VALUE"""),"https://earth.google.com/web/search/-30.9028132077807,-5.5537008126342")</f>
        <v>https://earth.google.com/web/search/-30.9028132077807,-5.5537008126342</v>
      </c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</row>
    <row r="681">
      <c r="A681" s="65" t="str">
        <f>IFERROR(__xludf.DUMMYFUNCTION("""COMPUTED_VALUE"""),"-30.9023031021822")</f>
        <v>-30.9023031021822</v>
      </c>
      <c r="B681" s="66" t="str">
        <f>IFERROR(__xludf.DUMMYFUNCTION("""COMPUTED_VALUE"""),"-55.5377675486998")</f>
        <v>-55.5377675486998</v>
      </c>
      <c r="C681" s="66">
        <f>IFERROR(__xludf.DUMMYFUNCTION("""COMPUTED_VALUE"""),1.0)</f>
        <v>1</v>
      </c>
      <c r="D681" s="66">
        <f>IFERROR(__xludf.DUMMYFUNCTION("""COMPUTED_VALUE"""),232.0)</f>
        <v>232</v>
      </c>
      <c r="E681" s="66">
        <f>IFERROR(__xludf.DUMMYFUNCTION("""COMPUTED_VALUE"""),4.0)</f>
        <v>4</v>
      </c>
      <c r="F681" s="67" t="str">
        <f>IFERROR(__xludf.DUMMYFUNCTION("""COMPUTED_VALUE"""),"https://www.google.com/maps/search/?api=1&amp;query=-30.9023031021822,-55.5377675486998")</f>
        <v>https://www.google.com/maps/search/?api=1&amp;query=-30.9023031021822,-55.5377675486998</v>
      </c>
      <c r="G681" s="68" t="str">
        <f>IFERROR(__xludf.DUMMYFUNCTION("""COMPUTED_VALUE"""),"https://earth.google.com/web/search/-30.9023031021822,-55.5377675486998")</f>
        <v>https://earth.google.com/web/search/-30.9023031021822,-55.5377675486998</v>
      </c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</row>
    <row r="682">
      <c r="A682" s="69" t="str">
        <f>IFERROR(__xludf.DUMMYFUNCTION("""COMPUTED_VALUE"""),"-30.9023617778439")</f>
        <v>-30.9023617778439</v>
      </c>
      <c r="B682" s="61" t="str">
        <f>IFERROR(__xludf.DUMMYFUNCTION("""COMPUTED_VALUE"""),"-55.5378077672697")</f>
        <v>-55.5378077672697</v>
      </c>
      <c r="C682" s="61">
        <f>IFERROR(__xludf.DUMMYFUNCTION("""COMPUTED_VALUE"""),1.0)</f>
        <v>1</v>
      </c>
      <c r="D682" s="61">
        <f>IFERROR(__xludf.DUMMYFUNCTION("""COMPUTED_VALUE"""),232.0)</f>
        <v>232</v>
      </c>
      <c r="E682" s="61">
        <f>IFERROR(__xludf.DUMMYFUNCTION("""COMPUTED_VALUE"""),5.0)</f>
        <v>5</v>
      </c>
      <c r="F682" s="62" t="str">
        <f>IFERROR(__xludf.DUMMYFUNCTION("""COMPUTED_VALUE"""),"https://www.google.com/maps/search/?api=1&amp;query=-30.9023617778439,-55.5378077672697")</f>
        <v>https://www.google.com/maps/search/?api=1&amp;query=-30.9023617778439,-55.5378077672697</v>
      </c>
      <c r="G682" s="63" t="str">
        <f>IFERROR(__xludf.DUMMYFUNCTION("""COMPUTED_VALUE"""),"https://earth.google.com/web/search/-30.9023617778439,-55.5378077672697")</f>
        <v>https://earth.google.com/web/search/-30.9023617778439,-55.5378077672697</v>
      </c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</row>
    <row r="683">
      <c r="A683" s="65" t="str">
        <f>IFERROR(__xludf.DUMMYFUNCTION("""COMPUTED_VALUE"""),"-30.9025205039907")</f>
        <v>-30.9025205039907</v>
      </c>
      <c r="B683" s="66" t="str">
        <f>IFERROR(__xludf.DUMMYFUNCTION("""COMPUTED_VALUE"""),"-55.5379364231284")</f>
        <v>-55.5379364231284</v>
      </c>
      <c r="C683" s="66">
        <f>IFERROR(__xludf.DUMMYFUNCTION("""COMPUTED_VALUE"""),1.0)</f>
        <v>1</v>
      </c>
      <c r="D683" s="66">
        <f>IFERROR(__xludf.DUMMYFUNCTION("""COMPUTED_VALUE"""),232.0)</f>
        <v>232</v>
      </c>
      <c r="E683" s="66">
        <f>IFERROR(__xludf.DUMMYFUNCTION("""COMPUTED_VALUE"""),6.0)</f>
        <v>6</v>
      </c>
      <c r="F683" s="67" t="str">
        <f>IFERROR(__xludf.DUMMYFUNCTION("""COMPUTED_VALUE"""),"https://www.google.com/maps/search/?api=1&amp;query=-30.9025205039907,-55.5379364231284")</f>
        <v>https://www.google.com/maps/search/?api=1&amp;query=-30.9025205039907,-55.5379364231284</v>
      </c>
      <c r="G683" s="68" t="str">
        <f>IFERROR(__xludf.DUMMYFUNCTION("""COMPUTED_VALUE"""),"https://earth.google.com/web/search/-30.9025205039907,-55.5379364231284")</f>
        <v>https://earth.google.com/web/search/-30.9025205039907,-55.5379364231284</v>
      </c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</row>
    <row r="684">
      <c r="A684" s="69" t="str">
        <f>IFERROR(__xludf.DUMMYFUNCTION("""COMPUTED_VALUE"""),"-30.9026737494578")</f>
        <v>-30.9026737494578</v>
      </c>
      <c r="B684" s="61" t="str">
        <f>IFERROR(__xludf.DUMMYFUNCTION("""COMPUTED_VALUE"""),"-0.5553802513803")</f>
        <v>-0.5553802513803</v>
      </c>
      <c r="C684" s="61">
        <f>IFERROR(__xludf.DUMMYFUNCTION("""COMPUTED_VALUE"""),1.0)</f>
        <v>1</v>
      </c>
      <c r="D684" s="61">
        <f>IFERROR(__xludf.DUMMYFUNCTION("""COMPUTED_VALUE"""),232.0)</f>
        <v>232</v>
      </c>
      <c r="E684" s="61">
        <f>IFERROR(__xludf.DUMMYFUNCTION("""COMPUTED_VALUE"""),7.0)</f>
        <v>7</v>
      </c>
      <c r="F684" s="62" t="str">
        <f>IFERROR(__xludf.DUMMYFUNCTION("""COMPUTED_VALUE"""),"https://www.google.com/maps/search/?api=1&amp;query=-30.9026737494578,-0.5553802513803")</f>
        <v>https://www.google.com/maps/search/?api=1&amp;query=-30.9026737494578,-0.5553802513803</v>
      </c>
      <c r="G684" s="63" t="str">
        <f>IFERROR(__xludf.DUMMYFUNCTION("""COMPUTED_VALUE"""),"https://earth.google.com/web/search/-30.9026737494578,-0.5553802513803")</f>
        <v>https://earth.google.com/web/search/-30.9026737494578,-0.5553802513803</v>
      </c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</row>
    <row r="685">
      <c r="A685" s="65" t="str">
        <f>IFERROR(__xludf.DUMMYFUNCTION("""COMPUTED_VALUE"""),"-30.9027503706994")</f>
        <v>-30.9027503706994</v>
      </c>
      <c r="B685" s="66" t="str">
        <f>IFERROR(__xludf.DUMMYFUNCTION("""COMPUTED_VALUE"""),"-55.5380752572969")</f>
        <v>-55.5380752572969</v>
      </c>
      <c r="C685" s="66">
        <f>IFERROR(__xludf.DUMMYFUNCTION("""COMPUTED_VALUE"""),1.0)</f>
        <v>1</v>
      </c>
      <c r="D685" s="66">
        <f>IFERROR(__xludf.DUMMYFUNCTION("""COMPUTED_VALUE"""),232.0)</f>
        <v>232</v>
      </c>
      <c r="E685" s="66">
        <f>IFERROR(__xludf.DUMMYFUNCTION("""COMPUTED_VALUE"""),8.0)</f>
        <v>8</v>
      </c>
      <c r="F685" s="67" t="str">
        <f>IFERROR(__xludf.DUMMYFUNCTION("""COMPUTED_VALUE"""),"https://www.google.com/maps/search/?api=1&amp;query=-30.9027503706994,-55.5380752572969")</f>
        <v>https://www.google.com/maps/search/?api=1&amp;query=-30.9027503706994,-55.5380752572969</v>
      </c>
      <c r="G685" s="68" t="str">
        <f>IFERROR(__xludf.DUMMYFUNCTION("""COMPUTED_VALUE"""),"https://earth.google.com/web/search/-30.9027503706994,-55.5380752572969")</f>
        <v>https://earth.google.com/web/search/-30.9027503706994,-55.5380752572969</v>
      </c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</row>
    <row r="686">
      <c r="A686" s="69" t="str">
        <f>IFERROR(__xludf.DUMMYFUNCTION("""COMPUTED_VALUE"""),"-30.9024774535861")</f>
        <v>-30.9024774535861</v>
      </c>
      <c r="B686" s="61" t="str">
        <f>IFERROR(__xludf.DUMMYFUNCTION("""COMPUTED_VALUE"""),"-55.5390636484312")</f>
        <v>-55.5390636484312</v>
      </c>
      <c r="C686" s="61">
        <f>IFERROR(__xludf.DUMMYFUNCTION("""COMPUTED_VALUE"""),1.0)</f>
        <v>1</v>
      </c>
      <c r="D686" s="61">
        <f>IFERROR(__xludf.DUMMYFUNCTION("""COMPUTED_VALUE"""),231.0)</f>
        <v>231</v>
      </c>
      <c r="E686" s="61">
        <f>IFERROR(__xludf.DUMMYFUNCTION("""COMPUTED_VALUE"""),1.0)</f>
        <v>1</v>
      </c>
      <c r="F686" s="62" t="str">
        <f>IFERROR(__xludf.DUMMYFUNCTION("""COMPUTED_VALUE"""),"https://www.google.com/maps/search/?api=1&amp;query=-30.9024774535861,-55.5390636484312")</f>
        <v>https://www.google.com/maps/search/?api=1&amp;query=-30.9024774535861,-55.5390636484312</v>
      </c>
      <c r="G686" s="63" t="str">
        <f>IFERROR(__xludf.DUMMYFUNCTION("""COMPUTED_VALUE"""),"https://earth.google.com/web/search/-30.9024774535861,-55.5390636484312")</f>
        <v>https://earth.google.com/web/search/-30.9024774535861,-55.5390636484312</v>
      </c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</row>
    <row r="687">
      <c r="A687" s="65" t="str">
        <f>IFERROR(__xludf.DUMMYFUNCTION("""COMPUTED_VALUE"""),"-30.9024959976073")</f>
        <v>-30.9024959976073</v>
      </c>
      <c r="B687" s="66" t="str">
        <f>IFERROR(__xludf.DUMMYFUNCTION("""COMPUTED_VALUE"""),"-55.5389974367764")</f>
        <v>-55.5389974367764</v>
      </c>
      <c r="C687" s="66">
        <f>IFERROR(__xludf.DUMMYFUNCTION("""COMPUTED_VALUE"""),1.0)</f>
        <v>1</v>
      </c>
      <c r="D687" s="66">
        <f>IFERROR(__xludf.DUMMYFUNCTION("""COMPUTED_VALUE"""),231.0)</f>
        <v>231</v>
      </c>
      <c r="E687" s="66">
        <f>IFERROR(__xludf.DUMMYFUNCTION("""COMPUTED_VALUE"""),2.0)</f>
        <v>2</v>
      </c>
      <c r="F687" s="67" t="str">
        <f>IFERROR(__xludf.DUMMYFUNCTION("""COMPUTED_VALUE"""),"https://www.google.com/maps/search/?api=1&amp;query=-30.9024959976073,-55.5389974367764")</f>
        <v>https://www.google.com/maps/search/?api=1&amp;query=-30.9024959976073,-55.5389974367764</v>
      </c>
      <c r="G687" s="68" t="str">
        <f>IFERROR(__xludf.DUMMYFUNCTION("""COMPUTED_VALUE"""),"https://earth.google.com/web/search/-30.9024959976073,-55.5389974367764")</f>
        <v>https://earth.google.com/web/search/-30.9024959976073,-55.5389974367764</v>
      </c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</row>
    <row r="688">
      <c r="A688" s="69" t="str">
        <f>IFERROR(__xludf.DUMMYFUNCTION("""COMPUTED_VALUE"""),"-30.9025377199487")</f>
        <v>-30.9025377199487</v>
      </c>
      <c r="B688" s="61" t="str">
        <f>IFERROR(__xludf.DUMMYFUNCTION("""COMPUTED_VALUE"""),"-55.5389336708346")</f>
        <v>-55.5389336708346</v>
      </c>
      <c r="C688" s="61">
        <f>IFERROR(__xludf.DUMMYFUNCTION("""COMPUTED_VALUE"""),1.0)</f>
        <v>1</v>
      </c>
      <c r="D688" s="61">
        <f>IFERROR(__xludf.DUMMYFUNCTION("""COMPUTED_VALUE"""),231.0)</f>
        <v>231</v>
      </c>
      <c r="E688" s="61">
        <f>IFERROR(__xludf.DUMMYFUNCTION("""COMPUTED_VALUE"""),3.0)</f>
        <v>3</v>
      </c>
      <c r="F688" s="62" t="str">
        <f>IFERROR(__xludf.DUMMYFUNCTION("""COMPUTED_VALUE"""),"https://www.google.com/maps/search/?api=1&amp;query=-30.9025377199487,-55.5389336708346")</f>
        <v>https://www.google.com/maps/search/?api=1&amp;query=-30.9025377199487,-55.5389336708346</v>
      </c>
      <c r="G688" s="63" t="str">
        <f>IFERROR(__xludf.DUMMYFUNCTION("""COMPUTED_VALUE"""),"https://earth.google.com/web/search/-30.9025377199487,-55.5389336708346")</f>
        <v>https://earth.google.com/web/search/-30.9025377199487,-55.5389336708346</v>
      </c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</row>
    <row r="689">
      <c r="A689" s="65" t="str">
        <f>IFERROR(__xludf.DUMMYFUNCTION("""COMPUTED_VALUE"""),"-30.9026314697198")</f>
        <v>-30.9026314697198</v>
      </c>
      <c r="B689" s="66" t="str">
        <f>IFERROR(__xludf.DUMMYFUNCTION("""COMPUTED_VALUE"""),"-5.5538752861521")</f>
        <v>-5.5538752861521</v>
      </c>
      <c r="C689" s="66">
        <f>IFERROR(__xludf.DUMMYFUNCTION("""COMPUTED_VALUE"""),1.0)</f>
        <v>1</v>
      </c>
      <c r="D689" s="66">
        <f>IFERROR(__xludf.DUMMYFUNCTION("""COMPUTED_VALUE"""),231.0)</f>
        <v>231</v>
      </c>
      <c r="E689" s="66">
        <f>IFERROR(__xludf.DUMMYFUNCTION("""COMPUTED_VALUE"""),4.0)</f>
        <v>4</v>
      </c>
      <c r="F689" s="67" t="str">
        <f>IFERROR(__xludf.DUMMYFUNCTION("""COMPUTED_VALUE"""),"https://www.google.com/maps/search/?api=1&amp;query=-30.9026314697198,-5.5538752861521")</f>
        <v>https://www.google.com/maps/search/?api=1&amp;query=-30.9026314697198,-5.5538752861521</v>
      </c>
      <c r="G689" s="68" t="str">
        <f>IFERROR(__xludf.DUMMYFUNCTION("""COMPUTED_VALUE"""),"https://earth.google.com/web/search/-30.9026314697198,-5.5538752861521")</f>
        <v>https://earth.google.com/web/search/-30.9026314697198,-5.5538752861521</v>
      </c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</row>
    <row r="690">
      <c r="A690" s="69" t="str">
        <f>IFERROR(__xludf.DUMMYFUNCTION("""COMPUTED_VALUE"""),"-30.9026884330403")</f>
        <v>-30.9026884330403</v>
      </c>
      <c r="B690" s="61" t="str">
        <f>IFERROR(__xludf.DUMMYFUNCTION("""COMPUTED_VALUE"""),"-5.5538634584179")</f>
        <v>-5.5538634584179</v>
      </c>
      <c r="C690" s="61">
        <f>IFERROR(__xludf.DUMMYFUNCTION("""COMPUTED_VALUE"""),1.0)</f>
        <v>1</v>
      </c>
      <c r="D690" s="61">
        <f>IFERROR(__xludf.DUMMYFUNCTION("""COMPUTED_VALUE"""),231.0)</f>
        <v>231</v>
      </c>
      <c r="E690" s="61">
        <f>IFERROR(__xludf.DUMMYFUNCTION("""COMPUTED_VALUE"""),5.0)</f>
        <v>5</v>
      </c>
      <c r="F690" s="62" t="str">
        <f>IFERROR(__xludf.DUMMYFUNCTION("""COMPUTED_VALUE"""),"https://www.google.com/maps/search/?api=1&amp;query=-30.9026884330403,-5.5538634584179")</f>
        <v>https://www.google.com/maps/search/?api=1&amp;query=-30.9026884330403,-5.5538634584179</v>
      </c>
      <c r="G690" s="63" t="str">
        <f>IFERROR(__xludf.DUMMYFUNCTION("""COMPUTED_VALUE"""),"https://earth.google.com/web/search/-30.9026884330403,-5.5538634584179")</f>
        <v>https://earth.google.com/web/search/-30.9026884330403,-5.5538634584179</v>
      </c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</row>
    <row r="691">
      <c r="A691" s="65" t="str">
        <f>IFERROR(__xludf.DUMMYFUNCTION("""COMPUTED_VALUE"""),"-30.9027487051983")</f>
        <v>-30.9027487051983</v>
      </c>
      <c r="B691" s="66" t="str">
        <f>IFERROR(__xludf.DUMMYFUNCTION("""COMPUTED_VALUE"""),"-55.5385211785942")</f>
        <v>-55.5385211785942</v>
      </c>
      <c r="C691" s="66">
        <f>IFERROR(__xludf.DUMMYFUNCTION("""COMPUTED_VALUE"""),1.0)</f>
        <v>1</v>
      </c>
      <c r="D691" s="66">
        <f>IFERROR(__xludf.DUMMYFUNCTION("""COMPUTED_VALUE"""),231.0)</f>
        <v>231</v>
      </c>
      <c r="E691" s="66">
        <f>IFERROR(__xludf.DUMMYFUNCTION("""COMPUTED_VALUE"""),6.0)</f>
        <v>6</v>
      </c>
      <c r="F691" s="67" t="str">
        <f>IFERROR(__xludf.DUMMYFUNCTION("""COMPUTED_VALUE"""),"https://www.google.com/maps/search/?api=1&amp;query=-30.9027487051983,-55.5385211785942")</f>
        <v>https://www.google.com/maps/search/?api=1&amp;query=-30.9027487051983,-55.5385211785942</v>
      </c>
      <c r="G691" s="68" t="str">
        <f>IFERROR(__xludf.DUMMYFUNCTION("""COMPUTED_VALUE"""),"https://earth.google.com/web/search/-30.9027487051983,-55.5385211785942")</f>
        <v>https://earth.google.com/web/search/-30.9027487051983,-55.5385211785942</v>
      </c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</row>
    <row r="692">
      <c r="A692" s="69" t="str">
        <f>IFERROR(__xludf.DUMMYFUNCTION("""COMPUTED_VALUE"""),"-30.9028199302534")</f>
        <v>-30.9028199302534</v>
      </c>
      <c r="B692" s="61" t="str">
        <f>IFERROR(__xludf.DUMMYFUNCTION("""COMPUTED_VALUE"""),"-55.5382549164136")</f>
        <v>-55.5382549164136</v>
      </c>
      <c r="C692" s="61">
        <f>IFERROR(__xludf.DUMMYFUNCTION("""COMPUTED_VALUE"""),1.0)</f>
        <v>1</v>
      </c>
      <c r="D692" s="61">
        <f>IFERROR(__xludf.DUMMYFUNCTION("""COMPUTED_VALUE"""),231.0)</f>
        <v>231</v>
      </c>
      <c r="E692" s="61">
        <f>IFERROR(__xludf.DUMMYFUNCTION("""COMPUTED_VALUE"""),7.0)</f>
        <v>7</v>
      </c>
      <c r="F692" s="62" t="str">
        <f>IFERROR(__xludf.DUMMYFUNCTION("""COMPUTED_VALUE"""),"https://www.google.com/maps/search/?api=1&amp;query=-30.9028199302534,-55.5382549164136")</f>
        <v>https://www.google.com/maps/search/?api=1&amp;query=-30.9028199302534,-55.5382549164136</v>
      </c>
      <c r="G692" s="63" t="str">
        <f>IFERROR(__xludf.DUMMYFUNCTION("""COMPUTED_VALUE"""),"https://earth.google.com/web/search/-30.9028199302534,-55.5382549164136")</f>
        <v>https://earth.google.com/web/search/-30.9028199302534,-55.5382549164136</v>
      </c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</row>
    <row r="693">
      <c r="A693" s="65" t="str">
        <f>IFERROR(__xludf.DUMMYFUNCTION("""COMPUTED_VALUE"""),"-30.9027428370726")</f>
        <v>-30.9027428370726</v>
      </c>
      <c r="B693" s="66" t="str">
        <f>IFERROR(__xludf.DUMMYFUNCTION("""COMPUTED_VALUE"""),"-55.5381972474516")</f>
        <v>-55.5381972474516</v>
      </c>
      <c r="C693" s="66">
        <f>IFERROR(__xludf.DUMMYFUNCTION("""COMPUTED_VALUE"""),1.0)</f>
        <v>1</v>
      </c>
      <c r="D693" s="66">
        <f>IFERROR(__xludf.DUMMYFUNCTION("""COMPUTED_VALUE"""),231.0)</f>
        <v>231</v>
      </c>
      <c r="E693" s="66">
        <f>IFERROR(__xludf.DUMMYFUNCTION("""COMPUTED_VALUE"""),8.0)</f>
        <v>8</v>
      </c>
      <c r="F693" s="67" t="str">
        <f>IFERROR(__xludf.DUMMYFUNCTION("""COMPUTED_VALUE"""),"https://www.google.com/maps/search/?api=1&amp;query=-30.9027428370726,-55.5381972474516")</f>
        <v>https://www.google.com/maps/search/?api=1&amp;query=-30.9027428370726,-55.5381972474516</v>
      </c>
      <c r="G693" s="68" t="str">
        <f>IFERROR(__xludf.DUMMYFUNCTION("""COMPUTED_VALUE"""),"https://earth.google.com/web/search/-30.9027428370726,-55.5381972474516")</f>
        <v>https://earth.google.com/web/search/-30.9027428370726,-55.5381972474516</v>
      </c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</row>
    <row r="694">
      <c r="A694" s="69" t="str">
        <f>IFERROR(__xludf.DUMMYFUNCTION("""COMPUTED_VALUE"""),"-30.9023311254922")</f>
        <v>-30.9023311254922</v>
      </c>
      <c r="B694" s="61" t="str">
        <f>IFERROR(__xludf.DUMMYFUNCTION("""COMPUTED_VALUE"""),"-5.5537901443501")</f>
        <v>-5.5537901443501</v>
      </c>
      <c r="C694" s="61">
        <f>IFERROR(__xludf.DUMMYFUNCTION("""COMPUTED_VALUE"""),1.0)</f>
        <v>1</v>
      </c>
      <c r="D694" s="61">
        <f>IFERROR(__xludf.DUMMYFUNCTION("""COMPUTED_VALUE"""),231.0)</f>
        <v>231</v>
      </c>
      <c r="E694" s="61">
        <f>IFERROR(__xludf.DUMMYFUNCTION("""COMPUTED_VALUE"""),9.0)</f>
        <v>9</v>
      </c>
      <c r="F694" s="62" t="str">
        <f>IFERROR(__xludf.DUMMYFUNCTION("""COMPUTED_VALUE"""),"https://www.google.com/maps/search/?api=1&amp;query=-30.9023311254922,-5.5537901443501")</f>
        <v>https://www.google.com/maps/search/?api=1&amp;query=-30.9023311254922,-5.5537901443501</v>
      </c>
      <c r="G694" s="63" t="str">
        <f>IFERROR(__xludf.DUMMYFUNCTION("""COMPUTED_VALUE"""),"https://earth.google.com/web/search/-30.9023311254922,-5.5537901443501")</f>
        <v>https://earth.google.com/web/search/-30.9023311254922,-5.5537901443501</v>
      </c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</row>
    <row r="695">
      <c r="A695" s="65" t="str">
        <f>IFERROR(__xludf.DUMMYFUNCTION("""COMPUTED_VALUE"""),"-30.9021306394606")</f>
        <v>-30.9021306394606</v>
      </c>
      <c r="B695" s="66" t="str">
        <f>IFERROR(__xludf.DUMMYFUNCTION("""COMPUTED_VALUE"""),"-55.5378746720144")</f>
        <v>-55.5378746720144</v>
      </c>
      <c r="C695" s="66">
        <f>IFERROR(__xludf.DUMMYFUNCTION("""COMPUTED_VALUE"""),1.0)</f>
        <v>1</v>
      </c>
      <c r="D695" s="66">
        <f>IFERROR(__xludf.DUMMYFUNCTION("""COMPUTED_VALUE"""),231.0)</f>
        <v>231</v>
      </c>
      <c r="E695" s="66">
        <f>IFERROR(__xludf.DUMMYFUNCTION("""COMPUTED_VALUE"""),10.0)</f>
        <v>10</v>
      </c>
      <c r="F695" s="67" t="str">
        <f>IFERROR(__xludf.DUMMYFUNCTION("""COMPUTED_VALUE"""),"https://www.google.com/maps/search/?api=1&amp;query=-30.9021306394606,-55.5378746720144")</f>
        <v>https://www.google.com/maps/search/?api=1&amp;query=-30.9021306394606,-55.5378746720144</v>
      </c>
      <c r="G695" s="68" t="str">
        <f>IFERROR(__xludf.DUMMYFUNCTION("""COMPUTED_VALUE"""),"https://earth.google.com/web/search/-30.9021306394606,-55.5378746720144")</f>
        <v>https://earth.google.com/web/search/-30.9021306394606,-55.5378746720144</v>
      </c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</row>
    <row r="696">
      <c r="A696" s="69" t="str">
        <f>IFERROR(__xludf.DUMMYFUNCTION("""COMPUTED_VALUE"""),"-30.9020836965456")</f>
        <v>-30.9020836965456</v>
      </c>
      <c r="B696" s="61" t="str">
        <f>IFERROR(__xludf.DUMMYFUNCTION("""COMPUTED_VALUE"""),"-55.5379448176492")</f>
        <v>-55.5379448176492</v>
      </c>
      <c r="C696" s="61">
        <f>IFERROR(__xludf.DUMMYFUNCTION("""COMPUTED_VALUE"""),1.0)</f>
        <v>1</v>
      </c>
      <c r="D696" s="61">
        <f>IFERROR(__xludf.DUMMYFUNCTION("""COMPUTED_VALUE"""),231.0)</f>
        <v>231</v>
      </c>
      <c r="E696" s="61">
        <f>IFERROR(__xludf.DUMMYFUNCTION("""COMPUTED_VALUE"""),11.0)</f>
        <v>11</v>
      </c>
      <c r="F696" s="62" t="str">
        <f>IFERROR(__xludf.DUMMYFUNCTION("""COMPUTED_VALUE"""),"https://www.google.com/maps/search/?api=1&amp;query=-30.9020836965456,-55.5379448176492")</f>
        <v>https://www.google.com/maps/search/?api=1&amp;query=-30.9020836965456,-55.5379448176492</v>
      </c>
      <c r="G696" s="63" t="str">
        <f>IFERROR(__xludf.DUMMYFUNCTION("""COMPUTED_VALUE"""),"https://earth.google.com/web/search/-30.9020836965456,-55.5379448176492")</f>
        <v>https://earth.google.com/web/search/-30.9020836965456,-55.5379448176492</v>
      </c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</row>
    <row r="697">
      <c r="A697" s="65" t="str">
        <f>IFERROR(__xludf.DUMMYFUNCTION("""COMPUTED_VALUE"""),"-30.9019749537226")</f>
        <v>-30.9019749537226</v>
      </c>
      <c r="B697" s="66" t="str">
        <f>IFERROR(__xludf.DUMMYFUNCTION("""COMPUTED_VALUE"""),"-55.5381616320245")</f>
        <v>-55.5381616320245</v>
      </c>
      <c r="C697" s="66">
        <f>IFERROR(__xludf.DUMMYFUNCTION("""COMPUTED_VALUE"""),1.0)</f>
        <v>1</v>
      </c>
      <c r="D697" s="66">
        <f>IFERROR(__xludf.DUMMYFUNCTION("""COMPUTED_VALUE"""),231.0)</f>
        <v>231</v>
      </c>
      <c r="E697" s="66">
        <f>IFERROR(__xludf.DUMMYFUNCTION("""COMPUTED_VALUE"""),12.0)</f>
        <v>12</v>
      </c>
      <c r="F697" s="67" t="str">
        <f>IFERROR(__xludf.DUMMYFUNCTION("""COMPUTED_VALUE"""),"https://www.google.com/maps/search/?api=1&amp;query=-30.9019749537226,-55.5381616320245")</f>
        <v>https://www.google.com/maps/search/?api=1&amp;query=-30.9019749537226,-55.5381616320245</v>
      </c>
      <c r="G697" s="68" t="str">
        <f>IFERROR(__xludf.DUMMYFUNCTION("""COMPUTED_VALUE"""),"https://earth.google.com/web/search/-30.9019749537226,-55.5381616320245")</f>
        <v>https://earth.google.com/web/search/-30.9019749537226,-55.5381616320245</v>
      </c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</row>
    <row r="698">
      <c r="A698" s="69" t="str">
        <f>IFERROR(__xludf.DUMMYFUNCTION("""COMPUTED_VALUE"""),"-30.9019309750523")</f>
        <v>-30.9019309750523</v>
      </c>
      <c r="B698" s="61" t="str">
        <f>IFERROR(__xludf.DUMMYFUNCTION("""COMPUTED_VALUE"""),"-55.5382182612969")</f>
        <v>-55.5382182612969</v>
      </c>
      <c r="C698" s="61">
        <f>IFERROR(__xludf.DUMMYFUNCTION("""COMPUTED_VALUE"""),1.0)</f>
        <v>1</v>
      </c>
      <c r="D698" s="61">
        <f>IFERROR(__xludf.DUMMYFUNCTION("""COMPUTED_VALUE"""),231.0)</f>
        <v>231</v>
      </c>
      <c r="E698" s="61">
        <f>IFERROR(__xludf.DUMMYFUNCTION("""COMPUTED_VALUE"""),13.0)</f>
        <v>13</v>
      </c>
      <c r="F698" s="62" t="str">
        <f>IFERROR(__xludf.DUMMYFUNCTION("""COMPUTED_VALUE"""),"https://www.google.com/maps/search/?api=1&amp;query=-30.9019309750523,-55.5382182612969")</f>
        <v>https://www.google.com/maps/search/?api=1&amp;query=-30.9019309750523,-55.5382182612969</v>
      </c>
      <c r="G698" s="63" t="str">
        <f>IFERROR(__xludf.DUMMYFUNCTION("""COMPUTED_VALUE"""),"https://earth.google.com/web/search/-30.9019309750523,-55.5382182612969")</f>
        <v>https://earth.google.com/web/search/-30.9019309750523,-55.5382182612969</v>
      </c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</row>
    <row r="699">
      <c r="A699" s="65" t="str">
        <f>IFERROR(__xludf.DUMMYFUNCTION("""COMPUTED_VALUE"""),"-30.9018675940777")</f>
        <v>-30.9018675940777</v>
      </c>
      <c r="B699" s="66" t="str">
        <f>IFERROR(__xludf.DUMMYFUNCTION("""COMPUTED_VALUE"""),"-55.5383415077857")</f>
        <v>-55.5383415077857</v>
      </c>
      <c r="C699" s="66">
        <f>IFERROR(__xludf.DUMMYFUNCTION("""COMPUTED_VALUE"""),1.0)</f>
        <v>1</v>
      </c>
      <c r="D699" s="66">
        <f>IFERROR(__xludf.DUMMYFUNCTION("""COMPUTED_VALUE"""),231.0)</f>
        <v>231</v>
      </c>
      <c r="E699" s="66">
        <f>IFERROR(__xludf.DUMMYFUNCTION("""COMPUTED_VALUE"""),14.0)</f>
        <v>14</v>
      </c>
      <c r="F699" s="67" t="str">
        <f>IFERROR(__xludf.DUMMYFUNCTION("""COMPUTED_VALUE"""),"https://www.google.com/maps/search/?api=1&amp;query=-30.9018675940777,-55.5383415077857")</f>
        <v>https://www.google.com/maps/search/?api=1&amp;query=-30.9018675940777,-55.5383415077857</v>
      </c>
      <c r="G699" s="68" t="str">
        <f>IFERROR(__xludf.DUMMYFUNCTION("""COMPUTED_VALUE"""),"https://earth.google.com/web/search/-30.9018675940777,-55.5383415077857")</f>
        <v>https://earth.google.com/web/search/-30.9018675940777,-55.5383415077857</v>
      </c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</row>
    <row r="700">
      <c r="A700" s="69" t="str">
        <f>IFERROR(__xludf.DUMMYFUNCTION("""COMPUTED_VALUE"""),"-30.9018262101946")</f>
        <v>-30.9018262101946</v>
      </c>
      <c r="B700" s="61" t="str">
        <f>IFERROR(__xludf.DUMMYFUNCTION("""COMPUTED_VALUE"""),"-55.5384208561766")</f>
        <v>-55.5384208561766</v>
      </c>
      <c r="C700" s="61">
        <f>IFERROR(__xludf.DUMMYFUNCTION("""COMPUTED_VALUE"""),1.0)</f>
        <v>1</v>
      </c>
      <c r="D700" s="61">
        <f>IFERROR(__xludf.DUMMYFUNCTION("""COMPUTED_VALUE"""),231.0)</f>
        <v>231</v>
      </c>
      <c r="E700" s="61">
        <f>IFERROR(__xludf.DUMMYFUNCTION("""COMPUTED_VALUE"""),15.0)</f>
        <v>15</v>
      </c>
      <c r="F700" s="62" t="str">
        <f>IFERROR(__xludf.DUMMYFUNCTION("""COMPUTED_VALUE"""),"https://www.google.com/maps/search/?api=1&amp;query=-30.9018262101946,-55.5384208561766")</f>
        <v>https://www.google.com/maps/search/?api=1&amp;query=-30.9018262101946,-55.5384208561766</v>
      </c>
      <c r="G700" s="63" t="str">
        <f>IFERROR(__xludf.DUMMYFUNCTION("""COMPUTED_VALUE"""),"https://earth.google.com/web/search/-30.9018262101946,-55.5384208561766")</f>
        <v>https://earth.google.com/web/search/-30.9018262101946,-55.5384208561766</v>
      </c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</row>
    <row r="701">
      <c r="A701" s="65" t="str">
        <f>IFERROR(__xludf.DUMMYFUNCTION("""COMPUTED_VALUE"""),"-30.9017409294975")</f>
        <v>-30.9017409294975</v>
      </c>
      <c r="B701" s="66" t="str">
        <f>IFERROR(__xludf.DUMMYFUNCTION("""COMPUTED_VALUE"""),"-55.5385332131168")</f>
        <v>-55.5385332131168</v>
      </c>
      <c r="C701" s="66">
        <f>IFERROR(__xludf.DUMMYFUNCTION("""COMPUTED_VALUE"""),1.0)</f>
        <v>1</v>
      </c>
      <c r="D701" s="66">
        <f>IFERROR(__xludf.DUMMYFUNCTION("""COMPUTED_VALUE"""),231.0)</f>
        <v>231</v>
      </c>
      <c r="E701" s="66">
        <f>IFERROR(__xludf.DUMMYFUNCTION("""COMPUTED_VALUE"""),16.0)</f>
        <v>16</v>
      </c>
      <c r="F701" s="67" t="str">
        <f>IFERROR(__xludf.DUMMYFUNCTION("""COMPUTED_VALUE"""),"https://www.google.com/maps/search/?api=1&amp;query=-30.9017409294975,-55.5385332131168")</f>
        <v>https://www.google.com/maps/search/?api=1&amp;query=-30.9017409294975,-55.5385332131168</v>
      </c>
      <c r="G701" s="68" t="str">
        <f>IFERROR(__xludf.DUMMYFUNCTION("""COMPUTED_VALUE"""),"https://earth.google.com/web/search/-30.9017409294975,-55.5385332131168")</f>
        <v>https://earth.google.com/web/search/-30.9017409294975,-55.5385332131168</v>
      </c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</row>
    <row r="702">
      <c r="A702" s="69" t="str">
        <f>IFERROR(__xludf.DUMMYFUNCTION("""COMPUTED_VALUE"""),"-30.9018871161218")</f>
        <v>-30.9018871161218</v>
      </c>
      <c r="B702" s="61" t="str">
        <f>IFERROR(__xludf.DUMMYFUNCTION("""COMPUTED_VALUE"""),"-55.5387158918604")</f>
        <v>-55.5387158918604</v>
      </c>
      <c r="C702" s="61">
        <f>IFERROR(__xludf.DUMMYFUNCTION("""COMPUTED_VALUE"""),1.0)</f>
        <v>1</v>
      </c>
      <c r="D702" s="61">
        <f>IFERROR(__xludf.DUMMYFUNCTION("""COMPUTED_VALUE"""),231.0)</f>
        <v>231</v>
      </c>
      <c r="E702" s="61">
        <f>IFERROR(__xludf.DUMMYFUNCTION("""COMPUTED_VALUE"""),17.0)</f>
        <v>17</v>
      </c>
      <c r="F702" s="62" t="str">
        <f>IFERROR(__xludf.DUMMYFUNCTION("""COMPUTED_VALUE"""),"https://www.google.com/maps/search/?api=1&amp;query=-30.9018871161218,-55.5387158918604")</f>
        <v>https://www.google.com/maps/search/?api=1&amp;query=-30.9018871161218,-55.5387158918604</v>
      </c>
      <c r="G702" s="63" t="str">
        <f>IFERROR(__xludf.DUMMYFUNCTION("""COMPUTED_VALUE"""),"https://earth.google.com/web/search/-30.9018871161218,-55.5387158918604")</f>
        <v>https://earth.google.com/web/search/-30.9018871161218,-55.5387158918604</v>
      </c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</row>
    <row r="703">
      <c r="A703" s="65" t="str">
        <f>IFERROR(__xludf.DUMMYFUNCTION("""COMPUTED_VALUE"""),"-30.9020145709715")</f>
        <v>-30.9020145709715</v>
      </c>
      <c r="B703" s="66" t="str">
        <f>IFERROR(__xludf.DUMMYFUNCTION("""COMPUTED_VALUE"""),"-55.5388043783239")</f>
        <v>-55.5388043783239</v>
      </c>
      <c r="C703" s="66">
        <f>IFERROR(__xludf.DUMMYFUNCTION("""COMPUTED_VALUE"""),1.0)</f>
        <v>1</v>
      </c>
      <c r="D703" s="66">
        <f>IFERROR(__xludf.DUMMYFUNCTION("""COMPUTED_VALUE"""),231.0)</f>
        <v>231</v>
      </c>
      <c r="E703" s="66">
        <f>IFERROR(__xludf.DUMMYFUNCTION("""COMPUTED_VALUE"""),18.0)</f>
        <v>18</v>
      </c>
      <c r="F703" s="67" t="str">
        <f>IFERROR(__xludf.DUMMYFUNCTION("""COMPUTED_VALUE"""),"https://www.google.com/maps/search/?api=1&amp;query=-30.9020145709715,-55.5388043783239")</f>
        <v>https://www.google.com/maps/search/?api=1&amp;query=-30.9020145709715,-55.5388043783239</v>
      </c>
      <c r="G703" s="68" t="str">
        <f>IFERROR(__xludf.DUMMYFUNCTION("""COMPUTED_VALUE"""),"https://earth.google.com/web/search/-30.9020145709715,-55.5388043783239")</f>
        <v>https://earth.google.com/web/search/-30.9020145709715,-55.5388043783239</v>
      </c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64"/>
    </row>
    <row r="704">
      <c r="A704" s="69" t="str">
        <f>IFERROR(__xludf.DUMMYFUNCTION("""COMPUTED_VALUE"""),"-30.9020686022361")</f>
        <v>-30.9020686022361</v>
      </c>
      <c r="B704" s="61" t="str">
        <f>IFERROR(__xludf.DUMMYFUNCTION("""COMPUTED_VALUE"""),"-55.5388505259191")</f>
        <v>-55.5388505259191</v>
      </c>
      <c r="C704" s="61">
        <f>IFERROR(__xludf.DUMMYFUNCTION("""COMPUTED_VALUE"""),1.0)</f>
        <v>1</v>
      </c>
      <c r="D704" s="61">
        <f>IFERROR(__xludf.DUMMYFUNCTION("""COMPUTED_VALUE"""),231.0)</f>
        <v>231</v>
      </c>
      <c r="E704" s="61">
        <f>IFERROR(__xludf.DUMMYFUNCTION("""COMPUTED_VALUE"""),19.0)</f>
        <v>19</v>
      </c>
      <c r="F704" s="62" t="str">
        <f>IFERROR(__xludf.DUMMYFUNCTION("""COMPUTED_VALUE"""),"https://www.google.com/maps/search/?api=1&amp;query=-30.9020686022361,-55.5388505259191")</f>
        <v>https://www.google.com/maps/search/?api=1&amp;query=-30.9020686022361,-55.5388505259191</v>
      </c>
      <c r="G704" s="63" t="str">
        <f>IFERROR(__xludf.DUMMYFUNCTION("""COMPUTED_VALUE"""),"https://earth.google.com/web/search/-30.9020686022361,-55.5388505259191")</f>
        <v>https://earth.google.com/web/search/-30.9020686022361,-55.5388505259191</v>
      </c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</row>
    <row r="705">
      <c r="A705" s="65" t="str">
        <f>IFERROR(__xludf.DUMMYFUNCTION("""COMPUTED_VALUE"""),"-30.9022840998387")</f>
        <v>-30.9022840998387</v>
      </c>
      <c r="B705" s="66" t="str">
        <f>IFERROR(__xludf.DUMMYFUNCTION("""COMPUTED_VALUE"""),"-55.5389911653987")</f>
        <v>-55.5389911653987</v>
      </c>
      <c r="C705" s="66">
        <f>IFERROR(__xludf.DUMMYFUNCTION("""COMPUTED_VALUE"""),1.0)</f>
        <v>1</v>
      </c>
      <c r="D705" s="66">
        <f>IFERROR(__xludf.DUMMYFUNCTION("""COMPUTED_VALUE"""),231.0)</f>
        <v>231</v>
      </c>
      <c r="E705" s="66">
        <f>IFERROR(__xludf.DUMMYFUNCTION("""COMPUTED_VALUE"""),20.0)</f>
        <v>20</v>
      </c>
      <c r="F705" s="67" t="str">
        <f>IFERROR(__xludf.DUMMYFUNCTION("""COMPUTED_VALUE"""),"https://www.google.com/maps/search/?api=1&amp;query=-30.9022840998387,-55.5389911653987")</f>
        <v>https://www.google.com/maps/search/?api=1&amp;query=-30.9022840998387,-55.5389911653987</v>
      </c>
      <c r="G705" s="68" t="str">
        <f>IFERROR(__xludf.DUMMYFUNCTION("""COMPUTED_VALUE"""),"https://earth.google.com/web/search/-30.9022840998387,-55.5389911653987")</f>
        <v>https://earth.google.com/web/search/-30.9022840998387,-55.5389911653987</v>
      </c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</row>
    <row r="706">
      <c r="A706" s="69" t="str">
        <f>IFERROR(__xludf.DUMMYFUNCTION("""COMPUTED_VALUE"""),"-30.9023392217684")</f>
        <v>-30.9023392217684</v>
      </c>
      <c r="B706" s="61" t="str">
        <f>IFERROR(__xludf.DUMMYFUNCTION("""COMPUTED_VALUE"""),"-5.5539029170312")</f>
        <v>-5.5539029170312</v>
      </c>
      <c r="C706" s="61">
        <f>IFERROR(__xludf.DUMMYFUNCTION("""COMPUTED_VALUE"""),1.0)</f>
        <v>1</v>
      </c>
      <c r="D706" s="61">
        <f>IFERROR(__xludf.DUMMYFUNCTION("""COMPUTED_VALUE"""),231.0)</f>
        <v>231</v>
      </c>
      <c r="E706" s="61">
        <f>IFERROR(__xludf.DUMMYFUNCTION("""COMPUTED_VALUE"""),21.0)</f>
        <v>21</v>
      </c>
      <c r="F706" s="62" t="str">
        <f>IFERROR(__xludf.DUMMYFUNCTION("""COMPUTED_VALUE"""),"https://www.google.com/maps/search/?api=1&amp;query=-30.9023392217684,-5.5539029170312")</f>
        <v>https://www.google.com/maps/search/?api=1&amp;query=-30.9023392217684,-5.5539029170312</v>
      </c>
      <c r="G706" s="63" t="str">
        <f>IFERROR(__xludf.DUMMYFUNCTION("""COMPUTED_VALUE"""),"https://earth.google.com/web/search/-30.9023392217684,-5.5539029170312")</f>
        <v>https://earth.google.com/web/search/-30.9023392217684,-5.5539029170312</v>
      </c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64"/>
    </row>
    <row r="707">
      <c r="A707" s="65" t="str">
        <f>IFERROR(__xludf.DUMMYFUNCTION("""COMPUTED_VALUE"""),"-30.9023927489249")</f>
        <v>-30.9023927489249</v>
      </c>
      <c r="B707" s="66" t="str">
        <f>IFERROR(__xludf.DUMMYFUNCTION("""COMPUTED_VALUE"""),"-55.5390659847576")</f>
        <v>-55.5390659847576</v>
      </c>
      <c r="C707" s="66">
        <f>IFERROR(__xludf.DUMMYFUNCTION("""COMPUTED_VALUE"""),1.0)</f>
        <v>1</v>
      </c>
      <c r="D707" s="66">
        <f>IFERROR(__xludf.DUMMYFUNCTION("""COMPUTED_VALUE"""),231.0)</f>
        <v>231</v>
      </c>
      <c r="E707" s="66">
        <f>IFERROR(__xludf.DUMMYFUNCTION("""COMPUTED_VALUE"""),22.0)</f>
        <v>22</v>
      </c>
      <c r="F707" s="67" t="str">
        <f>IFERROR(__xludf.DUMMYFUNCTION("""COMPUTED_VALUE"""),"https://www.google.com/maps/search/?api=1&amp;query=-30.9023927489249,-55.5390659847576")</f>
        <v>https://www.google.com/maps/search/?api=1&amp;query=-30.9023927489249,-55.5390659847576</v>
      </c>
      <c r="G707" s="68" t="str">
        <f>IFERROR(__xludf.DUMMYFUNCTION("""COMPUTED_VALUE"""),"https://earth.google.com/web/search/-30.9023927489249,-55.5390659847576")</f>
        <v>https://earth.google.com/web/search/-30.9023927489249,-55.5390659847576</v>
      </c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</row>
    <row r="708">
      <c r="A708" s="69" t="str">
        <f>IFERROR(__xludf.DUMMYFUNCTION("""COMPUTED_VALUE"""),"-30.9020138397592")</f>
        <v>-30.9020138397592</v>
      </c>
      <c r="B708" s="61" t="str">
        <f>IFERROR(__xludf.DUMMYFUNCTION("""COMPUTED_VALUE"""),"-55.5399065892918")</f>
        <v>-55.5399065892918</v>
      </c>
      <c r="C708" s="61">
        <f>IFERROR(__xludf.DUMMYFUNCTION("""COMPUTED_VALUE"""),1.0)</f>
        <v>1</v>
      </c>
      <c r="D708" s="61">
        <f>IFERROR(__xludf.DUMMYFUNCTION("""COMPUTED_VALUE"""),230.0)</f>
        <v>230</v>
      </c>
      <c r="E708" s="61">
        <f>IFERROR(__xludf.DUMMYFUNCTION("""COMPUTED_VALUE"""),1.0)</f>
        <v>1</v>
      </c>
      <c r="F708" s="62" t="str">
        <f>IFERROR(__xludf.DUMMYFUNCTION("""COMPUTED_VALUE"""),"https://www.google.com/maps/search/?api=1&amp;query=-30.9020138397592,-55.5399065892918")</f>
        <v>https://www.google.com/maps/search/?api=1&amp;query=-30.9020138397592,-55.5399065892918</v>
      </c>
      <c r="G708" s="63" t="str">
        <f>IFERROR(__xludf.DUMMYFUNCTION("""COMPUTED_VALUE"""),"https://earth.google.com/web/search/-30.9020138397592,-55.5399065892918")</f>
        <v>https://earth.google.com/web/search/-30.9020138397592,-55.5399065892918</v>
      </c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</row>
    <row r="709">
      <c r="A709" s="65" t="str">
        <f>IFERROR(__xludf.DUMMYFUNCTION("""COMPUTED_VALUE"""),"-30.9020776793623")</f>
        <v>-30.9020776793623</v>
      </c>
      <c r="B709" s="66" t="str">
        <f>IFERROR(__xludf.DUMMYFUNCTION("""COMPUTED_VALUE"""),"-55.5397964802692")</f>
        <v>-55.5397964802692</v>
      </c>
      <c r="C709" s="66">
        <f>IFERROR(__xludf.DUMMYFUNCTION("""COMPUTED_VALUE"""),1.0)</f>
        <v>1</v>
      </c>
      <c r="D709" s="66">
        <f>IFERROR(__xludf.DUMMYFUNCTION("""COMPUTED_VALUE"""),230.0)</f>
        <v>230</v>
      </c>
      <c r="E709" s="66">
        <f>IFERROR(__xludf.DUMMYFUNCTION("""COMPUTED_VALUE"""),2.0)</f>
        <v>2</v>
      </c>
      <c r="F709" s="67" t="str">
        <f>IFERROR(__xludf.DUMMYFUNCTION("""COMPUTED_VALUE"""),"https://www.google.com/maps/search/?api=1&amp;query=-30.9020776793623,-55.5397964802692")</f>
        <v>https://www.google.com/maps/search/?api=1&amp;query=-30.9020776793623,-55.5397964802692</v>
      </c>
      <c r="G709" s="68" t="str">
        <f>IFERROR(__xludf.DUMMYFUNCTION("""COMPUTED_VALUE"""),"https://earth.google.com/web/search/-30.9020776793623,-55.5397964802692")</f>
        <v>https://earth.google.com/web/search/-30.9020776793623,-55.5397964802692</v>
      </c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</row>
    <row r="710">
      <c r="A710" s="69" t="str">
        <f>IFERROR(__xludf.DUMMYFUNCTION("""COMPUTED_VALUE"""),"-30.9021996795404")</f>
        <v>-30.9021996795404</v>
      </c>
      <c r="B710" s="61" t="str">
        <f>IFERROR(__xludf.DUMMYFUNCTION("""COMPUTED_VALUE"""),"-5.5539559598932")</f>
        <v>-5.5539559598932</v>
      </c>
      <c r="C710" s="61">
        <f>IFERROR(__xludf.DUMMYFUNCTION("""COMPUTED_VALUE"""),1.0)</f>
        <v>1</v>
      </c>
      <c r="D710" s="61">
        <f>IFERROR(__xludf.DUMMYFUNCTION("""COMPUTED_VALUE"""),230.0)</f>
        <v>230</v>
      </c>
      <c r="E710" s="61">
        <f>IFERROR(__xludf.DUMMYFUNCTION("""COMPUTED_VALUE"""),3.0)</f>
        <v>3</v>
      </c>
      <c r="F710" s="62" t="str">
        <f>IFERROR(__xludf.DUMMYFUNCTION("""COMPUTED_VALUE"""),"https://www.google.com/maps/search/?api=1&amp;query=-30.9021996795404,-5.5539559598932")</f>
        <v>https://www.google.com/maps/search/?api=1&amp;query=-30.9021996795404,-5.5539559598932</v>
      </c>
      <c r="G710" s="63" t="str">
        <f>IFERROR(__xludf.DUMMYFUNCTION("""COMPUTED_VALUE"""),"https://earth.google.com/web/search/-30.9021996795404,-5.5539559598932")</f>
        <v>https://earth.google.com/web/search/-30.9021996795404,-5.5539559598932</v>
      </c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</row>
    <row r="711">
      <c r="A711" s="65" t="str">
        <f>IFERROR(__xludf.DUMMYFUNCTION("""COMPUTED_VALUE"""),"-30.9022787356864")</f>
        <v>-30.9022787356864</v>
      </c>
      <c r="B711" s="66" t="str">
        <f>IFERROR(__xludf.DUMMYFUNCTION("""COMPUTED_VALUE"""),"-55.5393778717501")</f>
        <v>-55.5393778717501</v>
      </c>
      <c r="C711" s="66">
        <f>IFERROR(__xludf.DUMMYFUNCTION("""COMPUTED_VALUE"""),1.0)</f>
        <v>1</v>
      </c>
      <c r="D711" s="66">
        <f>IFERROR(__xludf.DUMMYFUNCTION("""COMPUTED_VALUE"""),230.0)</f>
        <v>230</v>
      </c>
      <c r="E711" s="66">
        <f>IFERROR(__xludf.DUMMYFUNCTION("""COMPUTED_VALUE"""),4.0)</f>
        <v>4</v>
      </c>
      <c r="F711" s="67" t="str">
        <f>IFERROR(__xludf.DUMMYFUNCTION("""COMPUTED_VALUE"""),"https://www.google.com/maps/search/?api=1&amp;query=-30.9022787356864,-55.5393778717501")</f>
        <v>https://www.google.com/maps/search/?api=1&amp;query=-30.9022787356864,-55.5393778717501</v>
      </c>
      <c r="G711" s="68" t="str">
        <f>IFERROR(__xludf.DUMMYFUNCTION("""COMPUTED_VALUE"""),"https://earth.google.com/web/search/-30.9022787356864,-55.5393778717501")</f>
        <v>https://earth.google.com/web/search/-30.9022787356864,-55.5393778717501</v>
      </c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64"/>
    </row>
    <row r="712">
      <c r="A712" s="69" t="str">
        <f>IFERROR(__xludf.DUMMYFUNCTION("""COMPUTED_VALUE"""),"-30.9023403640079")</f>
        <v>-30.9023403640079</v>
      </c>
      <c r="B712" s="61" t="str">
        <f>IFERROR(__xludf.DUMMYFUNCTION("""COMPUTED_VALUE"""),"-55.5392846695893")</f>
        <v>-55.5392846695893</v>
      </c>
      <c r="C712" s="61">
        <f>IFERROR(__xludf.DUMMYFUNCTION("""COMPUTED_VALUE"""),1.0)</f>
        <v>1</v>
      </c>
      <c r="D712" s="61">
        <f>IFERROR(__xludf.DUMMYFUNCTION("""COMPUTED_VALUE"""),230.0)</f>
        <v>230</v>
      </c>
      <c r="E712" s="61">
        <f>IFERROR(__xludf.DUMMYFUNCTION("""COMPUTED_VALUE"""),5.0)</f>
        <v>5</v>
      </c>
      <c r="F712" s="62" t="str">
        <f>IFERROR(__xludf.DUMMYFUNCTION("""COMPUTED_VALUE"""),"https://www.google.com/maps/search/?api=1&amp;query=-30.9023403640079,-55.5392846695893")</f>
        <v>https://www.google.com/maps/search/?api=1&amp;query=-30.9023403640079,-55.5392846695893</v>
      </c>
      <c r="G712" s="63" t="str">
        <f>IFERROR(__xludf.DUMMYFUNCTION("""COMPUTED_VALUE"""),"https://earth.google.com/web/search/-30.9023403640079,-55.5392846695893")</f>
        <v>https://earth.google.com/web/search/-30.9023403640079,-55.5392846695893</v>
      </c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</row>
    <row r="713">
      <c r="A713" s="65" t="str">
        <f>IFERROR(__xludf.DUMMYFUNCTION("""COMPUTED_VALUE"""),"-30.9023492193064")</f>
        <v>-30.9023492193064</v>
      </c>
      <c r="B713" s="66" t="str">
        <f>IFERROR(__xludf.DUMMYFUNCTION("""COMPUTED_VALUE"""),"-55.5391606720855")</f>
        <v>-55.5391606720855</v>
      </c>
      <c r="C713" s="66">
        <f>IFERROR(__xludf.DUMMYFUNCTION("""COMPUTED_VALUE"""),1.0)</f>
        <v>1</v>
      </c>
      <c r="D713" s="66">
        <f>IFERROR(__xludf.DUMMYFUNCTION("""COMPUTED_VALUE"""),230.0)</f>
        <v>230</v>
      </c>
      <c r="E713" s="66">
        <f>IFERROR(__xludf.DUMMYFUNCTION("""COMPUTED_VALUE"""),5.0)</f>
        <v>5</v>
      </c>
      <c r="F713" s="67" t="str">
        <f>IFERROR(__xludf.DUMMYFUNCTION("""COMPUTED_VALUE"""),"https://www.google.com/maps/search/?api=1&amp;query=-30.9023492193064,-55.5391606720855")</f>
        <v>https://www.google.com/maps/search/?api=1&amp;query=-30.9023492193064,-55.5391606720855</v>
      </c>
      <c r="G713" s="68" t="str">
        <f>IFERROR(__xludf.DUMMYFUNCTION("""COMPUTED_VALUE"""),"https://earth.google.com/web/search/-30.9023492193064,-55.5391606720855")</f>
        <v>https://earth.google.com/web/search/-30.9023492193064,-55.5391606720855</v>
      </c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</row>
    <row r="714">
      <c r="A714" s="69" t="str">
        <f>IFERROR(__xludf.DUMMYFUNCTION("""COMPUTED_VALUE"""),"-30.9023059917539")</f>
        <v>-30.9023059917539</v>
      </c>
      <c r="B714" s="61" t="str">
        <f>IFERROR(__xludf.DUMMYFUNCTION("""COMPUTED_VALUE"""),"-0.5553911770987")</f>
        <v>-0.5553911770987</v>
      </c>
      <c r="C714" s="61">
        <f>IFERROR(__xludf.DUMMYFUNCTION("""COMPUTED_VALUE"""),1.0)</f>
        <v>1</v>
      </c>
      <c r="D714" s="61">
        <f>IFERROR(__xludf.DUMMYFUNCTION("""COMPUTED_VALUE"""),230.0)</f>
        <v>230</v>
      </c>
      <c r="E714" s="61">
        <f>IFERROR(__xludf.DUMMYFUNCTION("""COMPUTED_VALUE"""),6.0)</f>
        <v>6</v>
      </c>
      <c r="F714" s="62" t="str">
        <f>IFERROR(__xludf.DUMMYFUNCTION("""COMPUTED_VALUE"""),"https://www.google.com/maps/search/?api=1&amp;query=-30.9023059917539,-0.5553911770987")</f>
        <v>https://www.google.com/maps/search/?api=1&amp;query=-30.9023059917539,-0.5553911770987</v>
      </c>
      <c r="G714" s="63" t="str">
        <f>IFERROR(__xludf.DUMMYFUNCTION("""COMPUTED_VALUE"""),"https://earth.google.com/web/search/-30.9023059917539,-0.5553911770987")</f>
        <v>https://earth.google.com/web/search/-30.9023059917539,-0.5553911770987</v>
      </c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</row>
    <row r="715">
      <c r="A715" s="65" t="str">
        <f>IFERROR(__xludf.DUMMYFUNCTION("""COMPUTED_VALUE"""),"-3.0902262492776")</f>
        <v>-3.0902262492776</v>
      </c>
      <c r="B715" s="66" t="str">
        <f>IFERROR(__xludf.DUMMYFUNCTION("""COMPUTED_VALUE"""),"-55.5390934740265")</f>
        <v>-55.5390934740265</v>
      </c>
      <c r="C715" s="66">
        <f>IFERROR(__xludf.DUMMYFUNCTION("""COMPUTED_VALUE"""),1.0)</f>
        <v>1</v>
      </c>
      <c r="D715" s="66">
        <f>IFERROR(__xludf.DUMMYFUNCTION("""COMPUTED_VALUE"""),230.0)</f>
        <v>230</v>
      </c>
      <c r="E715" s="66">
        <f>IFERROR(__xludf.DUMMYFUNCTION("""COMPUTED_VALUE"""),7.0)</f>
        <v>7</v>
      </c>
      <c r="F715" s="67" t="str">
        <f>IFERROR(__xludf.DUMMYFUNCTION("""COMPUTED_VALUE"""),"https://www.google.com/maps/search/?api=1&amp;query=-3.0902262492776,-55.5390934740265")</f>
        <v>https://www.google.com/maps/search/?api=1&amp;query=-3.0902262492776,-55.5390934740265</v>
      </c>
      <c r="G715" s="68" t="str">
        <f>IFERROR(__xludf.DUMMYFUNCTION("""COMPUTED_VALUE"""),"https://earth.google.com/web/search/-3.0902262492776,-55.5390934740265")</f>
        <v>https://earth.google.com/web/search/-3.0902262492776,-55.5390934740265</v>
      </c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</row>
    <row r="716">
      <c r="A716" s="69" t="str">
        <f>IFERROR(__xludf.DUMMYFUNCTION("""COMPUTED_VALUE"""),"-30.9022136146435")</f>
        <v>-30.9022136146435</v>
      </c>
      <c r="B716" s="61" t="str">
        <f>IFERROR(__xludf.DUMMYFUNCTION("""COMPUTED_VALUE"""),"-0.5553903700089")</f>
        <v>-0.5553903700089</v>
      </c>
      <c r="C716" s="61">
        <f>IFERROR(__xludf.DUMMYFUNCTION("""COMPUTED_VALUE"""),1.0)</f>
        <v>1</v>
      </c>
      <c r="D716" s="61">
        <f>IFERROR(__xludf.DUMMYFUNCTION("""COMPUTED_VALUE"""),230.0)</f>
        <v>230</v>
      </c>
      <c r="E716" s="61">
        <f>IFERROR(__xludf.DUMMYFUNCTION("""COMPUTED_VALUE"""),8.0)</f>
        <v>8</v>
      </c>
      <c r="F716" s="62" t="str">
        <f>IFERROR(__xludf.DUMMYFUNCTION("""COMPUTED_VALUE"""),"https://www.google.com/maps/search/?api=1&amp;query=-30.9022136146435,-0.5553903700089")</f>
        <v>https://www.google.com/maps/search/?api=1&amp;query=-30.9022136146435,-0.5553903700089</v>
      </c>
      <c r="G716" s="63" t="str">
        <f>IFERROR(__xludf.DUMMYFUNCTION("""COMPUTED_VALUE"""),"https://earth.google.com/web/search/-30.9022136146435,-0.5553903700089")</f>
        <v>https://earth.google.com/web/search/-30.9022136146435,-0.5553903700089</v>
      </c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</row>
    <row r="717">
      <c r="A717" s="65" t="str">
        <f>IFERROR(__xludf.DUMMYFUNCTION("""COMPUTED_VALUE"""),"-30.9019213075477")</f>
        <v>-30.9019213075477</v>
      </c>
      <c r="B717" s="66" t="str">
        <f>IFERROR(__xludf.DUMMYFUNCTION("""COMPUTED_VALUE"""),"-55.5388593832133")</f>
        <v>-55.5388593832133</v>
      </c>
      <c r="C717" s="66">
        <f>IFERROR(__xludf.DUMMYFUNCTION("""COMPUTED_VALUE"""),1.0)</f>
        <v>1</v>
      </c>
      <c r="D717" s="66">
        <f>IFERROR(__xludf.DUMMYFUNCTION("""COMPUTED_VALUE"""),230.0)</f>
        <v>230</v>
      </c>
      <c r="E717" s="66">
        <f>IFERROR(__xludf.DUMMYFUNCTION("""COMPUTED_VALUE"""),9.0)</f>
        <v>9</v>
      </c>
      <c r="F717" s="67" t="str">
        <f>IFERROR(__xludf.DUMMYFUNCTION("""COMPUTED_VALUE"""),"https://www.google.com/maps/search/?api=1&amp;query=-30.9019213075477,-55.5388593832133")</f>
        <v>https://www.google.com/maps/search/?api=1&amp;query=-30.9019213075477,-55.5388593832133</v>
      </c>
      <c r="G717" s="68" t="str">
        <f>IFERROR(__xludf.DUMMYFUNCTION("""COMPUTED_VALUE"""),"https://earth.google.com/web/search/-30.9019213075477,-55.5388593832133")</f>
        <v>https://earth.google.com/web/search/-30.9019213075477,-55.5388593832133</v>
      </c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</row>
    <row r="718">
      <c r="A718" s="69" t="str">
        <f>IFERROR(__xludf.DUMMYFUNCTION("""COMPUTED_VALUE"""),"-30.9016385482311")</f>
        <v>-30.9016385482311</v>
      </c>
      <c r="B718" s="61" t="str">
        <f>IFERROR(__xludf.DUMMYFUNCTION("""COMPUTED_VALUE"""),"-55.5387917240969")</f>
        <v>-55.5387917240969</v>
      </c>
      <c r="C718" s="61">
        <f>IFERROR(__xludf.DUMMYFUNCTION("""COMPUTED_VALUE"""),1.0)</f>
        <v>1</v>
      </c>
      <c r="D718" s="61">
        <f>IFERROR(__xludf.DUMMYFUNCTION("""COMPUTED_VALUE"""),230.0)</f>
        <v>230</v>
      </c>
      <c r="E718" s="61">
        <f>IFERROR(__xludf.DUMMYFUNCTION("""COMPUTED_VALUE"""),10.0)</f>
        <v>10</v>
      </c>
      <c r="F718" s="62" t="str">
        <f>IFERROR(__xludf.DUMMYFUNCTION("""COMPUTED_VALUE"""),"https://www.google.com/maps/search/?api=1&amp;query=-30.9016385482311,-55.5387917240969")</f>
        <v>https://www.google.com/maps/search/?api=1&amp;query=-30.9016385482311,-55.5387917240969</v>
      </c>
      <c r="G718" s="63" t="str">
        <f>IFERROR(__xludf.DUMMYFUNCTION("""COMPUTED_VALUE"""),"https://earth.google.com/web/search/-30.9016385482311,-55.5387917240969")</f>
        <v>https://earth.google.com/web/search/-30.9016385482311,-55.5387917240969</v>
      </c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</row>
    <row r="719">
      <c r="A719" s="65" t="str">
        <f>IFERROR(__xludf.DUMMYFUNCTION("""COMPUTED_VALUE"""),"-30.9015352373003")</f>
        <v>-30.9015352373003</v>
      </c>
      <c r="B719" s="66" t="str">
        <f>IFERROR(__xludf.DUMMYFUNCTION("""COMPUTED_VALUE"""),"-55.5390161209917")</f>
        <v>-55.5390161209917</v>
      </c>
      <c r="C719" s="66">
        <f>IFERROR(__xludf.DUMMYFUNCTION("""COMPUTED_VALUE"""),1.0)</f>
        <v>1</v>
      </c>
      <c r="D719" s="66">
        <f>IFERROR(__xludf.DUMMYFUNCTION("""COMPUTED_VALUE"""),230.0)</f>
        <v>230</v>
      </c>
      <c r="E719" s="66">
        <f>IFERROR(__xludf.DUMMYFUNCTION("""COMPUTED_VALUE"""),11.0)</f>
        <v>11</v>
      </c>
      <c r="F719" s="67" t="str">
        <f>IFERROR(__xludf.DUMMYFUNCTION("""COMPUTED_VALUE"""),"https://www.google.com/maps/search/?api=1&amp;query=-30.9015352373003,-55.5390161209917")</f>
        <v>https://www.google.com/maps/search/?api=1&amp;query=-30.9015352373003,-55.5390161209917</v>
      </c>
      <c r="G719" s="68" t="str">
        <f>IFERROR(__xludf.DUMMYFUNCTION("""COMPUTED_VALUE"""),"https://earth.google.com/web/search/-30.9015352373003,-55.5390161209917")</f>
        <v>https://earth.google.com/web/search/-30.9015352373003,-55.5390161209917</v>
      </c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</row>
    <row r="720">
      <c r="A720" s="69" t="str">
        <f>IFERROR(__xludf.DUMMYFUNCTION("""COMPUTED_VALUE"""),"-30.9013575744303")</f>
        <v>-30.9013575744303</v>
      </c>
      <c r="B720" s="61" t="str">
        <f>IFERROR(__xludf.DUMMYFUNCTION("""COMPUTED_VALUE"""),"-55.5395866235824")</f>
        <v>-55.5395866235824</v>
      </c>
      <c r="C720" s="61">
        <f>IFERROR(__xludf.DUMMYFUNCTION("""COMPUTED_VALUE"""),1.0)</f>
        <v>1</v>
      </c>
      <c r="D720" s="61">
        <f>IFERROR(__xludf.DUMMYFUNCTION("""COMPUTED_VALUE"""),230.0)</f>
        <v>230</v>
      </c>
      <c r="E720" s="61">
        <f>IFERROR(__xludf.DUMMYFUNCTION("""COMPUTED_VALUE"""),12.0)</f>
        <v>12</v>
      </c>
      <c r="F720" s="62" t="str">
        <f>IFERROR(__xludf.DUMMYFUNCTION("""COMPUTED_VALUE"""),"https://www.google.com/maps/search/?api=1&amp;query=-30.9013575744303,-55.5395866235824")</f>
        <v>https://www.google.com/maps/search/?api=1&amp;query=-30.9013575744303,-55.5395866235824</v>
      </c>
      <c r="G720" s="63" t="str">
        <f>IFERROR(__xludf.DUMMYFUNCTION("""COMPUTED_VALUE"""),"https://earth.google.com/web/search/-30.9013575744303,-55.5395866235824")</f>
        <v>https://earth.google.com/web/search/-30.9013575744303,-55.5395866235824</v>
      </c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</row>
    <row r="721">
      <c r="A721" s="65" t="str">
        <f>IFERROR(__xludf.DUMMYFUNCTION("""COMPUTED_VALUE"""),"-3.0901426605857")</f>
        <v>-3.0901426605857</v>
      </c>
      <c r="B721" s="66" t="str">
        <f>IFERROR(__xludf.DUMMYFUNCTION("""COMPUTED_VALUE"""),"-55.5396379239574")</f>
        <v>-55.5396379239574</v>
      </c>
      <c r="C721" s="66">
        <f>IFERROR(__xludf.DUMMYFUNCTION("""COMPUTED_VALUE"""),1.0)</f>
        <v>1</v>
      </c>
      <c r="D721" s="66">
        <f>IFERROR(__xludf.DUMMYFUNCTION("""COMPUTED_VALUE"""),230.0)</f>
        <v>230</v>
      </c>
      <c r="E721" s="66">
        <f>IFERROR(__xludf.DUMMYFUNCTION("""COMPUTED_VALUE"""),13.0)</f>
        <v>13</v>
      </c>
      <c r="F721" s="67" t="str">
        <f>IFERROR(__xludf.DUMMYFUNCTION("""COMPUTED_VALUE"""),"https://www.google.com/maps/search/?api=1&amp;query=-3.0901426605857,-55.5396379239574")</f>
        <v>https://www.google.com/maps/search/?api=1&amp;query=-3.0901426605857,-55.5396379239574</v>
      </c>
      <c r="G721" s="68" t="str">
        <f>IFERROR(__xludf.DUMMYFUNCTION("""COMPUTED_VALUE"""),"https://earth.google.com/web/search/-3.0901426605857,-55.5396379239574")</f>
        <v>https://earth.google.com/web/search/-3.0901426605857,-55.5396379239574</v>
      </c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</row>
    <row r="722">
      <c r="A722" s="69" t="str">
        <f>IFERROR(__xludf.DUMMYFUNCTION("""COMPUTED_VALUE"""),"-3.0901633497186")</f>
        <v>-3.0901633497186</v>
      </c>
      <c r="B722" s="61" t="str">
        <f>IFERROR(__xludf.DUMMYFUNCTION("""COMPUTED_VALUE"""),"-55.5397844930678")</f>
        <v>-55.5397844930678</v>
      </c>
      <c r="C722" s="61">
        <f>IFERROR(__xludf.DUMMYFUNCTION("""COMPUTED_VALUE"""),1.0)</f>
        <v>1</v>
      </c>
      <c r="D722" s="61">
        <f>IFERROR(__xludf.DUMMYFUNCTION("""COMPUTED_VALUE"""),230.0)</f>
        <v>230</v>
      </c>
      <c r="E722" s="61">
        <f>IFERROR(__xludf.DUMMYFUNCTION("""COMPUTED_VALUE"""),14.0)</f>
        <v>14</v>
      </c>
      <c r="F722" s="62" t="str">
        <f>IFERROR(__xludf.DUMMYFUNCTION("""COMPUTED_VALUE"""),"https://www.google.com/maps/search/?api=1&amp;query=-3.0901633497186,-55.5397844930678")</f>
        <v>https://www.google.com/maps/search/?api=1&amp;query=-3.0901633497186,-55.5397844930678</v>
      </c>
      <c r="G722" s="63" t="str">
        <f>IFERROR(__xludf.DUMMYFUNCTION("""COMPUTED_VALUE"""),"https://earth.google.com/web/search/-3.0901633497186,-55.5397844930678")</f>
        <v>https://earth.google.com/web/search/-3.0901633497186,-55.5397844930678</v>
      </c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64"/>
    </row>
    <row r="723">
      <c r="A723" s="65" t="str">
        <f>IFERROR(__xludf.DUMMYFUNCTION("""COMPUTED_VALUE"""),"-30.9018518434791")</f>
        <v>-30.9018518434791</v>
      </c>
      <c r="B723" s="66" t="str">
        <f>IFERROR(__xludf.DUMMYFUNCTION("""COMPUTED_VALUE"""),"-5.5539947490072")</f>
        <v>-5.5539947490072</v>
      </c>
      <c r="C723" s="66">
        <f>IFERROR(__xludf.DUMMYFUNCTION("""COMPUTED_VALUE"""),1.0)</f>
        <v>1</v>
      </c>
      <c r="D723" s="66">
        <f>IFERROR(__xludf.DUMMYFUNCTION("""COMPUTED_VALUE"""),230.0)</f>
        <v>230</v>
      </c>
      <c r="E723" s="66">
        <f>IFERROR(__xludf.DUMMYFUNCTION("""COMPUTED_VALUE"""),15.0)</f>
        <v>15</v>
      </c>
      <c r="F723" s="67" t="str">
        <f>IFERROR(__xludf.DUMMYFUNCTION("""COMPUTED_VALUE"""),"https://www.google.com/maps/search/?api=1&amp;query=-30.9018518434791,-5.5539947490072")</f>
        <v>https://www.google.com/maps/search/?api=1&amp;query=-30.9018518434791,-5.5539947490072</v>
      </c>
      <c r="G723" s="68" t="str">
        <f>IFERROR(__xludf.DUMMYFUNCTION("""COMPUTED_VALUE"""),"https://earth.google.com/web/search/-30.9018518434791,-5.5539947490072")</f>
        <v>https://earth.google.com/web/search/-30.9018518434791,-5.5539947490072</v>
      </c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</row>
    <row r="724">
      <c r="A724" s="69" t="str">
        <f>IFERROR(__xludf.DUMMYFUNCTION("""COMPUTED_VALUE"""),"-30.9019166756694")</f>
        <v>-30.9019166756694</v>
      </c>
      <c r="B724" s="61" t="str">
        <f>IFERROR(__xludf.DUMMYFUNCTION("""COMPUTED_VALUE"""),"-55.5399810412266")</f>
        <v>-55.5399810412266</v>
      </c>
      <c r="C724" s="61">
        <f>IFERROR(__xludf.DUMMYFUNCTION("""COMPUTED_VALUE"""),1.0)</f>
        <v>1</v>
      </c>
      <c r="D724" s="61">
        <f>IFERROR(__xludf.DUMMYFUNCTION("""COMPUTED_VALUE"""),230.0)</f>
        <v>230</v>
      </c>
      <c r="E724" s="61">
        <f>IFERROR(__xludf.DUMMYFUNCTION("""COMPUTED_VALUE"""),16.0)</f>
        <v>16</v>
      </c>
      <c r="F724" s="62" t="str">
        <f>IFERROR(__xludf.DUMMYFUNCTION("""COMPUTED_VALUE"""),"https://www.google.com/maps/search/?api=1&amp;query=-30.9019166756694,-55.5399810412266")</f>
        <v>https://www.google.com/maps/search/?api=1&amp;query=-30.9019166756694,-55.5399810412266</v>
      </c>
      <c r="G724" s="63" t="str">
        <f>IFERROR(__xludf.DUMMYFUNCTION("""COMPUTED_VALUE"""),"https://earth.google.com/web/search/-30.9019166756694,-55.5399810412266")</f>
        <v>https://earth.google.com/web/search/-30.9019166756694,-55.5399810412266</v>
      </c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</row>
    <row r="725">
      <c r="A725" s="65" t="str">
        <f>IFERROR(__xludf.DUMMYFUNCTION("""COMPUTED_VALUE"""),"-30.9019793922054")</f>
        <v>-30.9019793922054</v>
      </c>
      <c r="B725" s="66" t="str">
        <f>IFERROR(__xludf.DUMMYFUNCTION("""COMPUTED_VALUE"""),"-5.5539990605076")</f>
        <v>-5.5539990605076</v>
      </c>
      <c r="C725" s="66">
        <f>IFERROR(__xludf.DUMMYFUNCTION("""COMPUTED_VALUE"""),1.0)</f>
        <v>1</v>
      </c>
      <c r="D725" s="66">
        <f>IFERROR(__xludf.DUMMYFUNCTION("""COMPUTED_VALUE"""),230.0)</f>
        <v>230</v>
      </c>
      <c r="E725" s="66">
        <f>IFERROR(__xludf.DUMMYFUNCTION("""COMPUTED_VALUE"""),17.0)</f>
        <v>17</v>
      </c>
      <c r="F725" s="67" t="str">
        <f>IFERROR(__xludf.DUMMYFUNCTION("""COMPUTED_VALUE"""),"https://www.google.com/maps/search/?api=1&amp;query=-30.9019793922054,-5.5539990605076")</f>
        <v>https://www.google.com/maps/search/?api=1&amp;query=-30.9019793922054,-5.5539990605076</v>
      </c>
      <c r="G725" s="68" t="str">
        <f>IFERROR(__xludf.DUMMYFUNCTION("""COMPUTED_VALUE"""),"https://earth.google.com/web/search/-30.9019793922054,-5.5539990605076")</f>
        <v>https://earth.google.com/web/search/-30.9019793922054,-5.5539990605076</v>
      </c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</row>
    <row r="726">
      <c r="A726" s="69" t="str">
        <f>IFERROR(__xludf.DUMMYFUNCTION("""COMPUTED_VALUE"""),"-30.9015278415359")</f>
        <v>-30.9015278415359</v>
      </c>
      <c r="B726" s="61" t="str">
        <f>IFERROR(__xludf.DUMMYFUNCTION("""COMPUTED_VALUE"""),"-55.5407921437677")</f>
        <v>-55.5407921437677</v>
      </c>
      <c r="C726" s="61">
        <f>IFERROR(__xludf.DUMMYFUNCTION("""COMPUTED_VALUE"""),1.0)</f>
        <v>1</v>
      </c>
      <c r="D726" s="61">
        <f>IFERROR(__xludf.DUMMYFUNCTION("""COMPUTED_VALUE"""),229.0)</f>
        <v>229</v>
      </c>
      <c r="E726" s="61">
        <f>IFERROR(__xludf.DUMMYFUNCTION("""COMPUTED_VALUE"""),1.0)</f>
        <v>1</v>
      </c>
      <c r="F726" s="62" t="str">
        <f>IFERROR(__xludf.DUMMYFUNCTION("""COMPUTED_VALUE"""),"https://www.google.com/maps/search/?api=1&amp;query=-30.9015278415359,-55.5407921437677")</f>
        <v>https://www.google.com/maps/search/?api=1&amp;query=-30.9015278415359,-55.5407921437677</v>
      </c>
      <c r="G726" s="63" t="str">
        <f>IFERROR(__xludf.DUMMYFUNCTION("""COMPUTED_VALUE"""),"https://earth.google.com/web/search/-30.9015278415359,-55.5407921437677")</f>
        <v>https://earth.google.com/web/search/-30.9015278415359,-55.5407921437677</v>
      </c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</row>
    <row r="727">
      <c r="A727" s="65" t="str">
        <f>IFERROR(__xludf.DUMMYFUNCTION("""COMPUTED_VALUE"""),"-30.9015717578221")</f>
        <v>-30.9015717578221</v>
      </c>
      <c r="B727" s="66" t="str">
        <f>IFERROR(__xludf.DUMMYFUNCTION("""COMPUTED_VALUE"""),"-55.5407084816835")</f>
        <v>-55.5407084816835</v>
      </c>
      <c r="C727" s="66">
        <f>IFERROR(__xludf.DUMMYFUNCTION("""COMPUTED_VALUE"""),1.0)</f>
        <v>1</v>
      </c>
      <c r="D727" s="66">
        <f>IFERROR(__xludf.DUMMYFUNCTION("""COMPUTED_VALUE"""),229.0)</f>
        <v>229</v>
      </c>
      <c r="E727" s="66">
        <f>IFERROR(__xludf.DUMMYFUNCTION("""COMPUTED_VALUE"""),2.0)</f>
        <v>2</v>
      </c>
      <c r="F727" s="67" t="str">
        <f>IFERROR(__xludf.DUMMYFUNCTION("""COMPUTED_VALUE"""),"https://www.google.com/maps/search/?api=1&amp;query=-30.9015717578221,-55.5407084816835")</f>
        <v>https://www.google.com/maps/search/?api=1&amp;query=-30.9015717578221,-55.5407084816835</v>
      </c>
      <c r="G727" s="68" t="str">
        <f>IFERROR(__xludf.DUMMYFUNCTION("""COMPUTED_VALUE"""),"https://earth.google.com/web/search/-30.9015717578221,-55.5407084816835")</f>
        <v>https://earth.google.com/web/search/-30.9015717578221,-55.5407084816835</v>
      </c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</row>
    <row r="728">
      <c r="A728" s="69" t="str">
        <f>IFERROR(__xludf.DUMMYFUNCTION("""COMPUTED_VALUE"""),"-30.9016356336902")</f>
        <v>-30.9016356336902</v>
      </c>
      <c r="B728" s="61" t="str">
        <f>IFERROR(__xludf.DUMMYFUNCTION("""COMPUTED_VALUE"""),"-55.5405975030008")</f>
        <v>-55.5405975030008</v>
      </c>
      <c r="C728" s="61">
        <f>IFERROR(__xludf.DUMMYFUNCTION("""COMPUTED_VALUE"""),1.0)</f>
        <v>1</v>
      </c>
      <c r="D728" s="61">
        <f>IFERROR(__xludf.DUMMYFUNCTION("""COMPUTED_VALUE"""),229.0)</f>
        <v>229</v>
      </c>
      <c r="E728" s="61">
        <f>IFERROR(__xludf.DUMMYFUNCTION("""COMPUTED_VALUE"""),3.0)</f>
        <v>3</v>
      </c>
      <c r="F728" s="62" t="str">
        <f>IFERROR(__xludf.DUMMYFUNCTION("""COMPUTED_VALUE"""),"https://www.google.com/maps/search/?api=1&amp;query=-30.9016356336902,-55.5405975030008")</f>
        <v>https://www.google.com/maps/search/?api=1&amp;query=-30.9016356336902,-55.5405975030008</v>
      </c>
      <c r="G728" s="63" t="str">
        <f>IFERROR(__xludf.DUMMYFUNCTION("""COMPUTED_VALUE"""),"https://earth.google.com/web/search/-30.9016356336902,-55.5405975030008")</f>
        <v>https://earth.google.com/web/search/-30.9016356336902,-55.5405975030008</v>
      </c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</row>
    <row r="729">
      <c r="A729" s="65" t="str">
        <f>IFERROR(__xludf.DUMMYFUNCTION("""COMPUTED_VALUE"""),"-30.9016736708362")</f>
        <v>-30.9016736708362</v>
      </c>
      <c r="B729" s="66" t="str">
        <f>IFERROR(__xludf.DUMMYFUNCTION("""COMPUTED_VALUE"""),"-55.5405264340184")</f>
        <v>-55.5405264340184</v>
      </c>
      <c r="C729" s="66">
        <f>IFERROR(__xludf.DUMMYFUNCTION("""COMPUTED_VALUE"""),1.0)</f>
        <v>1</v>
      </c>
      <c r="D729" s="66">
        <f>IFERROR(__xludf.DUMMYFUNCTION("""COMPUTED_VALUE"""),229.0)</f>
        <v>229</v>
      </c>
      <c r="E729" s="66">
        <f>IFERROR(__xludf.DUMMYFUNCTION("""COMPUTED_VALUE"""),4.0)</f>
        <v>4</v>
      </c>
      <c r="F729" s="67" t="str">
        <f>IFERROR(__xludf.DUMMYFUNCTION("""COMPUTED_VALUE"""),"https://www.google.com/maps/search/?api=1&amp;query=-30.9016736708362,-55.5405264340184")</f>
        <v>https://www.google.com/maps/search/?api=1&amp;query=-30.9016736708362,-55.5405264340184</v>
      </c>
      <c r="G729" s="68" t="str">
        <f>IFERROR(__xludf.DUMMYFUNCTION("""COMPUTED_VALUE"""),"https://earth.google.com/web/search/-30.9016736708362,-55.5405264340184")</f>
        <v>https://earth.google.com/web/search/-30.9016736708362,-55.5405264340184</v>
      </c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</row>
    <row r="730">
      <c r="A730" s="69" t="str">
        <f>IFERROR(__xludf.DUMMYFUNCTION("""COMPUTED_VALUE"""),"-3.0901717326611")</f>
        <v>-3.0901717326611</v>
      </c>
      <c r="B730" s="61" t="str">
        <f>IFERROR(__xludf.DUMMYFUNCTION("""COMPUTED_VALUE"""),"-55.5404608341506")</f>
        <v>-55.5404608341506</v>
      </c>
      <c r="C730" s="61">
        <f>IFERROR(__xludf.DUMMYFUNCTION("""COMPUTED_VALUE"""),1.0)</f>
        <v>1</v>
      </c>
      <c r="D730" s="61">
        <f>IFERROR(__xludf.DUMMYFUNCTION("""COMPUTED_VALUE"""),229.0)</f>
        <v>229</v>
      </c>
      <c r="E730" s="61">
        <f>IFERROR(__xludf.DUMMYFUNCTION("""COMPUTED_VALUE"""),5.0)</f>
        <v>5</v>
      </c>
      <c r="F730" s="62" t="str">
        <f>IFERROR(__xludf.DUMMYFUNCTION("""COMPUTED_VALUE"""),"https://www.google.com/maps/search/?api=1&amp;query=-3.0901717326611,-55.5404608341506")</f>
        <v>https://www.google.com/maps/search/?api=1&amp;query=-3.0901717326611,-55.5404608341506</v>
      </c>
      <c r="G730" s="63" t="str">
        <f>IFERROR(__xludf.DUMMYFUNCTION("""COMPUTED_VALUE"""),"https://earth.google.com/web/search/-3.0901717326611,-55.5404608341506")</f>
        <v>https://earth.google.com/web/search/-3.0901717326611,-55.5404608341506</v>
      </c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</row>
    <row r="731">
      <c r="A731" s="65" t="str">
        <f>IFERROR(__xludf.DUMMYFUNCTION("""COMPUTED_VALUE"""),"-30.9017430392233")</f>
        <v>-30.9017430392233</v>
      </c>
      <c r="B731" s="66" t="str">
        <f>IFERROR(__xludf.DUMMYFUNCTION("""COMPUTED_VALUE"""),"-55.5404143054618")</f>
        <v>-55.5404143054618</v>
      </c>
      <c r="C731" s="66">
        <f>IFERROR(__xludf.DUMMYFUNCTION("""COMPUTED_VALUE"""),1.0)</f>
        <v>1</v>
      </c>
      <c r="D731" s="66">
        <f>IFERROR(__xludf.DUMMYFUNCTION("""COMPUTED_VALUE"""),229.0)</f>
        <v>229</v>
      </c>
      <c r="E731" s="66">
        <f>IFERROR(__xludf.DUMMYFUNCTION("""COMPUTED_VALUE"""),6.0)</f>
        <v>6</v>
      </c>
      <c r="F731" s="67" t="str">
        <f>IFERROR(__xludf.DUMMYFUNCTION("""COMPUTED_VALUE"""),"https://www.google.com/maps/search/?api=1&amp;query=-30.9017430392233,-55.5404143054618")</f>
        <v>https://www.google.com/maps/search/?api=1&amp;query=-30.9017430392233,-55.5404143054618</v>
      </c>
      <c r="G731" s="68" t="str">
        <f>IFERROR(__xludf.DUMMYFUNCTION("""COMPUTED_VALUE"""),"https://earth.google.com/web/search/-30.9017430392233,-55.5404143054618")</f>
        <v>https://earth.google.com/web/search/-30.9017430392233,-55.5404143054618</v>
      </c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</row>
    <row r="732">
      <c r="A732" s="69" t="str">
        <f>IFERROR(__xludf.DUMMYFUNCTION("""COMPUTED_VALUE"""),"-30.9018202440561")</f>
        <v>-30.9018202440561</v>
      </c>
      <c r="B732" s="61" t="str">
        <f>IFERROR(__xludf.DUMMYFUNCTION("""COMPUTED_VALUE"""),"-55.5400266691614")</f>
        <v>-55.5400266691614</v>
      </c>
      <c r="C732" s="61">
        <f>IFERROR(__xludf.DUMMYFUNCTION("""COMPUTED_VALUE"""),1.0)</f>
        <v>1</v>
      </c>
      <c r="D732" s="61">
        <f>IFERROR(__xludf.DUMMYFUNCTION("""COMPUTED_VALUE"""),229.0)</f>
        <v>229</v>
      </c>
      <c r="E732" s="61">
        <f>IFERROR(__xludf.DUMMYFUNCTION("""COMPUTED_VALUE"""),7.0)</f>
        <v>7</v>
      </c>
      <c r="F732" s="62" t="str">
        <f>IFERROR(__xludf.DUMMYFUNCTION("""COMPUTED_VALUE"""),"https://www.google.com/maps/search/?api=1&amp;query=-30.9018202440561,-55.5400266691614")</f>
        <v>https://www.google.com/maps/search/?api=1&amp;query=-30.9018202440561,-55.5400266691614</v>
      </c>
      <c r="G732" s="63" t="str">
        <f>IFERROR(__xludf.DUMMYFUNCTION("""COMPUTED_VALUE"""),"https://earth.google.com/web/search/-30.9018202440561,-55.5400266691614")</f>
        <v>https://earth.google.com/web/search/-30.9018202440561,-55.5400266691614</v>
      </c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</row>
    <row r="733">
      <c r="A733" s="65" t="str">
        <f>IFERROR(__xludf.DUMMYFUNCTION("""COMPUTED_VALUE"""),"-30.9017479364425")</f>
        <v>-30.9017479364425</v>
      </c>
      <c r="B733" s="66" t="str">
        <f>IFERROR(__xludf.DUMMYFUNCTION("""COMPUTED_VALUE"""),"-55.5399857204751")</f>
        <v>-55.5399857204751</v>
      </c>
      <c r="C733" s="66">
        <f>IFERROR(__xludf.DUMMYFUNCTION("""COMPUTED_VALUE"""),1.0)</f>
        <v>1</v>
      </c>
      <c r="D733" s="66">
        <f>IFERROR(__xludf.DUMMYFUNCTION("""COMPUTED_VALUE"""),229.0)</f>
        <v>229</v>
      </c>
      <c r="E733" s="66">
        <f>IFERROR(__xludf.DUMMYFUNCTION("""COMPUTED_VALUE"""),8.0)</f>
        <v>8</v>
      </c>
      <c r="F733" s="67" t="str">
        <f>IFERROR(__xludf.DUMMYFUNCTION("""COMPUTED_VALUE"""),"https://www.google.com/maps/search/?api=1&amp;query=-30.9017479364425,-55.5399857204751")</f>
        <v>https://www.google.com/maps/search/?api=1&amp;query=-30.9017479364425,-55.5399857204751</v>
      </c>
      <c r="G733" s="68" t="str">
        <f>IFERROR(__xludf.DUMMYFUNCTION("""COMPUTED_VALUE"""),"https://earth.google.com/web/search/-30.9017479364425,-55.5399857204751")</f>
        <v>https://earth.google.com/web/search/-30.9017479364425,-55.5399857204751</v>
      </c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</row>
    <row r="734">
      <c r="A734" s="69" t="str">
        <f>IFERROR(__xludf.DUMMYFUNCTION("""COMPUTED_VALUE"""),"-30.9011705536877")</f>
        <v>-30.9011705536877</v>
      </c>
      <c r="B734" s="61" t="str">
        <f>IFERROR(__xludf.DUMMYFUNCTION("""COMPUTED_VALUE"""),"-55.5396671350235")</f>
        <v>-55.5396671350235</v>
      </c>
      <c r="C734" s="61">
        <f>IFERROR(__xludf.DUMMYFUNCTION("""COMPUTED_VALUE"""),1.0)</f>
        <v>1</v>
      </c>
      <c r="D734" s="61">
        <f>IFERROR(__xludf.DUMMYFUNCTION("""COMPUTED_VALUE"""),229.0)</f>
        <v>229</v>
      </c>
      <c r="E734" s="61">
        <f>IFERROR(__xludf.DUMMYFUNCTION("""COMPUTED_VALUE"""),9.0)</f>
        <v>9</v>
      </c>
      <c r="F734" s="62" t="str">
        <f>IFERROR(__xludf.DUMMYFUNCTION("""COMPUTED_VALUE"""),"https://www.google.com/maps/search/?api=1&amp;query=-30.9011705536877,-55.5396671350235")</f>
        <v>https://www.google.com/maps/search/?api=1&amp;query=-30.9011705536877,-55.5396671350235</v>
      </c>
      <c r="G734" s="63" t="str">
        <f>IFERROR(__xludf.DUMMYFUNCTION("""COMPUTED_VALUE"""),"https://earth.google.com/web/search/-30.9011705536877,-55.5396671350235")</f>
        <v>https://earth.google.com/web/search/-30.9011705536877,-55.5396671350235</v>
      </c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</row>
    <row r="735">
      <c r="A735" s="65" t="str">
        <f>IFERROR(__xludf.DUMMYFUNCTION("""COMPUTED_VALUE"""),"-30.9011374307161")</f>
        <v>-30.9011374307161</v>
      </c>
      <c r="B735" s="66" t="str">
        <f>IFERROR(__xludf.DUMMYFUNCTION("""COMPUTED_VALUE"""),"-55.5397434598302")</f>
        <v>-55.5397434598302</v>
      </c>
      <c r="C735" s="66">
        <f>IFERROR(__xludf.DUMMYFUNCTION("""COMPUTED_VALUE"""),1.0)</f>
        <v>1</v>
      </c>
      <c r="D735" s="66">
        <f>IFERROR(__xludf.DUMMYFUNCTION("""COMPUTED_VALUE"""),229.0)</f>
        <v>229</v>
      </c>
      <c r="E735" s="66">
        <f>IFERROR(__xludf.DUMMYFUNCTION("""COMPUTED_VALUE"""),10.0)</f>
        <v>10</v>
      </c>
      <c r="F735" s="67" t="str">
        <f>IFERROR(__xludf.DUMMYFUNCTION("""COMPUTED_VALUE"""),"https://www.google.com/maps/search/?api=1&amp;query=-30.9011374307161,-55.5397434598302")</f>
        <v>https://www.google.com/maps/search/?api=1&amp;query=-30.9011374307161,-55.5397434598302</v>
      </c>
      <c r="G735" s="68" t="str">
        <f>IFERROR(__xludf.DUMMYFUNCTION("""COMPUTED_VALUE"""),"https://earth.google.com/web/search/-30.9011374307161,-55.5397434598302")</f>
        <v>https://earth.google.com/web/search/-30.9011374307161,-55.5397434598302</v>
      </c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</row>
    <row r="736">
      <c r="A736" s="69" t="str">
        <f>IFERROR(__xludf.DUMMYFUNCTION("""COMPUTED_VALUE"""),"-30.9011001895947")</f>
        <v>-30.9011001895947</v>
      </c>
      <c r="B736" s="61" t="str">
        <f>IFERROR(__xludf.DUMMYFUNCTION("""COMPUTED_VALUE"""),"-55.5397928019003")</f>
        <v>-55.5397928019003</v>
      </c>
      <c r="C736" s="61">
        <f>IFERROR(__xludf.DUMMYFUNCTION("""COMPUTED_VALUE"""),1.0)</f>
        <v>1</v>
      </c>
      <c r="D736" s="61">
        <f>IFERROR(__xludf.DUMMYFUNCTION("""COMPUTED_VALUE"""),229.0)</f>
        <v>229</v>
      </c>
      <c r="E736" s="61">
        <f>IFERROR(__xludf.DUMMYFUNCTION("""COMPUTED_VALUE"""),11.0)</f>
        <v>11</v>
      </c>
      <c r="F736" s="62" t="str">
        <f>IFERROR(__xludf.DUMMYFUNCTION("""COMPUTED_VALUE"""),"https://www.google.com/maps/search/?api=1&amp;query=-30.9011001895947,-55.5397928019003")</f>
        <v>https://www.google.com/maps/search/?api=1&amp;query=-30.9011001895947,-55.5397928019003</v>
      </c>
      <c r="G736" s="63" t="str">
        <f>IFERROR(__xludf.DUMMYFUNCTION("""COMPUTED_VALUE"""),"https://earth.google.com/web/search/-30.9011001895947,-55.5397928019003")</f>
        <v>https://earth.google.com/web/search/-30.9011001895947,-55.5397928019003</v>
      </c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</row>
    <row r="737">
      <c r="A737" s="65" t="str">
        <f>IFERROR(__xludf.DUMMYFUNCTION("""COMPUTED_VALUE"""),"-30.9010646422396")</f>
        <v>-30.9010646422396</v>
      </c>
      <c r="B737" s="66" t="str">
        <f>IFERROR(__xludf.DUMMYFUNCTION("""COMPUTED_VALUE"""),"-55.5398540948834")</f>
        <v>-55.5398540948834</v>
      </c>
      <c r="C737" s="66">
        <f>IFERROR(__xludf.DUMMYFUNCTION("""COMPUTED_VALUE"""),1.0)</f>
        <v>1</v>
      </c>
      <c r="D737" s="66">
        <f>IFERROR(__xludf.DUMMYFUNCTION("""COMPUTED_VALUE"""),229.0)</f>
        <v>229</v>
      </c>
      <c r="E737" s="66">
        <f>IFERROR(__xludf.DUMMYFUNCTION("""COMPUTED_VALUE"""),12.0)</f>
        <v>12</v>
      </c>
      <c r="F737" s="67" t="str">
        <f>IFERROR(__xludf.DUMMYFUNCTION("""COMPUTED_VALUE"""),"https://www.google.com/maps/search/?api=1&amp;query=-30.9010646422396,-55.5398540948834")</f>
        <v>https://www.google.com/maps/search/?api=1&amp;query=-30.9010646422396,-55.5398540948834</v>
      </c>
      <c r="G737" s="68" t="str">
        <f>IFERROR(__xludf.DUMMYFUNCTION("""COMPUTED_VALUE"""),"https://earth.google.com/web/search/-30.9010646422396,-55.5398540948834")</f>
        <v>https://earth.google.com/web/search/-30.9010646422396,-55.5398540948834</v>
      </c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</row>
    <row r="738">
      <c r="A738" s="69" t="str">
        <f>IFERROR(__xludf.DUMMYFUNCTION("""COMPUTED_VALUE"""),"-30.9010491315738")</f>
        <v>-30.9010491315738</v>
      </c>
      <c r="B738" s="61" t="str">
        <f>IFERROR(__xludf.DUMMYFUNCTION("""COMPUTED_VALUE"""),"-55.5399211185105")</f>
        <v>-55.5399211185105</v>
      </c>
      <c r="C738" s="61">
        <f>IFERROR(__xludf.DUMMYFUNCTION("""COMPUTED_VALUE"""),1.0)</f>
        <v>1</v>
      </c>
      <c r="D738" s="61">
        <f>IFERROR(__xludf.DUMMYFUNCTION("""COMPUTED_VALUE"""),229.0)</f>
        <v>229</v>
      </c>
      <c r="E738" s="61">
        <f>IFERROR(__xludf.DUMMYFUNCTION("""COMPUTED_VALUE"""),13.0)</f>
        <v>13</v>
      </c>
      <c r="F738" s="62" t="str">
        <f>IFERROR(__xludf.DUMMYFUNCTION("""COMPUTED_VALUE"""),"https://www.google.com/maps/search/?api=1&amp;query=-30.9010491315738,-55.5399211185105")</f>
        <v>https://www.google.com/maps/search/?api=1&amp;query=-30.9010491315738,-55.5399211185105</v>
      </c>
      <c r="G738" s="63" t="str">
        <f>IFERROR(__xludf.DUMMYFUNCTION("""COMPUTED_VALUE"""),"https://earth.google.com/web/search/-30.9010491315738,-55.5399211185105")</f>
        <v>https://earth.google.com/web/search/-30.9010491315738,-55.5399211185105</v>
      </c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</row>
    <row r="739">
      <c r="A739" s="65" t="str">
        <f>IFERROR(__xludf.DUMMYFUNCTION("""COMPUTED_VALUE"""),"-30.9008613109668")</f>
        <v>-30.9008613109668</v>
      </c>
      <c r="B739" s="66" t="str">
        <f>IFERROR(__xludf.DUMMYFUNCTION("""COMPUTED_VALUE"""),"-55.5402954521159")</f>
        <v>-55.5402954521159</v>
      </c>
      <c r="C739" s="66">
        <f>IFERROR(__xludf.DUMMYFUNCTION("""COMPUTED_VALUE"""),1.0)</f>
        <v>1</v>
      </c>
      <c r="D739" s="66">
        <f>IFERROR(__xludf.DUMMYFUNCTION("""COMPUTED_VALUE"""),229.0)</f>
        <v>229</v>
      </c>
      <c r="E739" s="66">
        <f>IFERROR(__xludf.DUMMYFUNCTION("""COMPUTED_VALUE"""),14.0)</f>
        <v>14</v>
      </c>
      <c r="F739" s="67" t="str">
        <f>IFERROR(__xludf.DUMMYFUNCTION("""COMPUTED_VALUE"""),"https://www.google.com/maps/search/?api=1&amp;query=-30.9008613109668,-55.5402954521159")</f>
        <v>https://www.google.com/maps/search/?api=1&amp;query=-30.9008613109668,-55.5402954521159</v>
      </c>
      <c r="G739" s="68" t="str">
        <f>IFERROR(__xludf.DUMMYFUNCTION("""COMPUTED_VALUE"""),"https://earth.google.com/web/search/-30.9008613109668,-55.5402954521159")</f>
        <v>https://earth.google.com/web/search/-30.9008613109668,-55.5402954521159</v>
      </c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</row>
    <row r="740">
      <c r="A740" s="69" t="str">
        <f>IFERROR(__xludf.DUMMYFUNCTION("""COMPUTED_VALUE"""),"-30.9010945986135")</f>
        <v>-30.9010945986135</v>
      </c>
      <c r="B740" s="61" t="str">
        <f>IFERROR(__xludf.DUMMYFUNCTION("""COMPUTED_VALUE"""),"-55.5406403752008")</f>
        <v>-55.5406403752008</v>
      </c>
      <c r="C740" s="61">
        <f>IFERROR(__xludf.DUMMYFUNCTION("""COMPUTED_VALUE"""),1.0)</f>
        <v>1</v>
      </c>
      <c r="D740" s="61">
        <f>IFERROR(__xludf.DUMMYFUNCTION("""COMPUTED_VALUE"""),229.0)</f>
        <v>229</v>
      </c>
      <c r="E740" s="61">
        <f>IFERROR(__xludf.DUMMYFUNCTION("""COMPUTED_VALUE"""),15.0)</f>
        <v>15</v>
      </c>
      <c r="F740" s="62" t="str">
        <f>IFERROR(__xludf.DUMMYFUNCTION("""COMPUTED_VALUE"""),"https://www.google.com/maps/search/?api=1&amp;query=-30.9010945986135,-55.5406403752008")</f>
        <v>https://www.google.com/maps/search/?api=1&amp;query=-30.9010945986135,-55.5406403752008</v>
      </c>
      <c r="G740" s="63" t="str">
        <f>IFERROR(__xludf.DUMMYFUNCTION("""COMPUTED_VALUE"""),"https://earth.google.com/web/search/-30.9010945986135,-55.5406403752008")</f>
        <v>https://earth.google.com/web/search/-30.9010945986135,-55.5406403752008</v>
      </c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</row>
    <row r="741">
      <c r="A741" s="65" t="str">
        <f>IFERROR(__xludf.DUMMYFUNCTION("""COMPUTED_VALUE"""),"-30.9011988804168")</f>
        <v>-30.9011988804168</v>
      </c>
      <c r="B741" s="66" t="str">
        <f>IFERROR(__xludf.DUMMYFUNCTION("""COMPUTED_VALUE"""),"-55.5407335549162")</f>
        <v>-55.5407335549162</v>
      </c>
      <c r="C741" s="66">
        <f>IFERROR(__xludf.DUMMYFUNCTION("""COMPUTED_VALUE"""),1.0)</f>
        <v>1</v>
      </c>
      <c r="D741" s="66">
        <f>IFERROR(__xludf.DUMMYFUNCTION("""COMPUTED_VALUE"""),229.0)</f>
        <v>229</v>
      </c>
      <c r="E741" s="66">
        <f>IFERROR(__xludf.DUMMYFUNCTION("""COMPUTED_VALUE"""),16.0)</f>
        <v>16</v>
      </c>
      <c r="F741" s="67" t="str">
        <f>IFERROR(__xludf.DUMMYFUNCTION("""COMPUTED_VALUE"""),"https://www.google.com/maps/search/?api=1&amp;query=-30.9011988804168,-55.5407335549162")</f>
        <v>https://www.google.com/maps/search/?api=1&amp;query=-30.9011988804168,-55.5407335549162</v>
      </c>
      <c r="G741" s="68" t="str">
        <f>IFERROR(__xludf.DUMMYFUNCTION("""COMPUTED_VALUE"""),"https://earth.google.com/web/search/-30.9011988804168,-55.5407335549162")</f>
        <v>https://earth.google.com/web/search/-30.9011988804168,-55.5407335549162</v>
      </c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64"/>
    </row>
    <row r="742">
      <c r="A742" s="69" t="str">
        <f>IFERROR(__xludf.DUMMYFUNCTION("""COMPUTED_VALUE"""),"-30.9013076663237")</f>
        <v>-30.9013076663237</v>
      </c>
      <c r="B742" s="61" t="str">
        <f>IFERROR(__xludf.DUMMYFUNCTION("""COMPUTED_VALUE"""),"-5.5540807888803")</f>
        <v>-5.5540807888803</v>
      </c>
      <c r="C742" s="61">
        <f>IFERROR(__xludf.DUMMYFUNCTION("""COMPUTED_VALUE"""),1.0)</f>
        <v>1</v>
      </c>
      <c r="D742" s="61">
        <f>IFERROR(__xludf.DUMMYFUNCTION("""COMPUTED_VALUE"""),229.0)</f>
        <v>229</v>
      </c>
      <c r="E742" s="61">
        <f>IFERROR(__xludf.DUMMYFUNCTION("""COMPUTED_VALUE"""),17.0)</f>
        <v>17</v>
      </c>
      <c r="F742" s="62" t="str">
        <f>IFERROR(__xludf.DUMMYFUNCTION("""COMPUTED_VALUE"""),"https://www.google.com/maps/search/?api=1&amp;query=-30.9013076663237,-5.5540807888803")</f>
        <v>https://www.google.com/maps/search/?api=1&amp;query=-30.9013076663237,-5.5540807888803</v>
      </c>
      <c r="G742" s="63" t="str">
        <f>IFERROR(__xludf.DUMMYFUNCTION("""COMPUTED_VALUE"""),"https://earth.google.com/web/search/-30.9013076663237,-5.5540807888803")</f>
        <v>https://earth.google.com/web/search/-30.9013076663237,-5.5540807888803</v>
      </c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</row>
    <row r="743">
      <c r="A743" s="65" t="str">
        <f>IFERROR(__xludf.DUMMYFUNCTION("""COMPUTED_VALUE"""),"-30.9014004945583")</f>
        <v>-30.9014004945583</v>
      </c>
      <c r="B743" s="66" t="str">
        <f>IFERROR(__xludf.DUMMYFUNCTION("""COMPUTED_VALUE"""),"-55.5408495487172")</f>
        <v>-55.5408495487172</v>
      </c>
      <c r="C743" s="66">
        <f>IFERROR(__xludf.DUMMYFUNCTION("""COMPUTED_VALUE"""),1.0)</f>
        <v>1</v>
      </c>
      <c r="D743" s="66">
        <f>IFERROR(__xludf.DUMMYFUNCTION("""COMPUTED_VALUE"""),229.0)</f>
        <v>229</v>
      </c>
      <c r="E743" s="66">
        <f>IFERROR(__xludf.DUMMYFUNCTION("""COMPUTED_VALUE"""),18.0)</f>
        <v>18</v>
      </c>
      <c r="F743" s="67" t="str">
        <f>IFERROR(__xludf.DUMMYFUNCTION("""COMPUTED_VALUE"""),"https://www.google.com/maps/search/?api=1&amp;query=-30.9014004945583,-55.5408495487172")</f>
        <v>https://www.google.com/maps/search/?api=1&amp;query=-30.9014004945583,-55.5408495487172</v>
      </c>
      <c r="G743" s="68" t="str">
        <f>IFERROR(__xludf.DUMMYFUNCTION("""COMPUTED_VALUE"""),"https://earth.google.com/web/search/-30.9014004945583,-55.5408495487172")</f>
        <v>https://earth.google.com/web/search/-30.9014004945583,-55.5408495487172</v>
      </c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</row>
    <row r="744">
      <c r="A744" s="69" t="str">
        <f>IFERROR(__xludf.DUMMYFUNCTION("""COMPUTED_VALUE"""),"-30.9010619229417")</f>
        <v>-30.9010619229417</v>
      </c>
      <c r="B744" s="61" t="str">
        <f>IFERROR(__xludf.DUMMYFUNCTION("""COMPUTED_VALUE"""),"-55.5417048729515")</f>
        <v>-55.5417048729515</v>
      </c>
      <c r="C744" s="61">
        <f>IFERROR(__xludf.DUMMYFUNCTION("""COMPUTED_VALUE"""),1.0)</f>
        <v>1</v>
      </c>
      <c r="D744" s="61">
        <f>IFERROR(__xludf.DUMMYFUNCTION("""COMPUTED_VALUE"""),228.0)</f>
        <v>228</v>
      </c>
      <c r="E744" s="61">
        <f>IFERROR(__xludf.DUMMYFUNCTION("""COMPUTED_VALUE"""),1.0)</f>
        <v>1</v>
      </c>
      <c r="F744" s="62" t="str">
        <f>IFERROR(__xludf.DUMMYFUNCTION("""COMPUTED_VALUE"""),"https://www.google.com/maps/search/?api=1&amp;query=-30.9010619229417,-55.5417048729515")</f>
        <v>https://www.google.com/maps/search/?api=1&amp;query=-30.9010619229417,-55.5417048729515</v>
      </c>
      <c r="G744" s="63" t="str">
        <f>IFERROR(__xludf.DUMMYFUNCTION("""COMPUTED_VALUE"""),"https://earth.google.com/web/search/-30.9010619229417,-55.5417048729515")</f>
        <v>https://earth.google.com/web/search/-30.9010619229417,-55.5417048729515</v>
      </c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</row>
    <row r="745">
      <c r="A745" s="65" t="str">
        <f>IFERROR(__xludf.DUMMYFUNCTION("""COMPUTED_VALUE"""),"-30.9011236353207")</f>
        <v>-30.9011236353207</v>
      </c>
      <c r="B745" s="66" t="str">
        <f>IFERROR(__xludf.DUMMYFUNCTION("""COMPUTED_VALUE"""),"-55.5415790285508")</f>
        <v>-55.5415790285508</v>
      </c>
      <c r="C745" s="66">
        <f>IFERROR(__xludf.DUMMYFUNCTION("""COMPUTED_VALUE"""),1.0)</f>
        <v>1</v>
      </c>
      <c r="D745" s="66">
        <f>IFERROR(__xludf.DUMMYFUNCTION("""COMPUTED_VALUE"""),228.0)</f>
        <v>228</v>
      </c>
      <c r="E745" s="66">
        <f>IFERROR(__xludf.DUMMYFUNCTION("""COMPUTED_VALUE"""),2.0)</f>
        <v>2</v>
      </c>
      <c r="F745" s="67" t="str">
        <f>IFERROR(__xludf.DUMMYFUNCTION("""COMPUTED_VALUE"""),"https://www.google.com/maps/search/?api=1&amp;query=-30.9011236353207,-55.5415790285508")</f>
        <v>https://www.google.com/maps/search/?api=1&amp;query=-30.9011236353207,-55.5415790285508</v>
      </c>
      <c r="G745" s="68" t="str">
        <f>IFERROR(__xludf.DUMMYFUNCTION("""COMPUTED_VALUE"""),"https://earth.google.com/web/search/-30.9011236353207,-55.5415790285508")</f>
        <v>https://earth.google.com/web/search/-30.9011236353207,-55.5415790285508</v>
      </c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64"/>
    </row>
    <row r="746">
      <c r="A746" s="69" t="str">
        <f>IFERROR(__xludf.DUMMYFUNCTION("""COMPUTED_VALUE"""),"-30.9012897016578")</f>
        <v>-30.9012897016578</v>
      </c>
      <c r="B746" s="61" t="str">
        <f>IFERROR(__xludf.DUMMYFUNCTION("""COMPUTED_VALUE"""),"-55.5412536497989")</f>
        <v>-55.5412536497989</v>
      </c>
      <c r="C746" s="61">
        <f>IFERROR(__xludf.DUMMYFUNCTION("""COMPUTED_VALUE"""),1.0)</f>
        <v>1</v>
      </c>
      <c r="D746" s="61">
        <f>IFERROR(__xludf.DUMMYFUNCTION("""COMPUTED_VALUE"""),228.0)</f>
        <v>228</v>
      </c>
      <c r="E746" s="61">
        <f>IFERROR(__xludf.DUMMYFUNCTION("""COMPUTED_VALUE"""),3.0)</f>
        <v>3</v>
      </c>
      <c r="F746" s="62" t="str">
        <f>IFERROR(__xludf.DUMMYFUNCTION("""COMPUTED_VALUE"""),"https://www.google.com/maps/search/?api=1&amp;query=-30.9012897016578,-55.5412536497989")</f>
        <v>https://www.google.com/maps/search/?api=1&amp;query=-30.9012897016578,-55.5412536497989</v>
      </c>
      <c r="G746" s="63" t="str">
        <f>IFERROR(__xludf.DUMMYFUNCTION("""COMPUTED_VALUE"""),"https://earth.google.com/web/search/-30.9012897016578,-55.5412536497989")</f>
        <v>https://earth.google.com/web/search/-30.9012897016578,-55.5412536497989</v>
      </c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</row>
    <row r="747">
      <c r="A747" s="65" t="str">
        <f>IFERROR(__xludf.DUMMYFUNCTION("""COMPUTED_VALUE"""),"-30.9013591421014")</f>
        <v>-30.9013591421014</v>
      </c>
      <c r="B747" s="66" t="str">
        <f>IFERROR(__xludf.DUMMYFUNCTION("""COMPUTED_VALUE"""),"-55.5411621457353")</f>
        <v>-55.5411621457353</v>
      </c>
      <c r="C747" s="66">
        <f>IFERROR(__xludf.DUMMYFUNCTION("""COMPUTED_VALUE"""),1.0)</f>
        <v>1</v>
      </c>
      <c r="D747" s="66">
        <f>IFERROR(__xludf.DUMMYFUNCTION("""COMPUTED_VALUE"""),228.0)</f>
        <v>228</v>
      </c>
      <c r="E747" s="66">
        <f>IFERROR(__xludf.DUMMYFUNCTION("""COMPUTED_VALUE"""),4.0)</f>
        <v>4</v>
      </c>
      <c r="F747" s="67" t="str">
        <f>IFERROR(__xludf.DUMMYFUNCTION("""COMPUTED_VALUE"""),"https://www.google.com/maps/search/?api=1&amp;query=-30.9013591421014,-55.5411621457353")</f>
        <v>https://www.google.com/maps/search/?api=1&amp;query=-30.9013591421014,-55.5411621457353</v>
      </c>
      <c r="G747" s="68" t="str">
        <f>IFERROR(__xludf.DUMMYFUNCTION("""COMPUTED_VALUE"""),"https://earth.google.com/web/search/-30.9013591421014,-55.5411621457353")</f>
        <v>https://earth.google.com/web/search/-30.9013591421014,-55.5411621457353</v>
      </c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</row>
    <row r="748">
      <c r="A748" s="69" t="str">
        <f>IFERROR(__xludf.DUMMYFUNCTION("""COMPUTED_VALUE"""),"-30.9013429249957")</f>
        <v>-30.9013429249957</v>
      </c>
      <c r="B748" s="61" t="str">
        <f>IFERROR(__xludf.DUMMYFUNCTION("""COMPUTED_VALUE"""),"-55.5409886992976")</f>
        <v>-55.5409886992976</v>
      </c>
      <c r="C748" s="61">
        <f>IFERROR(__xludf.DUMMYFUNCTION("""COMPUTED_VALUE"""),1.0)</f>
        <v>1</v>
      </c>
      <c r="D748" s="61">
        <f>IFERROR(__xludf.DUMMYFUNCTION("""COMPUTED_VALUE"""),228.0)</f>
        <v>228</v>
      </c>
      <c r="E748" s="61">
        <f>IFERROR(__xludf.DUMMYFUNCTION("""COMPUTED_VALUE"""),5.0)</f>
        <v>5</v>
      </c>
      <c r="F748" s="62" t="str">
        <f>IFERROR(__xludf.DUMMYFUNCTION("""COMPUTED_VALUE"""),"https://www.google.com/maps/search/?api=1&amp;query=-30.9013429249957,-55.5409886992976")</f>
        <v>https://www.google.com/maps/search/?api=1&amp;query=-30.9013429249957,-55.5409886992976</v>
      </c>
      <c r="G748" s="63" t="str">
        <f>IFERROR(__xludf.DUMMYFUNCTION("""COMPUTED_VALUE"""),"https://earth.google.com/web/search/-30.9013429249957,-55.5409886992976")</f>
        <v>https://earth.google.com/web/search/-30.9013429249957,-55.5409886992976</v>
      </c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</row>
    <row r="749">
      <c r="A749" s="65" t="str">
        <f>IFERROR(__xludf.DUMMYFUNCTION("""COMPUTED_VALUE"""),"-0.3090102528128")</f>
        <v>-0.3090102528128</v>
      </c>
      <c r="B749" s="66" t="str">
        <f>IFERROR(__xludf.DUMMYFUNCTION("""COMPUTED_VALUE"""),"-55.5407569898825")</f>
        <v>-55.5407569898825</v>
      </c>
      <c r="C749" s="66">
        <f>IFERROR(__xludf.DUMMYFUNCTION("""COMPUTED_VALUE"""),1.0)</f>
        <v>1</v>
      </c>
      <c r="D749" s="66">
        <f>IFERROR(__xludf.DUMMYFUNCTION("""COMPUTED_VALUE"""),228.0)</f>
        <v>228</v>
      </c>
      <c r="E749" s="66">
        <f>IFERROR(__xludf.DUMMYFUNCTION("""COMPUTED_VALUE"""),6.0)</f>
        <v>6</v>
      </c>
      <c r="F749" s="67" t="str">
        <f>IFERROR(__xludf.DUMMYFUNCTION("""COMPUTED_VALUE"""),"https://www.google.com/maps/search/?api=1&amp;query=-0.3090102528128,-55.5407569898825")</f>
        <v>https://www.google.com/maps/search/?api=1&amp;query=-0.3090102528128,-55.5407569898825</v>
      </c>
      <c r="G749" s="68" t="str">
        <f>IFERROR(__xludf.DUMMYFUNCTION("""COMPUTED_VALUE"""),"https://earth.google.com/web/search/-0.3090102528128,-55.5407569898825")</f>
        <v>https://earth.google.com/web/search/-0.3090102528128,-55.5407569898825</v>
      </c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</row>
    <row r="750">
      <c r="A750" s="69" t="str">
        <f>IFERROR(__xludf.DUMMYFUNCTION("""COMPUTED_VALUE"""),"-30.9004848893337")</f>
        <v>-30.9004848893337</v>
      </c>
      <c r="B750" s="61" t="str">
        <f>IFERROR(__xludf.DUMMYFUNCTION("""COMPUTED_VALUE"""),"-55.5410155165824")</f>
        <v>-55.5410155165824</v>
      </c>
      <c r="C750" s="61">
        <f>IFERROR(__xludf.DUMMYFUNCTION("""COMPUTED_VALUE"""),1.0)</f>
        <v>1</v>
      </c>
      <c r="D750" s="61">
        <f>IFERROR(__xludf.DUMMYFUNCTION("""COMPUTED_VALUE"""),228.0)</f>
        <v>228</v>
      </c>
      <c r="E750" s="61">
        <f>IFERROR(__xludf.DUMMYFUNCTION("""COMPUTED_VALUE"""),7.0)</f>
        <v>7</v>
      </c>
      <c r="F750" s="62" t="str">
        <f>IFERROR(__xludf.DUMMYFUNCTION("""COMPUTED_VALUE"""),"https://www.google.com/maps/search/?api=1&amp;query=-30.9004848893337,-55.5410155165824")</f>
        <v>https://www.google.com/maps/search/?api=1&amp;query=-30.9004848893337,-55.5410155165824</v>
      </c>
      <c r="G750" s="63" t="str">
        <f>IFERROR(__xludf.DUMMYFUNCTION("""COMPUTED_VALUE"""),"https://earth.google.com/web/search/-30.9004848893337,-55.5410155165824")</f>
        <v>https://earth.google.com/web/search/-30.9004848893337,-55.5410155165824</v>
      </c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</row>
    <row r="751">
      <c r="A751" s="65" t="str">
        <f>IFERROR(__xludf.DUMMYFUNCTION("""COMPUTED_VALUE"""),"-3.0900334628806")</f>
        <v>-3.0900334628806</v>
      </c>
      <c r="B751" s="66" t="str">
        <f>IFERROR(__xludf.DUMMYFUNCTION("""COMPUTED_VALUE"""),"-55.5412922810727")</f>
        <v>-55.5412922810727</v>
      </c>
      <c r="C751" s="66">
        <f>IFERROR(__xludf.DUMMYFUNCTION("""COMPUTED_VALUE"""),1.0)</f>
        <v>1</v>
      </c>
      <c r="D751" s="66">
        <f>IFERROR(__xludf.DUMMYFUNCTION("""COMPUTED_VALUE"""),228.0)</f>
        <v>228</v>
      </c>
      <c r="E751" s="66">
        <f>IFERROR(__xludf.DUMMYFUNCTION("""COMPUTED_VALUE"""),8.0)</f>
        <v>8</v>
      </c>
      <c r="F751" s="67" t="str">
        <f>IFERROR(__xludf.DUMMYFUNCTION("""COMPUTED_VALUE"""),"https://www.google.com/maps/search/?api=1&amp;query=-3.0900334628806,-55.5412922810727")</f>
        <v>https://www.google.com/maps/search/?api=1&amp;query=-3.0900334628806,-55.5412922810727</v>
      </c>
      <c r="G751" s="68" t="str">
        <f>IFERROR(__xludf.DUMMYFUNCTION("""COMPUTED_VALUE"""),"https://earth.google.com/web/search/-3.0900334628806,-55.5412922810727")</f>
        <v>https://earth.google.com/web/search/-3.0900334628806,-55.5412922810727</v>
      </c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64"/>
    </row>
    <row r="752">
      <c r="A752" s="69" t="str">
        <f>IFERROR(__xludf.DUMMYFUNCTION("""COMPUTED_VALUE"""),"-30.9006926934901")</f>
        <v>-30.9006926934901</v>
      </c>
      <c r="B752" s="61" t="str">
        <f>IFERROR(__xludf.DUMMYFUNCTION("""COMPUTED_VALUE"""),"-5.5541659611762")</f>
        <v>-5.5541659611762</v>
      </c>
      <c r="C752" s="61">
        <f>IFERROR(__xludf.DUMMYFUNCTION("""COMPUTED_VALUE"""),1.0)</f>
        <v>1</v>
      </c>
      <c r="D752" s="61">
        <f>IFERROR(__xludf.DUMMYFUNCTION("""COMPUTED_VALUE"""),228.0)</f>
        <v>228</v>
      </c>
      <c r="E752" s="61">
        <f>IFERROR(__xludf.DUMMYFUNCTION("""COMPUTED_VALUE"""),9.0)</f>
        <v>9</v>
      </c>
      <c r="F752" s="62" t="str">
        <f>IFERROR(__xludf.DUMMYFUNCTION("""COMPUTED_VALUE"""),"https://www.google.com/maps/search/?api=1&amp;query=-30.9006926934901,-5.5541659611762")</f>
        <v>https://www.google.com/maps/search/?api=1&amp;query=-30.9006926934901,-5.5541659611762</v>
      </c>
      <c r="G752" s="63" t="str">
        <f>IFERROR(__xludf.DUMMYFUNCTION("""COMPUTED_VALUE"""),"https://earth.google.com/web/search/-30.9006926934901,-5.5541659611762")</f>
        <v>https://earth.google.com/web/search/-30.9006926934901,-5.5541659611762</v>
      </c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</row>
    <row r="753">
      <c r="A753" s="65" t="str">
        <f>IFERROR(__xludf.DUMMYFUNCTION("""COMPUTED_VALUE"""),"-30.9005523937325")</f>
        <v>-30.9005523937325</v>
      </c>
      <c r="B753" s="66" t="str">
        <f>IFERROR(__xludf.DUMMYFUNCTION("""COMPUTED_VALUE"""),"-55.5426595109627")</f>
        <v>-55.5426595109627</v>
      </c>
      <c r="C753" s="66">
        <f>IFERROR(__xludf.DUMMYFUNCTION("""COMPUTED_VALUE"""),1.0)</f>
        <v>1</v>
      </c>
      <c r="D753" s="66">
        <f>IFERROR(__xludf.DUMMYFUNCTION("""COMPUTED_VALUE"""),227.0)</f>
        <v>227</v>
      </c>
      <c r="E753" s="66">
        <f>IFERROR(__xludf.DUMMYFUNCTION("""COMPUTED_VALUE"""),1.0)</f>
        <v>1</v>
      </c>
      <c r="F753" s="67" t="str">
        <f>IFERROR(__xludf.DUMMYFUNCTION("""COMPUTED_VALUE"""),"https://www.google.com/maps/search/?api=1&amp;query=-30.9005523937325,-55.5426595109627")</f>
        <v>https://www.google.com/maps/search/?api=1&amp;query=-30.9005523937325,-55.5426595109627</v>
      </c>
      <c r="G753" s="68" t="str">
        <f>IFERROR(__xludf.DUMMYFUNCTION("""COMPUTED_VALUE"""),"https://earth.google.com/web/search/-30.9005523937325,-55.5426595109627")</f>
        <v>https://earth.google.com/web/search/-30.9005523937325,-55.5426595109627</v>
      </c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64"/>
    </row>
    <row r="754">
      <c r="A754" s="69" t="str">
        <f>IFERROR(__xludf.DUMMYFUNCTION("""COMPUTED_VALUE"""),"-30.9006987245029")</f>
        <v>-30.9006987245029</v>
      </c>
      <c r="B754" s="61" t="str">
        <f>IFERROR(__xludf.DUMMYFUNCTION("""COMPUTED_VALUE"""),"-55.5423670497946")</f>
        <v>-55.5423670497946</v>
      </c>
      <c r="C754" s="61">
        <f>IFERROR(__xludf.DUMMYFUNCTION("""COMPUTED_VALUE"""),1.0)</f>
        <v>1</v>
      </c>
      <c r="D754" s="61">
        <f>IFERROR(__xludf.DUMMYFUNCTION("""COMPUTED_VALUE"""),227.0)</f>
        <v>227</v>
      </c>
      <c r="E754" s="61">
        <f>IFERROR(__xludf.DUMMYFUNCTION("""COMPUTED_VALUE"""),2.0)</f>
        <v>2</v>
      </c>
      <c r="F754" s="62" t="str">
        <f>IFERROR(__xludf.DUMMYFUNCTION("""COMPUTED_VALUE"""),"https://www.google.com/maps/search/?api=1&amp;query=-30.9006987245029,-55.5423670497946")</f>
        <v>https://www.google.com/maps/search/?api=1&amp;query=-30.9006987245029,-55.5423670497946</v>
      </c>
      <c r="G754" s="63" t="str">
        <f>IFERROR(__xludf.DUMMYFUNCTION("""COMPUTED_VALUE"""),"https://earth.google.com/web/search/-30.9006987245029,-55.5423670497946")</f>
        <v>https://earth.google.com/web/search/-30.9006987245029,-55.5423670497946</v>
      </c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64"/>
    </row>
    <row r="755">
      <c r="A755" s="65" t="str">
        <f>IFERROR(__xludf.DUMMYFUNCTION("""COMPUTED_VALUE"""),"-30.9007530108523")</f>
        <v>-30.9007530108523</v>
      </c>
      <c r="B755" s="66" t="str">
        <f>IFERROR(__xludf.DUMMYFUNCTION("""COMPUTED_VALUE"""),"-55.5422860310134")</f>
        <v>-55.5422860310134</v>
      </c>
      <c r="C755" s="66">
        <f>IFERROR(__xludf.DUMMYFUNCTION("""COMPUTED_VALUE"""),1.0)</f>
        <v>1</v>
      </c>
      <c r="D755" s="66">
        <f>IFERROR(__xludf.DUMMYFUNCTION("""COMPUTED_VALUE"""),227.0)</f>
        <v>227</v>
      </c>
      <c r="E755" s="66">
        <f>IFERROR(__xludf.DUMMYFUNCTION("""COMPUTED_VALUE"""),3.0)</f>
        <v>3</v>
      </c>
      <c r="F755" s="67" t="str">
        <f>IFERROR(__xludf.DUMMYFUNCTION("""COMPUTED_VALUE"""),"https://www.google.com/maps/search/?api=1&amp;query=-30.9007530108523,-55.5422860310134")</f>
        <v>https://www.google.com/maps/search/?api=1&amp;query=-30.9007530108523,-55.5422860310134</v>
      </c>
      <c r="G755" s="68" t="str">
        <f>IFERROR(__xludf.DUMMYFUNCTION("""COMPUTED_VALUE"""),"https://earth.google.com/web/search/-30.9007530108523,-55.5422860310134")</f>
        <v>https://earth.google.com/web/search/-30.9007530108523,-55.5422860310134</v>
      </c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</row>
    <row r="756">
      <c r="A756" s="69" t="str">
        <f>IFERROR(__xludf.DUMMYFUNCTION("""COMPUTED_VALUE"""),"-30.9007316534445")</f>
        <v>-30.9007316534445</v>
      </c>
      <c r="B756" s="61" t="str">
        <f>IFERROR(__xludf.DUMMYFUNCTION("""COMPUTED_VALUE"""),"-55.5417941580084")</f>
        <v>-55.5417941580084</v>
      </c>
      <c r="C756" s="61">
        <f>IFERROR(__xludf.DUMMYFUNCTION("""COMPUTED_VALUE"""),1.0)</f>
        <v>1</v>
      </c>
      <c r="D756" s="61">
        <f>IFERROR(__xludf.DUMMYFUNCTION("""COMPUTED_VALUE"""),227.0)</f>
        <v>227</v>
      </c>
      <c r="E756" s="61">
        <f>IFERROR(__xludf.DUMMYFUNCTION("""COMPUTED_VALUE"""),4.0)</f>
        <v>4</v>
      </c>
      <c r="F756" s="62" t="str">
        <f>IFERROR(__xludf.DUMMYFUNCTION("""COMPUTED_VALUE"""),"https://www.google.com/maps/search/?api=1&amp;query=-30.9007316534445,-55.5417941580084")</f>
        <v>https://www.google.com/maps/search/?api=1&amp;query=-30.9007316534445,-55.5417941580084</v>
      </c>
      <c r="G756" s="63" t="str">
        <f>IFERROR(__xludf.DUMMYFUNCTION("""COMPUTED_VALUE"""),"https://earth.google.com/web/search/-30.9007316534445,-55.5417941580084")</f>
        <v>https://earth.google.com/web/search/-30.9007316534445,-55.5417941580084</v>
      </c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</row>
    <row r="757">
      <c r="A757" s="65" t="str">
        <f>IFERROR(__xludf.DUMMYFUNCTION("""COMPUTED_VALUE"""),"-30.9005980205587")</f>
        <v>-30.9005980205587</v>
      </c>
      <c r="B757" s="66" t="str">
        <f>IFERROR(__xludf.DUMMYFUNCTION("""COMPUTED_VALUE"""),"-55.5417095176489")</f>
        <v>-55.5417095176489</v>
      </c>
      <c r="C757" s="66">
        <f>IFERROR(__xludf.DUMMYFUNCTION("""COMPUTED_VALUE"""),1.0)</f>
        <v>1</v>
      </c>
      <c r="D757" s="66">
        <f>IFERROR(__xludf.DUMMYFUNCTION("""COMPUTED_VALUE"""),227.0)</f>
        <v>227</v>
      </c>
      <c r="E757" s="66">
        <f>IFERROR(__xludf.DUMMYFUNCTION("""COMPUTED_VALUE"""),5.0)</f>
        <v>5</v>
      </c>
      <c r="F757" s="67" t="str">
        <f>IFERROR(__xludf.DUMMYFUNCTION("""COMPUTED_VALUE"""),"https://www.google.com/maps/search/?api=1&amp;query=-30.9005980205587,-55.5417095176489")</f>
        <v>https://www.google.com/maps/search/?api=1&amp;query=-30.9005980205587,-55.5417095176489</v>
      </c>
      <c r="G757" s="68" t="str">
        <f>IFERROR(__xludf.DUMMYFUNCTION("""COMPUTED_VALUE"""),"https://earth.google.com/web/search/-30.9005980205587,-55.5417095176489")</f>
        <v>https://earth.google.com/web/search/-30.9005980205587,-55.5417095176489</v>
      </c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64"/>
    </row>
    <row r="758">
      <c r="A758" s="69" t="str">
        <f>IFERROR(__xludf.DUMMYFUNCTION("""COMPUTED_VALUE"""),"-30.9004755191971")</f>
        <v>-30.9004755191971</v>
      </c>
      <c r="B758" s="61" t="str">
        <f>IFERROR(__xludf.DUMMYFUNCTION("""COMPUTED_VALUE"""),"-5.5541624112458")</f>
        <v>-5.5541624112458</v>
      </c>
      <c r="C758" s="61">
        <f>IFERROR(__xludf.DUMMYFUNCTION("""COMPUTED_VALUE"""),1.0)</f>
        <v>1</v>
      </c>
      <c r="D758" s="61">
        <f>IFERROR(__xludf.DUMMYFUNCTION("""COMPUTED_VALUE"""),227.0)</f>
        <v>227</v>
      </c>
      <c r="E758" s="61">
        <f>IFERROR(__xludf.DUMMYFUNCTION("""COMPUTED_VALUE"""),6.0)</f>
        <v>6</v>
      </c>
      <c r="F758" s="62" t="str">
        <f>IFERROR(__xludf.DUMMYFUNCTION("""COMPUTED_VALUE"""),"https://www.google.com/maps/search/?api=1&amp;query=-30.9004755191971,-5.5541624112458")</f>
        <v>https://www.google.com/maps/search/?api=1&amp;query=-30.9004755191971,-5.5541624112458</v>
      </c>
      <c r="G758" s="63" t="str">
        <f>IFERROR(__xludf.DUMMYFUNCTION("""COMPUTED_VALUE"""),"https://earth.google.com/web/search/-30.9004755191971,-5.5541624112458")</f>
        <v>https://earth.google.com/web/search/-30.9004755191971,-5.5541624112458</v>
      </c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</row>
    <row r="759">
      <c r="A759" s="65" t="str">
        <f>IFERROR(__xludf.DUMMYFUNCTION("""COMPUTED_VALUE"""),"-30.9004281990633")</f>
        <v>-30.9004281990633</v>
      </c>
      <c r="B759" s="66" t="str">
        <f>IFERROR(__xludf.DUMMYFUNCTION("""COMPUTED_VALUE"""),"-55.5415850919365")</f>
        <v>-55.5415850919365</v>
      </c>
      <c r="C759" s="66">
        <f>IFERROR(__xludf.DUMMYFUNCTION("""COMPUTED_VALUE"""),1.0)</f>
        <v>1</v>
      </c>
      <c r="D759" s="66">
        <f>IFERROR(__xludf.DUMMYFUNCTION("""COMPUTED_VALUE"""),227.0)</f>
        <v>227</v>
      </c>
      <c r="E759" s="66">
        <f>IFERROR(__xludf.DUMMYFUNCTION("""COMPUTED_VALUE"""),7.0)</f>
        <v>7</v>
      </c>
      <c r="F759" s="67" t="str">
        <f>IFERROR(__xludf.DUMMYFUNCTION("""COMPUTED_VALUE"""),"https://www.google.com/maps/search/?api=1&amp;query=-30.9004281990633,-55.5415850919365")</f>
        <v>https://www.google.com/maps/search/?api=1&amp;query=-30.9004281990633,-55.5415850919365</v>
      </c>
      <c r="G759" s="68" t="str">
        <f>IFERROR(__xludf.DUMMYFUNCTION("""COMPUTED_VALUE"""),"https://earth.google.com/web/search/-30.9004281990633,-55.5415850919365")</f>
        <v>https://earth.google.com/web/search/-30.9004281990633,-55.5415850919365</v>
      </c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64"/>
    </row>
    <row r="760">
      <c r="A760" s="69" t="str">
        <f>IFERROR(__xludf.DUMMYFUNCTION("""COMPUTED_VALUE"""),"-30.8999419856801")</f>
        <v>-30.8999419856801</v>
      </c>
      <c r="B760" s="61" t="str">
        <f>IFERROR(__xludf.DUMMYFUNCTION("""COMPUTED_VALUE"""),"-5.5542017620993")</f>
        <v>-5.5542017620993</v>
      </c>
      <c r="C760" s="61">
        <f>IFERROR(__xludf.DUMMYFUNCTION("""COMPUTED_VALUE"""),1.0)</f>
        <v>1</v>
      </c>
      <c r="D760" s="61">
        <f>IFERROR(__xludf.DUMMYFUNCTION("""COMPUTED_VALUE"""),227.0)</f>
        <v>227</v>
      </c>
      <c r="E760" s="61">
        <f>IFERROR(__xludf.DUMMYFUNCTION("""COMPUTED_VALUE"""),8.0)</f>
        <v>8</v>
      </c>
      <c r="F760" s="62" t="str">
        <f>IFERROR(__xludf.DUMMYFUNCTION("""COMPUTED_VALUE"""),"https://www.google.com/maps/search/?api=1&amp;query=-30.8999419856801,-5.5542017620993")</f>
        <v>https://www.google.com/maps/search/?api=1&amp;query=-30.8999419856801,-5.5542017620993</v>
      </c>
      <c r="G760" s="63" t="str">
        <f>IFERROR(__xludf.DUMMYFUNCTION("""COMPUTED_VALUE"""),"https://earth.google.com/web/search/-30.8999419856801,-5.5542017620993")</f>
        <v>https://earth.google.com/web/search/-30.8999419856801,-5.5542017620993</v>
      </c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64"/>
    </row>
    <row r="761">
      <c r="A761" s="65" t="str">
        <f>IFERROR(__xludf.DUMMYFUNCTION("""COMPUTED_VALUE"""),"-30.8998875151561")</f>
        <v>-30.8998875151561</v>
      </c>
      <c r="B761" s="66" t="str">
        <f>IFERROR(__xludf.DUMMYFUNCTION("""COMPUTED_VALUE"""),"-55.5423478241849")</f>
        <v>-55.5423478241849</v>
      </c>
      <c r="C761" s="66">
        <f>IFERROR(__xludf.DUMMYFUNCTION("""COMPUTED_VALUE"""),1.0)</f>
        <v>1</v>
      </c>
      <c r="D761" s="66">
        <f>IFERROR(__xludf.DUMMYFUNCTION("""COMPUTED_VALUE"""),227.0)</f>
        <v>227</v>
      </c>
      <c r="E761" s="66">
        <f>IFERROR(__xludf.DUMMYFUNCTION("""COMPUTED_VALUE"""),9.0)</f>
        <v>9</v>
      </c>
      <c r="F761" s="67" t="str">
        <f>IFERROR(__xludf.DUMMYFUNCTION("""COMPUTED_VALUE"""),"https://www.google.com/maps/search/?api=1&amp;query=-30.8998875151561,-55.5423478241849")</f>
        <v>https://www.google.com/maps/search/?api=1&amp;query=-30.8998875151561,-55.5423478241849</v>
      </c>
      <c r="G761" s="68" t="str">
        <f>IFERROR(__xludf.DUMMYFUNCTION("""COMPUTED_VALUE"""),"https://earth.google.com/web/search/-30.8998875151561,-55.5423478241849")</f>
        <v>https://earth.google.com/web/search/-30.8998875151561,-55.5423478241849</v>
      </c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</row>
    <row r="762">
      <c r="A762" s="69" t="str">
        <f>IFERROR(__xludf.DUMMYFUNCTION("""COMPUTED_VALUE"""),"-30.8999275772658")</f>
        <v>-30.8999275772658</v>
      </c>
      <c r="B762" s="61" t="str">
        <f>IFERROR(__xludf.DUMMYFUNCTION("""COMPUTED_VALUE"""),"-55.5423922898504")</f>
        <v>-55.5423922898504</v>
      </c>
      <c r="C762" s="61">
        <f>IFERROR(__xludf.DUMMYFUNCTION("""COMPUTED_VALUE"""),1.0)</f>
        <v>1</v>
      </c>
      <c r="D762" s="61">
        <f>IFERROR(__xludf.DUMMYFUNCTION("""COMPUTED_VALUE"""),227.0)</f>
        <v>227</v>
      </c>
      <c r="E762" s="61">
        <f>IFERROR(__xludf.DUMMYFUNCTION("""COMPUTED_VALUE"""),10.0)</f>
        <v>10</v>
      </c>
      <c r="F762" s="62" t="str">
        <f>IFERROR(__xludf.DUMMYFUNCTION("""COMPUTED_VALUE"""),"https://www.google.com/maps/search/?api=1&amp;query=-30.8999275772658,-55.5423922898504")</f>
        <v>https://www.google.com/maps/search/?api=1&amp;query=-30.8999275772658,-55.5423922898504</v>
      </c>
      <c r="G762" s="63" t="str">
        <f>IFERROR(__xludf.DUMMYFUNCTION("""COMPUTED_VALUE"""),"https://earth.google.com/web/search/-30.8999275772658,-55.5423922898504")</f>
        <v>https://earth.google.com/web/search/-30.8999275772658,-55.5423922898504</v>
      </c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</row>
    <row r="763">
      <c r="A763" s="65" t="str">
        <f>IFERROR(__xludf.DUMMYFUNCTION("""COMPUTED_VALUE"""),"-30.9000641168067")</f>
        <v>-30.9000641168067</v>
      </c>
      <c r="B763" s="66" t="str">
        <f>IFERROR(__xludf.DUMMYFUNCTION("""COMPUTED_VALUE"""),"-55.5424767038438")</f>
        <v>-55.5424767038438</v>
      </c>
      <c r="C763" s="66">
        <f>IFERROR(__xludf.DUMMYFUNCTION("""COMPUTED_VALUE"""),1.0)</f>
        <v>1</v>
      </c>
      <c r="D763" s="66">
        <f>IFERROR(__xludf.DUMMYFUNCTION("""COMPUTED_VALUE"""),227.0)</f>
        <v>227</v>
      </c>
      <c r="E763" s="66">
        <f>IFERROR(__xludf.DUMMYFUNCTION("""COMPUTED_VALUE"""),11.0)</f>
        <v>11</v>
      </c>
      <c r="F763" s="67" t="str">
        <f>IFERROR(__xludf.DUMMYFUNCTION("""COMPUTED_VALUE"""),"https://www.google.com/maps/search/?api=1&amp;query=-30.9000641168067,-55.5424767038438")</f>
        <v>https://www.google.com/maps/search/?api=1&amp;query=-30.9000641168067,-55.5424767038438</v>
      </c>
      <c r="G763" s="68" t="str">
        <f>IFERROR(__xludf.DUMMYFUNCTION("""COMPUTED_VALUE"""),"https://earth.google.com/web/search/-30.9000641168067,-55.5424767038438")</f>
        <v>https://earth.google.com/web/search/-30.9000641168067,-55.5424767038438</v>
      </c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</row>
    <row r="764">
      <c r="A764" s="69" t="str">
        <f>IFERROR(__xludf.DUMMYFUNCTION("""COMPUTED_VALUE"""),"-30.9001695548425")</f>
        <v>-30.9001695548425</v>
      </c>
      <c r="B764" s="61" t="str">
        <f>IFERROR(__xludf.DUMMYFUNCTION("""COMPUTED_VALUE"""),"-0.0055542532895")</f>
        <v>-0.0055542532895</v>
      </c>
      <c r="C764" s="61">
        <f>IFERROR(__xludf.DUMMYFUNCTION("""COMPUTED_VALUE"""),1.0)</f>
        <v>1</v>
      </c>
      <c r="D764" s="61">
        <f>IFERROR(__xludf.DUMMYFUNCTION("""COMPUTED_VALUE"""),227.0)</f>
        <v>227</v>
      </c>
      <c r="E764" s="61">
        <f>IFERROR(__xludf.DUMMYFUNCTION("""COMPUTED_VALUE"""),12.0)</f>
        <v>12</v>
      </c>
      <c r="F764" s="62" t="str">
        <f>IFERROR(__xludf.DUMMYFUNCTION("""COMPUTED_VALUE"""),"https://www.google.com/maps/search/?api=1&amp;query=-30.9001695548425,-0.0055542532895")</f>
        <v>https://www.google.com/maps/search/?api=1&amp;query=-30.9001695548425,-0.0055542532895</v>
      </c>
      <c r="G764" s="63" t="str">
        <f>IFERROR(__xludf.DUMMYFUNCTION("""COMPUTED_VALUE"""),"https://earth.google.com/web/search/-30.9001695548425,-0.0055542532895")</f>
        <v>https://earth.google.com/web/search/-30.9001695548425,-0.0055542532895</v>
      </c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</row>
    <row r="765">
      <c r="A765" s="65" t="str">
        <f>IFERROR(__xludf.DUMMYFUNCTION("""COMPUTED_VALUE"""),"-30.9002272693687")</f>
        <v>-30.9002272693687</v>
      </c>
      <c r="B765" s="66" t="str">
        <f>IFERROR(__xludf.DUMMYFUNCTION("""COMPUTED_VALUE"""),"-55.5425818282632")</f>
        <v>-55.5425818282632</v>
      </c>
      <c r="C765" s="66">
        <f>IFERROR(__xludf.DUMMYFUNCTION("""COMPUTED_VALUE"""),1.0)</f>
        <v>1</v>
      </c>
      <c r="D765" s="66">
        <f>IFERROR(__xludf.DUMMYFUNCTION("""COMPUTED_VALUE"""),227.0)</f>
        <v>227</v>
      </c>
      <c r="E765" s="66">
        <f>IFERROR(__xludf.DUMMYFUNCTION("""COMPUTED_VALUE"""),13.0)</f>
        <v>13</v>
      </c>
      <c r="F765" s="67" t="str">
        <f>IFERROR(__xludf.DUMMYFUNCTION("""COMPUTED_VALUE"""),"https://www.google.com/maps/search/?api=1&amp;query=-30.9002272693687,-55.5425818282632")</f>
        <v>https://www.google.com/maps/search/?api=1&amp;query=-30.9002272693687,-55.5425818282632</v>
      </c>
      <c r="G765" s="68" t="str">
        <f>IFERROR(__xludf.DUMMYFUNCTION("""COMPUTED_VALUE"""),"https://earth.google.com/web/search/-30.9002272693687,-55.5425818282632")</f>
        <v>https://earth.google.com/web/search/-30.9002272693687,-55.5425818282632</v>
      </c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</row>
    <row r="766">
      <c r="A766" s="69" t="str">
        <f>IFERROR(__xludf.DUMMYFUNCTION("""COMPUTED_VALUE"""),"-3.0900292049608")</f>
        <v>-3.0900292049608</v>
      </c>
      <c r="B766" s="61" t="str">
        <f>IFERROR(__xludf.DUMMYFUNCTION("""COMPUTED_VALUE"""),"-55.5426225522118")</f>
        <v>-55.5426225522118</v>
      </c>
      <c r="C766" s="61">
        <f>IFERROR(__xludf.DUMMYFUNCTION("""COMPUTED_VALUE"""),1.0)</f>
        <v>1</v>
      </c>
      <c r="D766" s="61">
        <f>IFERROR(__xludf.DUMMYFUNCTION("""COMPUTED_VALUE"""),227.0)</f>
        <v>227</v>
      </c>
      <c r="E766" s="61">
        <f>IFERROR(__xludf.DUMMYFUNCTION("""COMPUTED_VALUE"""),14.0)</f>
        <v>14</v>
      </c>
      <c r="F766" s="62" t="str">
        <f>IFERROR(__xludf.DUMMYFUNCTION("""COMPUTED_VALUE"""),"https://www.google.com/maps/search/?api=1&amp;query=-3.0900292049608,-55.5426225522118")</f>
        <v>https://www.google.com/maps/search/?api=1&amp;query=-3.0900292049608,-55.5426225522118</v>
      </c>
      <c r="G766" s="63" t="str">
        <f>IFERROR(__xludf.DUMMYFUNCTION("""COMPUTED_VALUE"""),"https://earth.google.com/web/search/-3.0900292049608,-55.5426225522118")</f>
        <v>https://earth.google.com/web/search/-3.0900292049608,-55.5426225522118</v>
      </c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64"/>
    </row>
    <row r="767">
      <c r="A767" s="65" t="str">
        <f>IFERROR(__xludf.DUMMYFUNCTION("""COMPUTED_VALUE"""),"-30.9003423724801")</f>
        <v>-30.9003423724801</v>
      </c>
      <c r="B767" s="66" t="str">
        <f>IFERROR(__xludf.DUMMYFUNCTION("""COMPUTED_VALUE"""),"-55.5426626989965")</f>
        <v>-55.5426626989965</v>
      </c>
      <c r="C767" s="66">
        <f>IFERROR(__xludf.DUMMYFUNCTION("""COMPUTED_VALUE"""),1.0)</f>
        <v>1</v>
      </c>
      <c r="D767" s="66">
        <f>IFERROR(__xludf.DUMMYFUNCTION("""COMPUTED_VALUE"""),227.0)</f>
        <v>227</v>
      </c>
      <c r="E767" s="66">
        <f>IFERROR(__xludf.DUMMYFUNCTION("""COMPUTED_VALUE"""),15.0)</f>
        <v>15</v>
      </c>
      <c r="F767" s="67" t="str">
        <f>IFERROR(__xludf.DUMMYFUNCTION("""COMPUTED_VALUE"""),"https://www.google.com/maps/search/?api=1&amp;query=-30.9003423724801,-55.5426626989965")</f>
        <v>https://www.google.com/maps/search/?api=1&amp;query=-30.9003423724801,-55.5426626989965</v>
      </c>
      <c r="G767" s="68" t="str">
        <f>IFERROR(__xludf.DUMMYFUNCTION("""COMPUTED_VALUE"""),"https://earth.google.com/web/search/-30.9003423724801,-55.5426626989965")</f>
        <v>https://earth.google.com/web/search/-30.9003423724801,-55.5426626989965</v>
      </c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</row>
    <row r="768">
      <c r="A768" s="69" t="str">
        <f>IFERROR(__xludf.DUMMYFUNCTION("""COMPUTED_VALUE"""),"-30.9004569502131")</f>
        <v>-30.9004569502131</v>
      </c>
      <c r="B768" s="61" t="str">
        <f>IFERROR(__xludf.DUMMYFUNCTION("""COMPUTED_VALUE"""),"-5.5542748706017")</f>
        <v>-5.5542748706017</v>
      </c>
      <c r="C768" s="61">
        <f>IFERROR(__xludf.DUMMYFUNCTION("""COMPUTED_VALUE"""),1.0)</f>
        <v>1</v>
      </c>
      <c r="D768" s="61">
        <f>IFERROR(__xludf.DUMMYFUNCTION("""COMPUTED_VALUE"""),227.0)</f>
        <v>227</v>
      </c>
      <c r="E768" s="61">
        <f>IFERROR(__xludf.DUMMYFUNCTION("""COMPUTED_VALUE"""),16.0)</f>
        <v>16</v>
      </c>
      <c r="F768" s="62" t="str">
        <f>IFERROR(__xludf.DUMMYFUNCTION("""COMPUTED_VALUE"""),"https://www.google.com/maps/search/?api=1&amp;query=-30.9004569502131,-5.5542748706017")</f>
        <v>https://www.google.com/maps/search/?api=1&amp;query=-30.9004569502131,-5.5542748706017</v>
      </c>
      <c r="G768" s="63" t="str">
        <f>IFERROR(__xludf.DUMMYFUNCTION("""COMPUTED_VALUE"""),"https://earth.google.com/web/search/-30.9004569502131,-5.5542748706017")</f>
        <v>https://earth.google.com/web/search/-30.9004569502131,-5.5542748706017</v>
      </c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</row>
    <row r="769">
      <c r="A769" s="65" t="str">
        <f>IFERROR(__xludf.DUMMYFUNCTION("""COMPUTED_VALUE"""),"-30.9000557152023")</f>
        <v>-30.9000557152023</v>
      </c>
      <c r="B769" s="66" t="str">
        <f>IFERROR(__xludf.DUMMYFUNCTION("""COMPUTED_VALUE"""),"-5.5543596908436")</f>
        <v>-5.5543596908436</v>
      </c>
      <c r="C769" s="66">
        <f>IFERROR(__xludf.DUMMYFUNCTION("""COMPUTED_VALUE"""),1.0)</f>
        <v>1</v>
      </c>
      <c r="D769" s="66">
        <f>IFERROR(__xludf.DUMMYFUNCTION("""COMPUTED_VALUE"""),226.0)</f>
        <v>226</v>
      </c>
      <c r="E769" s="66">
        <f>IFERROR(__xludf.DUMMYFUNCTION("""COMPUTED_VALUE"""),1.0)</f>
        <v>1</v>
      </c>
      <c r="F769" s="67" t="str">
        <f>IFERROR(__xludf.DUMMYFUNCTION("""COMPUTED_VALUE"""),"https://www.google.com/maps/search/?api=1&amp;query=-30.9000557152023,-5.5543596908436")</f>
        <v>https://www.google.com/maps/search/?api=1&amp;query=-30.9000557152023,-5.5543596908436</v>
      </c>
      <c r="G769" s="68" t="str">
        <f>IFERROR(__xludf.DUMMYFUNCTION("""COMPUTED_VALUE"""),"https://earth.google.com/web/search/-30.9000557152023,-5.5543596908436")</f>
        <v>https://earth.google.com/web/search/-30.9000557152023,-5.5543596908436</v>
      </c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</row>
    <row r="770">
      <c r="A770" s="69" t="str">
        <f>IFERROR(__xludf.DUMMYFUNCTION("""COMPUTED_VALUE"""),"-30.9000818271328")</f>
        <v>-30.9000818271328</v>
      </c>
      <c r="B770" s="61" t="str">
        <f>IFERROR(__xludf.DUMMYFUNCTION("""COMPUTED_VALUE"""),"-55.5435383029935")</f>
        <v>-55.5435383029935</v>
      </c>
      <c r="C770" s="61">
        <f>IFERROR(__xludf.DUMMYFUNCTION("""COMPUTED_VALUE"""),1.0)</f>
        <v>1</v>
      </c>
      <c r="D770" s="61">
        <f>IFERROR(__xludf.DUMMYFUNCTION("""COMPUTED_VALUE"""),226.0)</f>
        <v>226</v>
      </c>
      <c r="E770" s="61">
        <f>IFERROR(__xludf.DUMMYFUNCTION("""COMPUTED_VALUE"""),2.0)</f>
        <v>2</v>
      </c>
      <c r="F770" s="62" t="str">
        <f>IFERROR(__xludf.DUMMYFUNCTION("""COMPUTED_VALUE"""),"https://www.google.com/maps/search/?api=1&amp;query=-30.9000818271328,-55.5435383029935")</f>
        <v>https://www.google.com/maps/search/?api=1&amp;query=-30.9000818271328,-55.5435383029935</v>
      </c>
      <c r="G770" s="63" t="str">
        <f>IFERROR(__xludf.DUMMYFUNCTION("""COMPUTED_VALUE"""),"https://earth.google.com/web/search/-30.9000818271328,-55.5435383029935")</f>
        <v>https://earth.google.com/web/search/-30.9000818271328,-55.5435383029935</v>
      </c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</row>
    <row r="771">
      <c r="A771" s="65" t="str">
        <f>IFERROR(__xludf.DUMMYFUNCTION("""COMPUTED_VALUE"""),"-30.9001199773017")</f>
        <v>-30.9001199773017</v>
      </c>
      <c r="B771" s="66" t="str">
        <f>IFERROR(__xludf.DUMMYFUNCTION("""COMPUTED_VALUE"""),"-55.5434508454055")</f>
        <v>-55.5434508454055</v>
      </c>
      <c r="C771" s="66">
        <f>IFERROR(__xludf.DUMMYFUNCTION("""COMPUTED_VALUE"""),1.0)</f>
        <v>1</v>
      </c>
      <c r="D771" s="66">
        <f>IFERROR(__xludf.DUMMYFUNCTION("""COMPUTED_VALUE"""),226.0)</f>
        <v>226</v>
      </c>
      <c r="E771" s="66">
        <f>IFERROR(__xludf.DUMMYFUNCTION("""COMPUTED_VALUE"""),3.0)</f>
        <v>3</v>
      </c>
      <c r="F771" s="67" t="str">
        <f>IFERROR(__xludf.DUMMYFUNCTION("""COMPUTED_VALUE"""),"https://www.google.com/maps/search/?api=1&amp;query=-30.9001199773017,-55.5434508454055")</f>
        <v>https://www.google.com/maps/search/?api=1&amp;query=-30.9001199773017,-55.5434508454055</v>
      </c>
      <c r="G771" s="68" t="str">
        <f>IFERROR(__xludf.DUMMYFUNCTION("""COMPUTED_VALUE"""),"https://earth.google.com/web/search/-30.9001199773017,-55.5434508454055")</f>
        <v>https://earth.google.com/web/search/-30.9001199773017,-55.5434508454055</v>
      </c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</row>
    <row r="772">
      <c r="A772" s="69" t="str">
        <f>IFERROR(__xludf.DUMMYFUNCTION("""COMPUTED_VALUE"""),"-30.9001522224157")</f>
        <v>-30.9001522224157</v>
      </c>
      <c r="B772" s="61" t="str">
        <f>IFERROR(__xludf.DUMMYFUNCTION("""COMPUTED_VALUE"""),"-55.5433893970433")</f>
        <v>-55.5433893970433</v>
      </c>
      <c r="C772" s="61">
        <f>IFERROR(__xludf.DUMMYFUNCTION("""COMPUTED_VALUE"""),1.0)</f>
        <v>1</v>
      </c>
      <c r="D772" s="61">
        <f>IFERROR(__xludf.DUMMYFUNCTION("""COMPUTED_VALUE"""),226.0)</f>
        <v>226</v>
      </c>
      <c r="E772" s="61">
        <f>IFERROR(__xludf.DUMMYFUNCTION("""COMPUTED_VALUE"""),4.0)</f>
        <v>4</v>
      </c>
      <c r="F772" s="62" t="str">
        <f>IFERROR(__xludf.DUMMYFUNCTION("""COMPUTED_VALUE"""),"https://www.google.com/maps/search/?api=1&amp;query=-30.9001522224157,-55.5433893970433")</f>
        <v>https://www.google.com/maps/search/?api=1&amp;query=-30.9001522224157,-55.5433893970433</v>
      </c>
      <c r="G772" s="63" t="str">
        <f>IFERROR(__xludf.DUMMYFUNCTION("""COMPUTED_VALUE"""),"https://earth.google.com/web/search/-30.9001522224157,-55.5433893970433")</f>
        <v>https://earth.google.com/web/search/-30.9001522224157,-55.5433893970433</v>
      </c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</row>
    <row r="773">
      <c r="A773" s="65" t="str">
        <f>IFERROR(__xludf.DUMMYFUNCTION("""COMPUTED_VALUE"""),"-30.9001949240365")</f>
        <v>-30.9001949240365</v>
      </c>
      <c r="B773" s="66" t="str">
        <f>IFERROR(__xludf.DUMMYFUNCTION("""COMPUTED_VALUE"""),"-55.5433208050701")</f>
        <v>-55.5433208050701</v>
      </c>
      <c r="C773" s="66">
        <f>IFERROR(__xludf.DUMMYFUNCTION("""COMPUTED_VALUE"""),1.0)</f>
        <v>1</v>
      </c>
      <c r="D773" s="66">
        <f>IFERROR(__xludf.DUMMYFUNCTION("""COMPUTED_VALUE"""),226.0)</f>
        <v>226</v>
      </c>
      <c r="E773" s="66">
        <f>IFERROR(__xludf.DUMMYFUNCTION("""COMPUTED_VALUE"""),5.0)</f>
        <v>5</v>
      </c>
      <c r="F773" s="67" t="str">
        <f>IFERROR(__xludf.DUMMYFUNCTION("""COMPUTED_VALUE"""),"https://www.google.com/maps/search/?api=1&amp;query=-30.9001949240365,-55.5433208050701")</f>
        <v>https://www.google.com/maps/search/?api=1&amp;query=-30.9001949240365,-55.5433208050701</v>
      </c>
      <c r="G773" s="68" t="str">
        <f>IFERROR(__xludf.DUMMYFUNCTION("""COMPUTED_VALUE"""),"https://earth.google.com/web/search/-30.9001949240365,-55.5433208050701")</f>
        <v>https://earth.google.com/web/search/-30.9001949240365,-55.5433208050701</v>
      </c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</row>
    <row r="774">
      <c r="A774" s="69" t="str">
        <f>IFERROR(__xludf.DUMMYFUNCTION("""COMPUTED_VALUE"""),"-30.9002463323139")</f>
        <v>-30.9002463323139</v>
      </c>
      <c r="B774" s="61" t="str">
        <f>IFERROR(__xludf.DUMMYFUNCTION("""COMPUTED_VALUE"""),"-55.5432493406334")</f>
        <v>-55.5432493406334</v>
      </c>
      <c r="C774" s="61">
        <f>IFERROR(__xludf.DUMMYFUNCTION("""COMPUTED_VALUE"""),1.0)</f>
        <v>1</v>
      </c>
      <c r="D774" s="61">
        <f>IFERROR(__xludf.DUMMYFUNCTION("""COMPUTED_VALUE"""),226.0)</f>
        <v>226</v>
      </c>
      <c r="E774" s="61">
        <f>IFERROR(__xludf.DUMMYFUNCTION("""COMPUTED_VALUE"""),6.0)</f>
        <v>6</v>
      </c>
      <c r="F774" s="62" t="str">
        <f>IFERROR(__xludf.DUMMYFUNCTION("""COMPUTED_VALUE"""),"https://www.google.com/maps/search/?api=1&amp;query=-30.9002463323139,-55.5432493406334")</f>
        <v>https://www.google.com/maps/search/?api=1&amp;query=-30.9002463323139,-55.5432493406334</v>
      </c>
      <c r="G774" s="63" t="str">
        <f>IFERROR(__xludf.DUMMYFUNCTION("""COMPUTED_VALUE"""),"https://earth.google.com/web/search/-30.9002463323139,-55.5432493406334")</f>
        <v>https://earth.google.com/web/search/-30.9002463323139,-55.5432493406334</v>
      </c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</row>
    <row r="775">
      <c r="A775" s="65" t="str">
        <f>IFERROR(__xludf.DUMMYFUNCTION("""COMPUTED_VALUE"""),"-30.9004071155209")</f>
        <v>-30.9004071155209</v>
      </c>
      <c r="B775" s="66" t="str">
        <f>IFERROR(__xludf.DUMMYFUNCTION("""COMPUTED_VALUE"""),"-55.5428444748594")</f>
        <v>-55.5428444748594</v>
      </c>
      <c r="C775" s="66">
        <f>IFERROR(__xludf.DUMMYFUNCTION("""COMPUTED_VALUE"""),1.0)</f>
        <v>1</v>
      </c>
      <c r="D775" s="66">
        <f>IFERROR(__xludf.DUMMYFUNCTION("""COMPUTED_VALUE"""),226.0)</f>
        <v>226</v>
      </c>
      <c r="E775" s="66">
        <f>IFERROR(__xludf.DUMMYFUNCTION("""COMPUTED_VALUE"""),7.0)</f>
        <v>7</v>
      </c>
      <c r="F775" s="67" t="str">
        <f>IFERROR(__xludf.DUMMYFUNCTION("""COMPUTED_VALUE"""),"https://www.google.com/maps/search/?api=1&amp;query=-30.9004071155209,-55.5428444748594")</f>
        <v>https://www.google.com/maps/search/?api=1&amp;query=-30.9004071155209,-55.5428444748594</v>
      </c>
      <c r="G775" s="68" t="str">
        <f>IFERROR(__xludf.DUMMYFUNCTION("""COMPUTED_VALUE"""),"https://earth.google.com/web/search/-30.9004071155209,-55.5428444748594")</f>
        <v>https://earth.google.com/web/search/-30.9004071155209,-55.5428444748594</v>
      </c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64"/>
    </row>
    <row r="776">
      <c r="A776" s="69" t="str">
        <f>IFERROR(__xludf.DUMMYFUNCTION("""COMPUTED_VALUE"""),"-3.0899822779156")</f>
        <v>-3.0899822779156</v>
      </c>
      <c r="B776" s="61" t="str">
        <f>IFERROR(__xludf.DUMMYFUNCTION("""COMPUTED_VALUE"""),"-55.5424258122958")</f>
        <v>-55.5424258122958</v>
      </c>
      <c r="C776" s="61">
        <f>IFERROR(__xludf.DUMMYFUNCTION("""COMPUTED_VALUE"""),1.0)</f>
        <v>1</v>
      </c>
      <c r="D776" s="61">
        <f>IFERROR(__xludf.DUMMYFUNCTION("""COMPUTED_VALUE"""),226.0)</f>
        <v>226</v>
      </c>
      <c r="E776" s="61">
        <f>IFERROR(__xludf.DUMMYFUNCTION("""COMPUTED_VALUE"""),8.0)</f>
        <v>8</v>
      </c>
      <c r="F776" s="62" t="str">
        <f>IFERROR(__xludf.DUMMYFUNCTION("""COMPUTED_VALUE"""),"https://www.google.com/maps/search/?api=1&amp;query=-3.0899822779156,-55.5424258122958")</f>
        <v>https://www.google.com/maps/search/?api=1&amp;query=-3.0899822779156,-55.5424258122958</v>
      </c>
      <c r="G776" s="63" t="str">
        <f>IFERROR(__xludf.DUMMYFUNCTION("""COMPUTED_VALUE"""),"https://earth.google.com/web/search/-3.0899822779156,-55.5424258122958")</f>
        <v>https://earth.google.com/web/search/-3.0899822779156,-55.5424258122958</v>
      </c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</row>
    <row r="777">
      <c r="A777" s="65" t="str">
        <f>IFERROR(__xludf.DUMMYFUNCTION("""COMPUTED_VALUE"""),"-30.8996143338304")</f>
        <v>-30.8996143338304</v>
      </c>
      <c r="B777" s="66" t="str">
        <f>IFERROR(__xludf.DUMMYFUNCTION("""COMPUTED_VALUE"""),"-55.5426010715545")</f>
        <v>-55.5426010715545</v>
      </c>
      <c r="C777" s="66">
        <f>IFERROR(__xludf.DUMMYFUNCTION("""COMPUTED_VALUE"""),1.0)</f>
        <v>1</v>
      </c>
      <c r="D777" s="66">
        <f>IFERROR(__xludf.DUMMYFUNCTION("""COMPUTED_VALUE"""),226.0)</f>
        <v>226</v>
      </c>
      <c r="E777" s="66">
        <f>IFERROR(__xludf.DUMMYFUNCTION("""COMPUTED_VALUE"""),9.0)</f>
        <v>9</v>
      </c>
      <c r="F777" s="67" t="str">
        <f>IFERROR(__xludf.DUMMYFUNCTION("""COMPUTED_VALUE"""),"https://www.google.com/maps/search/?api=1&amp;query=-30.8996143338304,-55.5426010715545")</f>
        <v>https://www.google.com/maps/search/?api=1&amp;query=-30.8996143338304,-55.5426010715545</v>
      </c>
      <c r="G777" s="68" t="str">
        <f>IFERROR(__xludf.DUMMYFUNCTION("""COMPUTED_VALUE"""),"https://earth.google.com/web/search/-30.8996143338304,-55.5426010715545")</f>
        <v>https://earth.google.com/web/search/-30.8996143338304,-55.5426010715545</v>
      </c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</row>
    <row r="778">
      <c r="A778" s="69" t="str">
        <f>IFERROR(__xludf.DUMMYFUNCTION("""COMPUTED_VALUE"""),"-30.8995674604156")</f>
        <v>-30.8995674604156</v>
      </c>
      <c r="B778" s="61" t="str">
        <f>IFERROR(__xludf.DUMMYFUNCTION("""COMPUTED_VALUE"""),"-55.5426926172519")</f>
        <v>-55.5426926172519</v>
      </c>
      <c r="C778" s="61">
        <f>IFERROR(__xludf.DUMMYFUNCTION("""COMPUTED_VALUE"""),1.0)</f>
        <v>1</v>
      </c>
      <c r="D778" s="61">
        <f>IFERROR(__xludf.DUMMYFUNCTION("""COMPUTED_VALUE"""),226.0)</f>
        <v>226</v>
      </c>
      <c r="E778" s="61">
        <f>IFERROR(__xludf.DUMMYFUNCTION("""COMPUTED_VALUE"""),10.0)</f>
        <v>10</v>
      </c>
      <c r="F778" s="62" t="str">
        <f>IFERROR(__xludf.DUMMYFUNCTION("""COMPUTED_VALUE"""),"https://www.google.com/maps/search/?api=1&amp;query=-30.8995674604156,-55.5426926172519")</f>
        <v>https://www.google.com/maps/search/?api=1&amp;query=-30.8995674604156,-55.5426926172519</v>
      </c>
      <c r="G778" s="63" t="str">
        <f>IFERROR(__xludf.DUMMYFUNCTION("""COMPUTED_VALUE"""),"https://earth.google.com/web/search/-30.8995674604156,-55.5426926172519")</f>
        <v>https://earth.google.com/web/search/-30.8995674604156,-55.5426926172519</v>
      </c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64"/>
    </row>
    <row r="779">
      <c r="A779" s="65" t="str">
        <f>IFERROR(__xludf.DUMMYFUNCTION("""COMPUTED_VALUE"""),"-30.8994455883459")</f>
        <v>-30.8994455883459</v>
      </c>
      <c r="B779" s="66" t="str">
        <f>IFERROR(__xludf.DUMMYFUNCTION("""COMPUTED_VALUE"""),"-55.5429195015559")</f>
        <v>-55.5429195015559</v>
      </c>
      <c r="C779" s="66">
        <f>IFERROR(__xludf.DUMMYFUNCTION("""COMPUTED_VALUE"""),1.0)</f>
        <v>1</v>
      </c>
      <c r="D779" s="66">
        <f>IFERROR(__xludf.DUMMYFUNCTION("""COMPUTED_VALUE"""),226.0)</f>
        <v>226</v>
      </c>
      <c r="E779" s="66">
        <f>IFERROR(__xludf.DUMMYFUNCTION("""COMPUTED_VALUE"""),11.0)</f>
        <v>11</v>
      </c>
      <c r="F779" s="67" t="str">
        <f>IFERROR(__xludf.DUMMYFUNCTION("""COMPUTED_VALUE"""),"https://www.google.com/maps/search/?api=1&amp;query=-30.8994455883459,-55.5429195015559")</f>
        <v>https://www.google.com/maps/search/?api=1&amp;query=-30.8994455883459,-55.5429195015559</v>
      </c>
      <c r="G779" s="68" t="str">
        <f>IFERROR(__xludf.DUMMYFUNCTION("""COMPUTED_VALUE"""),"https://earth.google.com/web/search/-30.8994455883459,-55.5429195015559")</f>
        <v>https://earth.google.com/web/search/-30.8994455883459,-55.5429195015559</v>
      </c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</row>
    <row r="780">
      <c r="A780" s="69" t="str">
        <f>IFERROR(__xludf.DUMMYFUNCTION("""COMPUTED_VALUE"""),"-30.8993140688432")</f>
        <v>-30.8993140688432</v>
      </c>
      <c r="B780" s="61" t="str">
        <f>IFERROR(__xludf.DUMMYFUNCTION("""COMPUTED_VALUE"""),"-55.5431160372795")</f>
        <v>-55.5431160372795</v>
      </c>
      <c r="C780" s="61">
        <f>IFERROR(__xludf.DUMMYFUNCTION("""COMPUTED_VALUE"""),1.0)</f>
        <v>1</v>
      </c>
      <c r="D780" s="61">
        <f>IFERROR(__xludf.DUMMYFUNCTION("""COMPUTED_VALUE"""),226.0)</f>
        <v>226</v>
      </c>
      <c r="E780" s="61">
        <f>IFERROR(__xludf.DUMMYFUNCTION("""COMPUTED_VALUE"""),12.0)</f>
        <v>12</v>
      </c>
      <c r="F780" s="62" t="str">
        <f>IFERROR(__xludf.DUMMYFUNCTION("""COMPUTED_VALUE"""),"https://www.google.com/maps/search/?api=1&amp;query=-30.8993140688432,-55.5431160372795")</f>
        <v>https://www.google.com/maps/search/?api=1&amp;query=-30.8993140688432,-55.5431160372795</v>
      </c>
      <c r="G780" s="63" t="str">
        <f>IFERROR(__xludf.DUMMYFUNCTION("""COMPUTED_VALUE"""),"https://earth.google.com/web/search/-30.8993140688432,-55.5431160372795")</f>
        <v>https://earth.google.com/web/search/-30.8993140688432,-55.5431160372795</v>
      </c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</row>
    <row r="781">
      <c r="A781" s="65" t="str">
        <f>IFERROR(__xludf.DUMMYFUNCTION("""COMPUTED_VALUE"""),"-30.8993379956749")</f>
        <v>-30.8993379956749</v>
      </c>
      <c r="B781" s="66" t="str">
        <f>IFERROR(__xludf.DUMMYFUNCTION("""COMPUTED_VALUE"""),"-55.5431853408385")</f>
        <v>-55.5431853408385</v>
      </c>
      <c r="C781" s="66">
        <f>IFERROR(__xludf.DUMMYFUNCTION("""COMPUTED_VALUE"""),1.0)</f>
        <v>1</v>
      </c>
      <c r="D781" s="66">
        <f>IFERROR(__xludf.DUMMYFUNCTION("""COMPUTED_VALUE"""),226.0)</f>
        <v>226</v>
      </c>
      <c r="E781" s="66">
        <f>IFERROR(__xludf.DUMMYFUNCTION("""COMPUTED_VALUE"""),13.0)</f>
        <v>13</v>
      </c>
      <c r="F781" s="67" t="str">
        <f>IFERROR(__xludf.DUMMYFUNCTION("""COMPUTED_VALUE"""),"https://www.google.com/maps/search/?api=1&amp;query=-30.8993379956749,-55.5431853408385")</f>
        <v>https://www.google.com/maps/search/?api=1&amp;query=-30.8993379956749,-55.5431853408385</v>
      </c>
      <c r="G781" s="68" t="str">
        <f>IFERROR(__xludf.DUMMYFUNCTION("""COMPUTED_VALUE"""),"https://earth.google.com/web/search/-30.8993379956749,-55.5431853408385")</f>
        <v>https://earth.google.com/web/search/-30.8993379956749,-55.5431853408385</v>
      </c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</row>
    <row r="782">
      <c r="A782" s="69" t="str">
        <f>IFERROR(__xludf.DUMMYFUNCTION("""COMPUTED_VALUE"""),"-30.8994064983025")</f>
        <v>-30.8994064983025</v>
      </c>
      <c r="B782" s="61" t="str">
        <f>IFERROR(__xludf.DUMMYFUNCTION("""COMPUTED_VALUE"""),"-55.5432540811909")</f>
        <v>-55.5432540811909</v>
      </c>
      <c r="C782" s="61">
        <f>IFERROR(__xludf.DUMMYFUNCTION("""COMPUTED_VALUE"""),1.0)</f>
        <v>1</v>
      </c>
      <c r="D782" s="61">
        <f>IFERROR(__xludf.DUMMYFUNCTION("""COMPUTED_VALUE"""),226.0)</f>
        <v>226</v>
      </c>
      <c r="E782" s="61">
        <f>IFERROR(__xludf.DUMMYFUNCTION("""COMPUTED_VALUE"""),14.0)</f>
        <v>14</v>
      </c>
      <c r="F782" s="62" t="str">
        <f>IFERROR(__xludf.DUMMYFUNCTION("""COMPUTED_VALUE"""),"https://www.google.com/maps/search/?api=1&amp;query=-30.8994064983025,-55.5432540811909")</f>
        <v>https://www.google.com/maps/search/?api=1&amp;query=-30.8994064983025,-55.5432540811909</v>
      </c>
      <c r="G782" s="63" t="str">
        <f>IFERROR(__xludf.DUMMYFUNCTION("""COMPUTED_VALUE"""),"https://earth.google.com/web/search/-30.8994064983025,-55.5432540811909")</f>
        <v>https://earth.google.com/web/search/-30.8994064983025,-55.5432540811909</v>
      </c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</row>
    <row r="783">
      <c r="A783" s="65" t="str">
        <f>IFERROR(__xludf.DUMMYFUNCTION("""COMPUTED_VALUE"""),"-30.8994758466852")</f>
        <v>-30.8994758466852</v>
      </c>
      <c r="B783" s="66" t="str">
        <f>IFERROR(__xludf.DUMMYFUNCTION("""COMPUTED_VALUE"""),"-55.5432969824009")</f>
        <v>-55.5432969824009</v>
      </c>
      <c r="C783" s="66">
        <f>IFERROR(__xludf.DUMMYFUNCTION("""COMPUTED_VALUE"""),1.0)</f>
        <v>1</v>
      </c>
      <c r="D783" s="66">
        <f>IFERROR(__xludf.DUMMYFUNCTION("""COMPUTED_VALUE"""),226.0)</f>
        <v>226</v>
      </c>
      <c r="E783" s="66">
        <f>IFERROR(__xludf.DUMMYFUNCTION("""COMPUTED_VALUE"""),15.0)</f>
        <v>15</v>
      </c>
      <c r="F783" s="67" t="str">
        <f>IFERROR(__xludf.DUMMYFUNCTION("""COMPUTED_VALUE"""),"https://www.google.com/maps/search/?api=1&amp;query=-30.8994758466852,-55.5432969824009")</f>
        <v>https://www.google.com/maps/search/?api=1&amp;query=-30.8994758466852,-55.5432969824009</v>
      </c>
      <c r="G783" s="68" t="str">
        <f>IFERROR(__xludf.DUMMYFUNCTION("""COMPUTED_VALUE"""),"https://earth.google.com/web/search/-30.8994758466852,-55.5432969824009")</f>
        <v>https://earth.google.com/web/search/-30.8994758466852,-55.5432969824009</v>
      </c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</row>
    <row r="784">
      <c r="A784" s="69" t="str">
        <f>IFERROR(__xludf.DUMMYFUNCTION("""COMPUTED_VALUE"""),"-30.8995330622534")</f>
        <v>-30.8995330622534</v>
      </c>
      <c r="B784" s="61" t="str">
        <f>IFERROR(__xludf.DUMMYFUNCTION("""COMPUTED_VALUE"""),"-55.5433476496418")</f>
        <v>-55.5433476496418</v>
      </c>
      <c r="C784" s="61">
        <f>IFERROR(__xludf.DUMMYFUNCTION("""COMPUTED_VALUE"""),1.0)</f>
        <v>1</v>
      </c>
      <c r="D784" s="61">
        <f>IFERROR(__xludf.DUMMYFUNCTION("""COMPUTED_VALUE"""),226.0)</f>
        <v>226</v>
      </c>
      <c r="E784" s="61">
        <f>IFERROR(__xludf.DUMMYFUNCTION("""COMPUTED_VALUE"""),16.0)</f>
        <v>16</v>
      </c>
      <c r="F784" s="62" t="str">
        <f>IFERROR(__xludf.DUMMYFUNCTION("""COMPUTED_VALUE"""),"https://www.google.com/maps/search/?api=1&amp;query=-30.8995330622534,-55.5433476496418")</f>
        <v>https://www.google.com/maps/search/?api=1&amp;query=-30.8995330622534,-55.5433476496418</v>
      </c>
      <c r="G784" s="63" t="str">
        <f>IFERROR(__xludf.DUMMYFUNCTION("""COMPUTED_VALUE"""),"https://earth.google.com/web/search/-30.8995330622534,-55.5433476496418")</f>
        <v>https://earth.google.com/web/search/-30.8995330622534,-55.5433476496418</v>
      </c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</row>
    <row r="785">
      <c r="A785" s="65" t="str">
        <f>IFERROR(__xludf.DUMMYFUNCTION("""COMPUTED_VALUE"""),"-30.8996261072775")</f>
        <v>-30.8996261072775</v>
      </c>
      <c r="B785" s="66" t="str">
        <f>IFERROR(__xludf.DUMMYFUNCTION("""COMPUTED_VALUE"""),"-55.5433999588933")</f>
        <v>-55.5433999588933</v>
      </c>
      <c r="C785" s="66">
        <f>IFERROR(__xludf.DUMMYFUNCTION("""COMPUTED_VALUE"""),1.0)</f>
        <v>1</v>
      </c>
      <c r="D785" s="66">
        <f>IFERROR(__xludf.DUMMYFUNCTION("""COMPUTED_VALUE"""),226.0)</f>
        <v>226</v>
      </c>
      <c r="E785" s="66">
        <f>IFERROR(__xludf.DUMMYFUNCTION("""COMPUTED_VALUE"""),17.0)</f>
        <v>17</v>
      </c>
      <c r="F785" s="67" t="str">
        <f>IFERROR(__xludf.DUMMYFUNCTION("""COMPUTED_VALUE"""),"https://www.google.com/maps/search/?api=1&amp;query=-30.8996261072775,-55.5433999588933")</f>
        <v>https://www.google.com/maps/search/?api=1&amp;query=-30.8996261072775,-55.5433999588933</v>
      </c>
      <c r="G785" s="68" t="str">
        <f>IFERROR(__xludf.DUMMYFUNCTION("""COMPUTED_VALUE"""),"https://earth.google.com/web/search/-30.8996261072775,-55.5433999588933")</f>
        <v>https://earth.google.com/web/search/-30.8996261072775,-55.5433999588933</v>
      </c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</row>
    <row r="786">
      <c r="A786" s="69" t="str">
        <f>IFERROR(__xludf.DUMMYFUNCTION("""COMPUTED_VALUE"""),"-30.8997202863523")</f>
        <v>-30.8997202863523</v>
      </c>
      <c r="B786" s="61" t="str">
        <f>IFERROR(__xludf.DUMMYFUNCTION("""COMPUTED_VALUE"""),"-5.5543472141518")</f>
        <v>-5.5543472141518</v>
      </c>
      <c r="C786" s="61">
        <f>IFERROR(__xludf.DUMMYFUNCTION("""COMPUTED_VALUE"""),1.0)</f>
        <v>1</v>
      </c>
      <c r="D786" s="61">
        <f>IFERROR(__xludf.DUMMYFUNCTION("""COMPUTED_VALUE"""),226.0)</f>
        <v>226</v>
      </c>
      <c r="E786" s="61">
        <f>IFERROR(__xludf.DUMMYFUNCTION("""COMPUTED_VALUE"""),18.0)</f>
        <v>18</v>
      </c>
      <c r="F786" s="62" t="str">
        <f>IFERROR(__xludf.DUMMYFUNCTION("""COMPUTED_VALUE"""),"https://www.google.com/maps/search/?api=1&amp;query=-30.8997202863523,-5.5543472141518")</f>
        <v>https://www.google.com/maps/search/?api=1&amp;query=-30.8997202863523,-5.5543472141518</v>
      </c>
      <c r="G786" s="63" t="str">
        <f>IFERROR(__xludf.DUMMYFUNCTION("""COMPUTED_VALUE"""),"https://earth.google.com/web/search/-30.8997202863523,-5.5543472141518")</f>
        <v>https://earth.google.com/web/search/-30.8997202863523,-5.5543472141518</v>
      </c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64"/>
    </row>
    <row r="787">
      <c r="A787" s="65" t="str">
        <f>IFERROR(__xludf.DUMMYFUNCTION("""COMPUTED_VALUE"""),"-30.8998016895989")</f>
        <v>-30.8998016895989</v>
      </c>
      <c r="B787" s="66" t="str">
        <f>IFERROR(__xludf.DUMMYFUNCTION("""COMPUTED_VALUE"""),"-55.5435343040881")</f>
        <v>-55.5435343040881</v>
      </c>
      <c r="C787" s="66">
        <f>IFERROR(__xludf.DUMMYFUNCTION("""COMPUTED_VALUE"""),1.0)</f>
        <v>1</v>
      </c>
      <c r="D787" s="66">
        <f>IFERROR(__xludf.DUMMYFUNCTION("""COMPUTED_VALUE"""),226.0)</f>
        <v>226</v>
      </c>
      <c r="E787" s="66">
        <f>IFERROR(__xludf.DUMMYFUNCTION("""COMPUTED_VALUE"""),19.0)</f>
        <v>19</v>
      </c>
      <c r="F787" s="67" t="str">
        <f>IFERROR(__xludf.DUMMYFUNCTION("""COMPUTED_VALUE"""),"https://www.google.com/maps/search/?api=1&amp;query=-30.8998016895989,-55.5435343040881")</f>
        <v>https://www.google.com/maps/search/?api=1&amp;query=-30.8998016895989,-55.5435343040881</v>
      </c>
      <c r="G787" s="68" t="str">
        <f>IFERROR(__xludf.DUMMYFUNCTION("""COMPUTED_VALUE"""),"https://earth.google.com/web/search/-30.8998016895989,-55.5435343040881")</f>
        <v>https://earth.google.com/web/search/-30.8998016895989,-55.5435343040881</v>
      </c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</row>
    <row r="788">
      <c r="A788" s="69" t="str">
        <f>IFERROR(__xludf.DUMMYFUNCTION("""COMPUTED_VALUE"""),"-3.0899889889631")</f>
        <v>-3.0899889889631</v>
      </c>
      <c r="B788" s="61" t="str">
        <f>IFERROR(__xludf.DUMMYFUNCTION("""COMPUTED_VALUE"""),"-5.5543592441913")</f>
        <v>-5.5543592441913</v>
      </c>
      <c r="C788" s="61">
        <f>IFERROR(__xludf.DUMMYFUNCTION("""COMPUTED_VALUE"""),1.0)</f>
        <v>1</v>
      </c>
      <c r="D788" s="61">
        <f>IFERROR(__xludf.DUMMYFUNCTION("""COMPUTED_VALUE"""),226.0)</f>
        <v>226</v>
      </c>
      <c r="E788" s="61">
        <f>IFERROR(__xludf.DUMMYFUNCTION("""COMPUTED_VALUE"""),20.0)</f>
        <v>20</v>
      </c>
      <c r="F788" s="62" t="str">
        <f>IFERROR(__xludf.DUMMYFUNCTION("""COMPUTED_VALUE"""),"https://www.google.com/maps/search/?api=1&amp;query=-3.0899889889631,-5.5543592441913")</f>
        <v>https://www.google.com/maps/search/?api=1&amp;query=-3.0899889889631,-5.5543592441913</v>
      </c>
      <c r="G788" s="63" t="str">
        <f>IFERROR(__xludf.DUMMYFUNCTION("""COMPUTED_VALUE"""),"https://earth.google.com/web/search/-3.0899889889631,-5.5543592441913")</f>
        <v>https://earth.google.com/web/search/-3.0899889889631,-5.5543592441913</v>
      </c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</row>
    <row r="789">
      <c r="A789" s="65" t="str">
        <f>IFERROR(__xludf.DUMMYFUNCTION("""COMPUTED_VALUE"""),"-30.8999841344258")</f>
        <v>-30.8999841344258</v>
      </c>
      <c r="B789" s="66" t="str">
        <f>IFERROR(__xludf.DUMMYFUNCTION("""COMPUTED_VALUE"""),"-5.5543648682277")</f>
        <v>-5.5543648682277</v>
      </c>
      <c r="C789" s="66">
        <f>IFERROR(__xludf.DUMMYFUNCTION("""COMPUTED_VALUE"""),1.0)</f>
        <v>1</v>
      </c>
      <c r="D789" s="66">
        <f>IFERROR(__xludf.DUMMYFUNCTION("""COMPUTED_VALUE"""),226.0)</f>
        <v>226</v>
      </c>
      <c r="E789" s="66">
        <f>IFERROR(__xludf.DUMMYFUNCTION("""COMPUTED_VALUE"""),21.0)</f>
        <v>21</v>
      </c>
      <c r="F789" s="67" t="str">
        <f>IFERROR(__xludf.DUMMYFUNCTION("""COMPUTED_VALUE"""),"https://www.google.com/maps/search/?api=1&amp;query=-30.8999841344258,-5.5543648682277")</f>
        <v>https://www.google.com/maps/search/?api=1&amp;query=-30.8999841344258,-5.5543648682277</v>
      </c>
      <c r="G789" s="68" t="str">
        <f>IFERROR(__xludf.DUMMYFUNCTION("""COMPUTED_VALUE"""),"https://earth.google.com/web/search/-30.8999841344258,-5.5543648682277")</f>
        <v>https://earth.google.com/web/search/-30.8999841344258,-5.5543648682277</v>
      </c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64"/>
    </row>
    <row r="790">
      <c r="A790" s="69" t="str">
        <f>IFERROR(__xludf.DUMMYFUNCTION("""COMPUTED_VALUE"""),"-30.9021762674063")</f>
        <v>-30.9021762674063</v>
      </c>
      <c r="B790" s="61" t="str">
        <f>IFERROR(__xludf.DUMMYFUNCTION("""COMPUTED_VALUE"""),"-5.5537622753463")</f>
        <v>-5.5537622753463</v>
      </c>
      <c r="C790" s="61">
        <f>IFERROR(__xludf.DUMMYFUNCTION("""COMPUTED_VALUE"""),1.0)</f>
        <v>1</v>
      </c>
      <c r="D790" s="61">
        <f>IFERROR(__xludf.DUMMYFUNCTION("""COMPUTED_VALUE"""),185.0)</f>
        <v>185</v>
      </c>
      <c r="E790" s="61">
        <f>IFERROR(__xludf.DUMMYFUNCTION("""COMPUTED_VALUE"""),1.0)</f>
        <v>1</v>
      </c>
      <c r="F790" s="62" t="str">
        <f>IFERROR(__xludf.DUMMYFUNCTION("""COMPUTED_VALUE"""),"https://www.google.com/maps/search/?api=1&amp;query=-30.9021762674063,-5.5537622753463")</f>
        <v>https://www.google.com/maps/search/?api=1&amp;query=-30.9021762674063,-5.5537622753463</v>
      </c>
      <c r="G790" s="63" t="str">
        <f>IFERROR(__xludf.DUMMYFUNCTION("""COMPUTED_VALUE"""),"https://earth.google.com/web/search/-30.9021762674063,-5.5537622753463")</f>
        <v>https://earth.google.com/web/search/-30.9021762674063,-5.5537622753463</v>
      </c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64"/>
    </row>
    <row r="791">
      <c r="A791" s="65" t="str">
        <f>IFERROR(__xludf.DUMMYFUNCTION("""COMPUTED_VALUE"""),"-3.0902212067572")</f>
        <v>-3.0902212067572</v>
      </c>
      <c r="B791" s="66" t="str">
        <f>IFERROR(__xludf.DUMMYFUNCTION("""COMPUTED_VALUE"""),"-55.5375527496267")</f>
        <v>-55.5375527496267</v>
      </c>
      <c r="C791" s="66">
        <f>IFERROR(__xludf.DUMMYFUNCTION("""COMPUTED_VALUE"""),1.0)</f>
        <v>1</v>
      </c>
      <c r="D791" s="66">
        <f>IFERROR(__xludf.DUMMYFUNCTION("""COMPUTED_VALUE"""),185.0)</f>
        <v>185</v>
      </c>
      <c r="E791" s="66">
        <f>IFERROR(__xludf.DUMMYFUNCTION("""COMPUTED_VALUE"""),2.0)</f>
        <v>2</v>
      </c>
      <c r="F791" s="67" t="str">
        <f>IFERROR(__xludf.DUMMYFUNCTION("""COMPUTED_VALUE"""),"https://www.google.com/maps/search/?api=1&amp;query=-3.0902212067572,-55.5375527496267")</f>
        <v>https://www.google.com/maps/search/?api=1&amp;query=-3.0902212067572,-55.5375527496267</v>
      </c>
      <c r="G791" s="68" t="str">
        <f>IFERROR(__xludf.DUMMYFUNCTION("""COMPUTED_VALUE"""),"https://earth.google.com/web/search/-3.0902212067572,-55.5375527496267")</f>
        <v>https://earth.google.com/web/search/-3.0902212067572,-55.5375527496267</v>
      </c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</row>
    <row r="792">
      <c r="A792" s="69" t="str">
        <f>IFERROR(__xludf.DUMMYFUNCTION("""COMPUTED_VALUE"""),"-30.9023223167147")</f>
        <v>-30.9023223167147</v>
      </c>
      <c r="B792" s="61" t="str">
        <f>IFERROR(__xludf.DUMMYFUNCTION("""COMPUTED_VALUE"""),"-55.5373118355414")</f>
        <v>-55.5373118355414</v>
      </c>
      <c r="C792" s="61">
        <f>IFERROR(__xludf.DUMMYFUNCTION("""COMPUTED_VALUE"""),1.0)</f>
        <v>1</v>
      </c>
      <c r="D792" s="61">
        <f>IFERROR(__xludf.DUMMYFUNCTION("""COMPUTED_VALUE"""),185.0)</f>
        <v>185</v>
      </c>
      <c r="E792" s="61">
        <f>IFERROR(__xludf.DUMMYFUNCTION("""COMPUTED_VALUE"""),3.0)</f>
        <v>3</v>
      </c>
      <c r="F792" s="62" t="str">
        <f>IFERROR(__xludf.DUMMYFUNCTION("""COMPUTED_VALUE"""),"https://www.google.com/maps/search/?api=1&amp;query=-30.9023223167147,-55.5373118355414")</f>
        <v>https://www.google.com/maps/search/?api=1&amp;query=-30.9023223167147,-55.5373118355414</v>
      </c>
      <c r="G792" s="63" t="str">
        <f>IFERROR(__xludf.DUMMYFUNCTION("""COMPUTED_VALUE"""),"https://earth.google.com/web/search/-30.9023223167147,-55.5373118355414")</f>
        <v>https://earth.google.com/web/search/-30.9023223167147,-55.5373118355414</v>
      </c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</row>
    <row r="793">
      <c r="A793" s="65" t="str">
        <f>IFERROR(__xludf.DUMMYFUNCTION("""COMPUTED_VALUE"""),"-30.9018546749789")</f>
        <v>-30.9018546749789</v>
      </c>
      <c r="B793" s="66" t="str">
        <f>IFERROR(__xludf.DUMMYFUNCTION("""COMPUTED_VALUE"""),"-55.5363451041953")</f>
        <v>-55.5363451041953</v>
      </c>
      <c r="C793" s="66">
        <f>IFERROR(__xludf.DUMMYFUNCTION("""COMPUTED_VALUE"""),1.0)</f>
        <v>1</v>
      </c>
      <c r="D793" s="66">
        <f>IFERROR(__xludf.DUMMYFUNCTION("""COMPUTED_VALUE"""),185.0)</f>
        <v>185</v>
      </c>
      <c r="E793" s="66">
        <f>IFERROR(__xludf.DUMMYFUNCTION("""COMPUTED_VALUE"""),4.0)</f>
        <v>4</v>
      </c>
      <c r="F793" s="67" t="str">
        <f>IFERROR(__xludf.DUMMYFUNCTION("""COMPUTED_VALUE"""),"https://www.google.com/maps/search/?api=1&amp;query=-30.9018546749789,-55.5363451041953")</f>
        <v>https://www.google.com/maps/search/?api=1&amp;query=-30.9018546749789,-55.5363451041953</v>
      </c>
      <c r="G793" s="68" t="str">
        <f>IFERROR(__xludf.DUMMYFUNCTION("""COMPUTED_VALUE"""),"https://earth.google.com/web/search/-30.9018546749789,-55.5363451041953")</f>
        <v>https://earth.google.com/web/search/-30.9018546749789,-55.5363451041953</v>
      </c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64"/>
    </row>
    <row r="794">
      <c r="A794" s="69" t="str">
        <f>IFERROR(__xludf.DUMMYFUNCTION("""COMPUTED_VALUE"""),"-30.9017442745536")</f>
        <v>-30.9017442745536</v>
      </c>
      <c r="B794" s="61" t="str">
        <f>IFERROR(__xludf.DUMMYFUNCTION("""COMPUTED_VALUE"""),"-55.5365325594379")</f>
        <v>-55.5365325594379</v>
      </c>
      <c r="C794" s="61">
        <f>IFERROR(__xludf.DUMMYFUNCTION("""COMPUTED_VALUE"""),1.0)</f>
        <v>1</v>
      </c>
      <c r="D794" s="61">
        <f>IFERROR(__xludf.DUMMYFUNCTION("""COMPUTED_VALUE"""),185.0)</f>
        <v>185</v>
      </c>
      <c r="E794" s="61">
        <f>IFERROR(__xludf.DUMMYFUNCTION("""COMPUTED_VALUE"""),5.0)</f>
        <v>5</v>
      </c>
      <c r="F794" s="62" t="str">
        <f>IFERROR(__xludf.DUMMYFUNCTION("""COMPUTED_VALUE"""),"https://www.google.com/maps/search/?api=1&amp;query=-30.9017442745536,-55.5365325594379")</f>
        <v>https://www.google.com/maps/search/?api=1&amp;query=-30.9017442745536,-55.5365325594379</v>
      </c>
      <c r="G794" s="63" t="str">
        <f>IFERROR(__xludf.DUMMYFUNCTION("""COMPUTED_VALUE"""),"https://earth.google.com/web/search/-30.9017442745536,-55.5365325594379")</f>
        <v>https://earth.google.com/web/search/-30.9017442745536,-55.5365325594379</v>
      </c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64"/>
    </row>
    <row r="795">
      <c r="A795" s="65" t="str">
        <f>IFERROR(__xludf.DUMMYFUNCTION("""COMPUTED_VALUE"""),"-3.0901685023776")</f>
        <v>-3.0901685023776</v>
      </c>
      <c r="B795" s="66" t="str">
        <f>IFERROR(__xludf.DUMMYFUNCTION("""COMPUTED_VALUE"""),"-55.5366290654682")</f>
        <v>-55.5366290654682</v>
      </c>
      <c r="C795" s="66">
        <f>IFERROR(__xludf.DUMMYFUNCTION("""COMPUTED_VALUE"""),1.0)</f>
        <v>1</v>
      </c>
      <c r="D795" s="66">
        <f>IFERROR(__xludf.DUMMYFUNCTION("""COMPUTED_VALUE"""),185.0)</f>
        <v>185</v>
      </c>
      <c r="E795" s="66">
        <f>IFERROR(__xludf.DUMMYFUNCTION("""COMPUTED_VALUE"""),6.0)</f>
        <v>6</v>
      </c>
      <c r="F795" s="67" t="str">
        <f>IFERROR(__xludf.DUMMYFUNCTION("""COMPUTED_VALUE"""),"https://www.google.com/maps/search/?api=1&amp;query=-3.0901685023776,-55.5366290654682")</f>
        <v>https://www.google.com/maps/search/?api=1&amp;query=-3.0901685023776,-55.5366290654682</v>
      </c>
      <c r="G795" s="68" t="str">
        <f>IFERROR(__xludf.DUMMYFUNCTION("""COMPUTED_VALUE"""),"https://earth.google.com/web/search/-3.0901685023776,-55.5366290654682")</f>
        <v>https://earth.google.com/web/search/-3.0901685023776,-55.5366290654682</v>
      </c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</row>
    <row r="796">
      <c r="A796" s="69" t="str">
        <f>IFERROR(__xludf.DUMMYFUNCTION("""COMPUTED_VALUE"""),"-30.9016730670086")</f>
        <v>-30.9016730670086</v>
      </c>
      <c r="B796" s="61" t="str">
        <f>IFERROR(__xludf.DUMMYFUNCTION("""COMPUTED_VALUE"""),"-55.5367253533342")</f>
        <v>-55.5367253533342</v>
      </c>
      <c r="C796" s="61">
        <f>IFERROR(__xludf.DUMMYFUNCTION("""COMPUTED_VALUE"""),1.0)</f>
        <v>1</v>
      </c>
      <c r="D796" s="61">
        <f>IFERROR(__xludf.DUMMYFUNCTION("""COMPUTED_VALUE"""),185.0)</f>
        <v>185</v>
      </c>
      <c r="E796" s="61">
        <f>IFERROR(__xludf.DUMMYFUNCTION("""COMPUTED_VALUE"""),7.0)</f>
        <v>7</v>
      </c>
      <c r="F796" s="62" t="str">
        <f>IFERROR(__xludf.DUMMYFUNCTION("""COMPUTED_VALUE"""),"https://www.google.com/maps/search/?api=1&amp;query=-30.9016730670086,-55.5367253533342")</f>
        <v>https://www.google.com/maps/search/?api=1&amp;query=-30.9016730670086,-55.5367253533342</v>
      </c>
      <c r="G796" s="63" t="str">
        <f>IFERROR(__xludf.DUMMYFUNCTION("""COMPUTED_VALUE"""),"https://earth.google.com/web/search/-30.9016730670086,-55.5367253533342")</f>
        <v>https://earth.google.com/web/search/-30.9016730670086,-55.5367253533342</v>
      </c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</row>
    <row r="797">
      <c r="A797" s="65" t="str">
        <f>IFERROR(__xludf.DUMMYFUNCTION("""COMPUTED_VALUE"""),"-30.9016260787651")</f>
        <v>-30.9016260787651</v>
      </c>
      <c r="B797" s="66" t="str">
        <f>IFERROR(__xludf.DUMMYFUNCTION("""COMPUTED_VALUE"""),"-55.5367973234866")</f>
        <v>-55.5367973234866</v>
      </c>
      <c r="C797" s="66">
        <f>IFERROR(__xludf.DUMMYFUNCTION("""COMPUTED_VALUE"""),1.0)</f>
        <v>1</v>
      </c>
      <c r="D797" s="66">
        <f>IFERROR(__xludf.DUMMYFUNCTION("""COMPUTED_VALUE"""),185.0)</f>
        <v>185</v>
      </c>
      <c r="E797" s="66">
        <f>IFERROR(__xludf.DUMMYFUNCTION("""COMPUTED_VALUE"""),8.0)</f>
        <v>8</v>
      </c>
      <c r="F797" s="67" t="str">
        <f>IFERROR(__xludf.DUMMYFUNCTION("""COMPUTED_VALUE"""),"https://www.google.com/maps/search/?api=1&amp;query=-30.9016260787651,-55.5367973234866")</f>
        <v>https://www.google.com/maps/search/?api=1&amp;query=-30.9016260787651,-55.5367973234866</v>
      </c>
      <c r="G797" s="68" t="str">
        <f>IFERROR(__xludf.DUMMYFUNCTION("""COMPUTED_VALUE"""),"https://earth.google.com/web/search/-30.9016260787651,-55.5367973234866")</f>
        <v>https://earth.google.com/web/search/-30.9016260787651,-55.5367973234866</v>
      </c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</row>
    <row r="798">
      <c r="A798" s="69" t="str">
        <f>IFERROR(__xludf.DUMMYFUNCTION("""COMPUTED_VALUE"""),"-30.9015853098035")</f>
        <v>-30.9015853098035</v>
      </c>
      <c r="B798" s="61" t="str">
        <f>IFERROR(__xludf.DUMMYFUNCTION("""COMPUTED_VALUE"""),"-55.5368692099804")</f>
        <v>-55.5368692099804</v>
      </c>
      <c r="C798" s="61">
        <f>IFERROR(__xludf.DUMMYFUNCTION("""COMPUTED_VALUE"""),1.0)</f>
        <v>1</v>
      </c>
      <c r="D798" s="61">
        <f>IFERROR(__xludf.DUMMYFUNCTION("""COMPUTED_VALUE"""),185.0)</f>
        <v>185</v>
      </c>
      <c r="E798" s="61">
        <f>IFERROR(__xludf.DUMMYFUNCTION("""COMPUTED_VALUE"""),9.0)</f>
        <v>9</v>
      </c>
      <c r="F798" s="62" t="str">
        <f>IFERROR(__xludf.DUMMYFUNCTION("""COMPUTED_VALUE"""),"https://www.google.com/maps/search/?api=1&amp;query=-30.9015853098035,-55.5368692099804")</f>
        <v>https://www.google.com/maps/search/?api=1&amp;query=-30.9015853098035,-55.5368692099804</v>
      </c>
      <c r="G798" s="63" t="str">
        <f>IFERROR(__xludf.DUMMYFUNCTION("""COMPUTED_VALUE"""),"https://earth.google.com/web/search/-30.9015853098035,-55.5368692099804")</f>
        <v>https://earth.google.com/web/search/-30.9015853098035,-55.5368692099804</v>
      </c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</row>
    <row r="799">
      <c r="A799" s="65" t="str">
        <f>IFERROR(__xludf.DUMMYFUNCTION("""COMPUTED_VALUE"""),"-30.9015001505067")</f>
        <v>-30.9015001505067</v>
      </c>
      <c r="B799" s="66" t="str">
        <f>IFERROR(__xludf.DUMMYFUNCTION("""COMPUTED_VALUE"""),"-5.5537026114976")</f>
        <v>-5.5537026114976</v>
      </c>
      <c r="C799" s="66">
        <f>IFERROR(__xludf.DUMMYFUNCTION("""COMPUTED_VALUE"""),1.0)</f>
        <v>1</v>
      </c>
      <c r="D799" s="66">
        <f>IFERROR(__xludf.DUMMYFUNCTION("""COMPUTED_VALUE"""),185.0)</f>
        <v>185</v>
      </c>
      <c r="E799" s="66">
        <f>IFERROR(__xludf.DUMMYFUNCTION("""COMPUTED_VALUE"""),10.0)</f>
        <v>10</v>
      </c>
      <c r="F799" s="67" t="str">
        <f>IFERROR(__xludf.DUMMYFUNCTION("""COMPUTED_VALUE"""),"https://www.google.com/maps/search/?api=1&amp;query=-30.9015001505067,-5.5537026114976")</f>
        <v>https://www.google.com/maps/search/?api=1&amp;query=-30.9015001505067,-5.5537026114976</v>
      </c>
      <c r="G799" s="68" t="str">
        <f>IFERROR(__xludf.DUMMYFUNCTION("""COMPUTED_VALUE"""),"https://earth.google.com/web/search/-30.9015001505067,-5.5537026114976")</f>
        <v>https://earth.google.com/web/search/-30.9015001505067,-5.5537026114976</v>
      </c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64"/>
    </row>
    <row r="800">
      <c r="A800" s="69" t="str">
        <f>IFERROR(__xludf.DUMMYFUNCTION("""COMPUTED_VALUE"""),"-30.9014652963008")</f>
        <v>-30.9014652963008</v>
      </c>
      <c r="B800" s="61" t="str">
        <f>IFERROR(__xludf.DUMMYFUNCTION("""COMPUTED_VALUE"""),"-55.5371523228686")</f>
        <v>-55.5371523228686</v>
      </c>
      <c r="C800" s="61">
        <f>IFERROR(__xludf.DUMMYFUNCTION("""COMPUTED_VALUE"""),1.0)</f>
        <v>1</v>
      </c>
      <c r="D800" s="61">
        <f>IFERROR(__xludf.DUMMYFUNCTION("""COMPUTED_VALUE"""),185.0)</f>
        <v>185</v>
      </c>
      <c r="E800" s="61">
        <f>IFERROR(__xludf.DUMMYFUNCTION("""COMPUTED_VALUE"""),11.0)</f>
        <v>11</v>
      </c>
      <c r="F800" s="62" t="str">
        <f>IFERROR(__xludf.DUMMYFUNCTION("""COMPUTED_VALUE"""),"https://www.google.com/maps/search/?api=1&amp;query=-30.9014652963008,-55.5371523228686")</f>
        <v>https://www.google.com/maps/search/?api=1&amp;query=-30.9014652963008,-55.5371523228686</v>
      </c>
      <c r="G800" s="63" t="str">
        <f>IFERROR(__xludf.DUMMYFUNCTION("""COMPUTED_VALUE"""),"https://earth.google.com/web/search/-30.9014652963008,-55.5371523228686")</f>
        <v>https://earth.google.com/web/search/-30.9014652963008,-55.5371523228686</v>
      </c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</row>
    <row r="801">
      <c r="A801" s="65" t="str">
        <f>IFERROR(__xludf.DUMMYFUNCTION("""COMPUTED_VALUE"""),"-30.9015133027059")</f>
        <v>-30.9015133027059</v>
      </c>
      <c r="B801" s="66" t="str">
        <f>IFERROR(__xludf.DUMMYFUNCTION("""COMPUTED_VALUE"""),"-55.5371756858227")</f>
        <v>-55.5371756858227</v>
      </c>
      <c r="C801" s="66">
        <f>IFERROR(__xludf.DUMMYFUNCTION("""COMPUTED_VALUE"""),1.0)</f>
        <v>1</v>
      </c>
      <c r="D801" s="66">
        <f>IFERROR(__xludf.DUMMYFUNCTION("""COMPUTED_VALUE"""),185.0)</f>
        <v>185</v>
      </c>
      <c r="E801" s="66">
        <f>IFERROR(__xludf.DUMMYFUNCTION("""COMPUTED_VALUE"""),12.0)</f>
        <v>12</v>
      </c>
      <c r="F801" s="67" t="str">
        <f>IFERROR(__xludf.DUMMYFUNCTION("""COMPUTED_VALUE"""),"https://www.google.com/maps/search/?api=1&amp;query=-30.9015133027059,-55.5371756858227")</f>
        <v>https://www.google.com/maps/search/?api=1&amp;query=-30.9015133027059,-55.5371756858227</v>
      </c>
      <c r="G801" s="68" t="str">
        <f>IFERROR(__xludf.DUMMYFUNCTION("""COMPUTED_VALUE"""),"https://earth.google.com/web/search/-30.9015133027059,-55.5371756858227")</f>
        <v>https://earth.google.com/web/search/-30.9015133027059,-55.5371756858227</v>
      </c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</row>
    <row r="802">
      <c r="A802" s="69" t="str">
        <f>IFERROR(__xludf.DUMMYFUNCTION("""COMPUTED_VALUE"""),"-30.9015613942655")</f>
        <v>-30.9015613942655</v>
      </c>
      <c r="B802" s="61" t="str">
        <f>IFERROR(__xludf.DUMMYFUNCTION("""COMPUTED_VALUE"""),"-55.5372097916469")</f>
        <v>-55.5372097916469</v>
      </c>
      <c r="C802" s="61">
        <f>IFERROR(__xludf.DUMMYFUNCTION("""COMPUTED_VALUE"""),1.0)</f>
        <v>1</v>
      </c>
      <c r="D802" s="61">
        <f>IFERROR(__xludf.DUMMYFUNCTION("""COMPUTED_VALUE"""),185.0)</f>
        <v>185</v>
      </c>
      <c r="E802" s="61">
        <f>IFERROR(__xludf.DUMMYFUNCTION("""COMPUTED_VALUE"""),13.0)</f>
        <v>13</v>
      </c>
      <c r="F802" s="62" t="str">
        <f>IFERROR(__xludf.DUMMYFUNCTION("""COMPUTED_VALUE"""),"https://www.google.com/maps/search/?api=1&amp;query=-30.9015613942655,-55.5372097916469")</f>
        <v>https://www.google.com/maps/search/?api=1&amp;query=-30.9015613942655,-55.5372097916469</v>
      </c>
      <c r="G802" s="63" t="str">
        <f>IFERROR(__xludf.DUMMYFUNCTION("""COMPUTED_VALUE"""),"https://earth.google.com/web/search/-30.9015613942655,-55.5372097916469")</f>
        <v>https://earth.google.com/web/search/-30.9015613942655,-55.5372097916469</v>
      </c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64"/>
    </row>
    <row r="803">
      <c r="A803" s="65" t="str">
        <f>IFERROR(__xludf.DUMMYFUNCTION("""COMPUTED_VALUE"""),"-30.9016223934471")</f>
        <v>-30.9016223934471</v>
      </c>
      <c r="B803" s="66" t="str">
        <f>IFERROR(__xludf.DUMMYFUNCTION("""COMPUTED_VALUE"""),"-5.5537262070003")</f>
        <v>-5.5537262070003</v>
      </c>
      <c r="C803" s="66">
        <f>IFERROR(__xludf.DUMMYFUNCTION("""COMPUTED_VALUE"""),1.0)</f>
        <v>1</v>
      </c>
      <c r="D803" s="66">
        <f>IFERROR(__xludf.DUMMYFUNCTION("""COMPUTED_VALUE"""),185.0)</f>
        <v>185</v>
      </c>
      <c r="E803" s="66">
        <f>IFERROR(__xludf.DUMMYFUNCTION("""COMPUTED_VALUE"""),14.0)</f>
        <v>14</v>
      </c>
      <c r="F803" s="67" t="str">
        <f>IFERROR(__xludf.DUMMYFUNCTION("""COMPUTED_VALUE"""),"https://www.google.com/maps/search/?api=1&amp;query=-30.9016223934471,-5.5537262070003")</f>
        <v>https://www.google.com/maps/search/?api=1&amp;query=-30.9016223934471,-5.5537262070003</v>
      </c>
      <c r="G803" s="68" t="str">
        <f>IFERROR(__xludf.DUMMYFUNCTION("""COMPUTED_VALUE"""),"https://earth.google.com/web/search/-30.9016223934471,-5.5537262070003")</f>
        <v>https://earth.google.com/web/search/-30.9016223934471,-5.5537262070003</v>
      </c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</row>
    <row r="804">
      <c r="A804" s="69" t="str">
        <f>IFERROR(__xludf.DUMMYFUNCTION("""COMPUTED_VALUE"""),"-30.9016794482238")</f>
        <v>-30.9016794482238</v>
      </c>
      <c r="B804" s="61" t="str">
        <f>IFERROR(__xludf.DUMMYFUNCTION("""COMPUTED_VALUE"""),"-5.5537301026472")</f>
        <v>-5.5537301026472</v>
      </c>
      <c r="C804" s="61">
        <f>IFERROR(__xludf.DUMMYFUNCTION("""COMPUTED_VALUE"""),1.0)</f>
        <v>1</v>
      </c>
      <c r="D804" s="61">
        <f>IFERROR(__xludf.DUMMYFUNCTION("""COMPUTED_VALUE"""),185.0)</f>
        <v>185</v>
      </c>
      <c r="E804" s="61">
        <f>IFERROR(__xludf.DUMMYFUNCTION("""COMPUTED_VALUE"""),15.0)</f>
        <v>15</v>
      </c>
      <c r="F804" s="62" t="str">
        <f>IFERROR(__xludf.DUMMYFUNCTION("""COMPUTED_VALUE"""),"https://www.google.com/maps/search/?api=1&amp;query=-30.9016794482238,-5.5537301026472")</f>
        <v>https://www.google.com/maps/search/?api=1&amp;query=-30.9016794482238,-5.5537301026472</v>
      </c>
      <c r="G804" s="63" t="str">
        <f>IFERROR(__xludf.DUMMYFUNCTION("""COMPUTED_VALUE"""),"https://earth.google.com/web/search/-30.9016794482238,-5.5537301026472")</f>
        <v>https://earth.google.com/web/search/-30.9016794482238,-5.5537301026472</v>
      </c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64"/>
    </row>
    <row r="805">
      <c r="A805" s="65" t="str">
        <f>IFERROR(__xludf.DUMMYFUNCTION("""COMPUTED_VALUE"""),"-30.9018047616059")</f>
        <v>-30.9018047616059</v>
      </c>
      <c r="B805" s="66" t="str">
        <f>IFERROR(__xludf.DUMMYFUNCTION("""COMPUTED_VALUE"""),"-55.5373881838921")</f>
        <v>-55.5373881838921</v>
      </c>
      <c r="C805" s="66">
        <f>IFERROR(__xludf.DUMMYFUNCTION("""COMPUTED_VALUE"""),1.0)</f>
        <v>1</v>
      </c>
      <c r="D805" s="66">
        <f>IFERROR(__xludf.DUMMYFUNCTION("""COMPUTED_VALUE"""),185.0)</f>
        <v>185</v>
      </c>
      <c r="E805" s="66">
        <f>IFERROR(__xludf.DUMMYFUNCTION("""COMPUTED_VALUE"""),16.0)</f>
        <v>16</v>
      </c>
      <c r="F805" s="67" t="str">
        <f>IFERROR(__xludf.DUMMYFUNCTION("""COMPUTED_VALUE"""),"https://www.google.com/maps/search/?api=1&amp;query=-30.9018047616059,-55.5373881838921")</f>
        <v>https://www.google.com/maps/search/?api=1&amp;query=-30.9018047616059,-55.5373881838921</v>
      </c>
      <c r="G805" s="68" t="str">
        <f>IFERROR(__xludf.DUMMYFUNCTION("""COMPUTED_VALUE"""),"https://earth.google.com/web/search/-30.9018047616059,-55.5373881838921")</f>
        <v>https://earth.google.com/web/search/-30.9018047616059,-55.5373881838921</v>
      </c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</row>
    <row r="806">
      <c r="A806" s="69" t="str">
        <f>IFERROR(__xludf.DUMMYFUNCTION("""COMPUTED_VALUE"""),"-30.9018577928966")</f>
        <v>-30.9018577928966</v>
      </c>
      <c r="B806" s="61" t="str">
        <f>IFERROR(__xludf.DUMMYFUNCTION("""COMPUTED_VALUE"""),"-55.5374258032133")</f>
        <v>-55.5374258032133</v>
      </c>
      <c r="C806" s="61">
        <f>IFERROR(__xludf.DUMMYFUNCTION("""COMPUTED_VALUE"""),1.0)</f>
        <v>1</v>
      </c>
      <c r="D806" s="61">
        <f>IFERROR(__xludf.DUMMYFUNCTION("""COMPUTED_VALUE"""),185.0)</f>
        <v>185</v>
      </c>
      <c r="E806" s="61">
        <f>IFERROR(__xludf.DUMMYFUNCTION("""COMPUTED_VALUE"""),17.0)</f>
        <v>17</v>
      </c>
      <c r="F806" s="62" t="str">
        <f>IFERROR(__xludf.DUMMYFUNCTION("""COMPUTED_VALUE"""),"https://www.google.com/maps/search/?api=1&amp;query=-30.9018577928966,-55.5374258032133")</f>
        <v>https://www.google.com/maps/search/?api=1&amp;query=-30.9018577928966,-55.5374258032133</v>
      </c>
      <c r="G806" s="63" t="str">
        <f>IFERROR(__xludf.DUMMYFUNCTION("""COMPUTED_VALUE"""),"https://earth.google.com/web/search/-30.9018577928966,-55.5374258032133")</f>
        <v>https://earth.google.com/web/search/-30.9018577928966,-55.5374258032133</v>
      </c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</row>
    <row r="807">
      <c r="A807" s="65" t="str">
        <f>IFERROR(__xludf.DUMMYFUNCTION("""COMPUTED_VALUE"""),"-30.9019099109738")</f>
        <v>-30.9019099109738</v>
      </c>
      <c r="B807" s="66" t="str">
        <f>IFERROR(__xludf.DUMMYFUNCTION("""COMPUTED_VALUE"""),"-55.5374610686707")</f>
        <v>-55.5374610686707</v>
      </c>
      <c r="C807" s="66">
        <f>IFERROR(__xludf.DUMMYFUNCTION("""COMPUTED_VALUE"""),1.0)</f>
        <v>1</v>
      </c>
      <c r="D807" s="66">
        <f>IFERROR(__xludf.DUMMYFUNCTION("""COMPUTED_VALUE"""),185.0)</f>
        <v>185</v>
      </c>
      <c r="E807" s="66">
        <f>IFERROR(__xludf.DUMMYFUNCTION("""COMPUTED_VALUE"""),18.0)</f>
        <v>18</v>
      </c>
      <c r="F807" s="67" t="str">
        <f>IFERROR(__xludf.DUMMYFUNCTION("""COMPUTED_VALUE"""),"https://www.google.com/maps/search/?api=1&amp;query=-30.9019099109738,-55.5374610686707")</f>
        <v>https://www.google.com/maps/search/?api=1&amp;query=-30.9019099109738,-55.5374610686707</v>
      </c>
      <c r="G807" s="68" t="str">
        <f>IFERROR(__xludf.DUMMYFUNCTION("""COMPUTED_VALUE"""),"https://earth.google.com/web/search/-30.9019099109738,-55.5374610686707")</f>
        <v>https://earth.google.com/web/search/-30.9019099109738,-55.5374610686707</v>
      </c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64"/>
    </row>
    <row r="808">
      <c r="A808" s="69" t="str">
        <f>IFERROR(__xludf.DUMMYFUNCTION("""COMPUTED_VALUE"""),"-30.9020077082275")</f>
        <v>-30.9020077082275</v>
      </c>
      <c r="B808" s="61" t="str">
        <f>IFERROR(__xludf.DUMMYFUNCTION("""COMPUTED_VALUE"""),"-55.5375416211463")</f>
        <v>-55.5375416211463</v>
      </c>
      <c r="C808" s="61">
        <f>IFERROR(__xludf.DUMMYFUNCTION("""COMPUTED_VALUE"""),1.0)</f>
        <v>1</v>
      </c>
      <c r="D808" s="61">
        <f>IFERROR(__xludf.DUMMYFUNCTION("""COMPUTED_VALUE"""),185.0)</f>
        <v>185</v>
      </c>
      <c r="E808" s="61">
        <f>IFERROR(__xludf.DUMMYFUNCTION("""COMPUTED_VALUE"""),19.0)</f>
        <v>19</v>
      </c>
      <c r="F808" s="62" t="str">
        <f>IFERROR(__xludf.DUMMYFUNCTION("""COMPUTED_VALUE"""),"https://www.google.com/maps/search/?api=1&amp;query=-30.9020077082275,-55.5375416211463")</f>
        <v>https://www.google.com/maps/search/?api=1&amp;query=-30.9020077082275,-55.5375416211463</v>
      </c>
      <c r="G808" s="63" t="str">
        <f>IFERROR(__xludf.DUMMYFUNCTION("""COMPUTED_VALUE"""),"https://earth.google.com/web/search/-30.9020077082275,-55.5375416211463")</f>
        <v>https://earth.google.com/web/search/-30.9020077082275,-55.5375416211463</v>
      </c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</row>
    <row r="809">
      <c r="A809" s="65" t="str">
        <f>IFERROR(__xludf.DUMMYFUNCTION("""COMPUTED_VALUE"""),"-30.9020892073062")</f>
        <v>-30.9020892073062</v>
      </c>
      <c r="B809" s="66" t="str">
        <f>IFERROR(__xludf.DUMMYFUNCTION("""COMPUTED_VALUE"""),"-55.5375953967828")</f>
        <v>-55.5375953967828</v>
      </c>
      <c r="C809" s="66">
        <f>IFERROR(__xludf.DUMMYFUNCTION("""COMPUTED_VALUE"""),1.0)</f>
        <v>1</v>
      </c>
      <c r="D809" s="66">
        <f>IFERROR(__xludf.DUMMYFUNCTION("""COMPUTED_VALUE"""),185.0)</f>
        <v>185</v>
      </c>
      <c r="E809" s="66">
        <f>IFERROR(__xludf.DUMMYFUNCTION("""COMPUTED_VALUE"""),20.0)</f>
        <v>20</v>
      </c>
      <c r="F809" s="67" t="str">
        <f>IFERROR(__xludf.DUMMYFUNCTION("""COMPUTED_VALUE"""),"https://www.google.com/maps/search/?api=1&amp;query=-30.9020892073062,-55.5375953967828")</f>
        <v>https://www.google.com/maps/search/?api=1&amp;query=-30.9020892073062,-55.5375953967828</v>
      </c>
      <c r="G809" s="68" t="str">
        <f>IFERROR(__xludf.DUMMYFUNCTION("""COMPUTED_VALUE"""),"https://earth.google.com/web/search/-30.9020892073062,-55.5375953967828")</f>
        <v>https://earth.google.com/web/search/-30.9020892073062,-55.5375953967828</v>
      </c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64"/>
    </row>
    <row r="810">
      <c r="A810" s="69" t="str">
        <f>IFERROR(__xludf.DUMMYFUNCTION("""COMPUTED_VALUE"""),"-30.9017074998574")</f>
        <v>-30.9017074998574</v>
      </c>
      <c r="B810" s="61" t="str">
        <f>IFERROR(__xludf.DUMMYFUNCTION("""COMPUTED_VALUE"""),"-5.5538428704668")</f>
        <v>-5.5538428704668</v>
      </c>
      <c r="C810" s="61">
        <f>IFERROR(__xludf.DUMMYFUNCTION("""COMPUTED_VALUE"""),1.0)</f>
        <v>1</v>
      </c>
      <c r="D810" s="61">
        <f>IFERROR(__xludf.DUMMYFUNCTION("""COMPUTED_VALUE"""),186.0)</f>
        <v>186</v>
      </c>
      <c r="E810" s="61">
        <f>IFERROR(__xludf.DUMMYFUNCTION("""COMPUTED_VALUE"""),1.0)</f>
        <v>1</v>
      </c>
      <c r="F810" s="62" t="str">
        <f>IFERROR(__xludf.DUMMYFUNCTION("""COMPUTED_VALUE"""),"https://www.google.com/maps/search/?api=1&amp;query=-30.9017074998574,-5.5538428704668")</f>
        <v>https://www.google.com/maps/search/?api=1&amp;query=-30.9017074998574,-5.5538428704668</v>
      </c>
      <c r="G810" s="63" t="str">
        <f>IFERROR(__xludf.DUMMYFUNCTION("""COMPUTED_VALUE"""),"https://earth.google.com/web/search/-30.9017074998574,-5.5538428704668")</f>
        <v>https://earth.google.com/web/search/-30.9017074998574,-5.5538428704668</v>
      </c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64"/>
    </row>
    <row r="811">
      <c r="A811" s="65" t="str">
        <f>IFERROR(__xludf.DUMMYFUNCTION("""COMPUTED_VALUE"""),"-30.9017615569737")</f>
        <v>-30.9017615569737</v>
      </c>
      <c r="B811" s="66" t="str">
        <f>IFERROR(__xludf.DUMMYFUNCTION("""COMPUTED_VALUE"""),"-55.5383344186894")</f>
        <v>-55.5383344186894</v>
      </c>
      <c r="C811" s="66">
        <f>IFERROR(__xludf.DUMMYFUNCTION("""COMPUTED_VALUE"""),1.0)</f>
        <v>1</v>
      </c>
      <c r="D811" s="66">
        <f>IFERROR(__xludf.DUMMYFUNCTION("""COMPUTED_VALUE"""),186.0)</f>
        <v>186</v>
      </c>
      <c r="E811" s="66">
        <f>IFERROR(__xludf.DUMMYFUNCTION("""COMPUTED_VALUE"""),2.0)</f>
        <v>2</v>
      </c>
      <c r="F811" s="67" t="str">
        <f>IFERROR(__xludf.DUMMYFUNCTION("""COMPUTED_VALUE"""),"https://www.google.com/maps/search/?api=1&amp;query=-30.9017615569737,-55.5383344186894")</f>
        <v>https://www.google.com/maps/search/?api=1&amp;query=-30.9017615569737,-55.5383344186894</v>
      </c>
      <c r="G811" s="68" t="str">
        <f>IFERROR(__xludf.DUMMYFUNCTION("""COMPUTED_VALUE"""),"https://earth.google.com/web/search/-30.9017615569737,-55.5383344186894")</f>
        <v>https://earth.google.com/web/search/-30.9017615569737,-55.5383344186894</v>
      </c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</row>
    <row r="812">
      <c r="A812" s="69" t="str">
        <f>IFERROR(__xludf.DUMMYFUNCTION("""COMPUTED_VALUE"""),"-30.9018476710668")</f>
        <v>-30.9018476710668</v>
      </c>
      <c r="B812" s="61" t="str">
        <f>IFERROR(__xludf.DUMMYFUNCTION("""COMPUTED_VALUE"""),"-55.5381746722807")</f>
        <v>-55.5381746722807</v>
      </c>
      <c r="C812" s="61">
        <f>IFERROR(__xludf.DUMMYFUNCTION("""COMPUTED_VALUE"""),1.0)</f>
        <v>1</v>
      </c>
      <c r="D812" s="61">
        <f>IFERROR(__xludf.DUMMYFUNCTION("""COMPUTED_VALUE"""),186.0)</f>
        <v>186</v>
      </c>
      <c r="E812" s="61">
        <f>IFERROR(__xludf.DUMMYFUNCTION("""COMPUTED_VALUE"""),3.0)</f>
        <v>3</v>
      </c>
      <c r="F812" s="62" t="str">
        <f>IFERROR(__xludf.DUMMYFUNCTION("""COMPUTED_VALUE"""),"https://www.google.com/maps/search/?api=1&amp;query=-30.9018476710668,-55.5381746722807")</f>
        <v>https://www.google.com/maps/search/?api=1&amp;query=-30.9018476710668,-55.5381746722807</v>
      </c>
      <c r="G812" s="63" t="str">
        <f>IFERROR(__xludf.DUMMYFUNCTION("""COMPUTED_VALUE"""),"https://earth.google.com/web/search/-30.9018476710668,-55.5381746722807")</f>
        <v>https://earth.google.com/web/search/-30.9018476710668,-55.5381746722807</v>
      </c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</row>
    <row r="813">
      <c r="A813" s="65" t="str">
        <f>IFERROR(__xludf.DUMMYFUNCTION("""COMPUTED_VALUE"""),"-30.9019021352963")</f>
        <v>-30.9019021352963</v>
      </c>
      <c r="B813" s="66" t="str">
        <f>IFERROR(__xludf.DUMMYFUNCTION("""COMPUTED_VALUE"""),"-55.5380620486078")</f>
        <v>-55.5380620486078</v>
      </c>
      <c r="C813" s="66">
        <f>IFERROR(__xludf.DUMMYFUNCTION("""COMPUTED_VALUE"""),1.0)</f>
        <v>1</v>
      </c>
      <c r="D813" s="66">
        <f>IFERROR(__xludf.DUMMYFUNCTION("""COMPUTED_VALUE"""),186.0)</f>
        <v>186</v>
      </c>
      <c r="E813" s="66">
        <f>IFERROR(__xludf.DUMMYFUNCTION("""COMPUTED_VALUE"""),4.0)</f>
        <v>4</v>
      </c>
      <c r="F813" s="67" t="str">
        <f>IFERROR(__xludf.DUMMYFUNCTION("""COMPUTED_VALUE"""),"https://www.google.com/maps/search/?api=1&amp;query=-30.9019021352963,-55.5380620486078")</f>
        <v>https://www.google.com/maps/search/?api=1&amp;query=-30.9019021352963,-55.5380620486078</v>
      </c>
      <c r="G813" s="68" t="str">
        <f>IFERROR(__xludf.DUMMYFUNCTION("""COMPUTED_VALUE"""),"https://earth.google.com/web/search/-30.9019021352963,-55.5380620486078")</f>
        <v>https://earth.google.com/web/search/-30.9019021352963,-55.5380620486078</v>
      </c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64"/>
    </row>
    <row r="814">
      <c r="A814" s="69" t="str">
        <f>IFERROR(__xludf.DUMMYFUNCTION("""COMPUTED_VALUE"""),"-30.9019588303878")</f>
        <v>-30.9019588303878</v>
      </c>
      <c r="B814" s="61" t="str">
        <f>IFERROR(__xludf.DUMMYFUNCTION("""COMPUTED_VALUE"""),"-55.5379658094094")</f>
        <v>-55.5379658094094</v>
      </c>
      <c r="C814" s="61">
        <f>IFERROR(__xludf.DUMMYFUNCTION("""COMPUTED_VALUE"""),1.0)</f>
        <v>1</v>
      </c>
      <c r="D814" s="61">
        <f>IFERROR(__xludf.DUMMYFUNCTION("""COMPUTED_VALUE"""),186.0)</f>
        <v>186</v>
      </c>
      <c r="E814" s="61">
        <f>IFERROR(__xludf.DUMMYFUNCTION("""COMPUTED_VALUE"""),5.0)</f>
        <v>5</v>
      </c>
      <c r="F814" s="62" t="str">
        <f>IFERROR(__xludf.DUMMYFUNCTION("""COMPUTED_VALUE"""),"https://www.google.com/maps/search/?api=1&amp;query=-30.9019588303878,-55.5379658094094")</f>
        <v>https://www.google.com/maps/search/?api=1&amp;query=-30.9019588303878,-55.5379658094094</v>
      </c>
      <c r="G814" s="63" t="str">
        <f>IFERROR(__xludf.DUMMYFUNCTION("""COMPUTED_VALUE"""),"https://earth.google.com/web/search/-30.9019588303878,-55.5379658094094")</f>
        <v>https://earth.google.com/web/search/-30.9019588303878,-55.5379658094094</v>
      </c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64"/>
    </row>
    <row r="815">
      <c r="A815" s="65" t="str">
        <f>IFERROR(__xludf.DUMMYFUNCTION("""COMPUTED_VALUE"""),"-30.9020515487951")</f>
        <v>-30.9020515487951</v>
      </c>
      <c r="B815" s="66" t="str">
        <f>IFERROR(__xludf.DUMMYFUNCTION("""COMPUTED_VALUE"""),"-55.5378004895683")</f>
        <v>-55.5378004895683</v>
      </c>
      <c r="C815" s="66">
        <f>IFERROR(__xludf.DUMMYFUNCTION("""COMPUTED_VALUE"""),1.0)</f>
        <v>1</v>
      </c>
      <c r="D815" s="66">
        <f>IFERROR(__xludf.DUMMYFUNCTION("""COMPUTED_VALUE"""),186.0)</f>
        <v>186</v>
      </c>
      <c r="E815" s="66">
        <f>IFERROR(__xludf.DUMMYFUNCTION("""COMPUTED_VALUE"""),6.0)</f>
        <v>6</v>
      </c>
      <c r="F815" s="67" t="str">
        <f>IFERROR(__xludf.DUMMYFUNCTION("""COMPUTED_VALUE"""),"https://www.google.com/maps/search/?api=1&amp;query=-30.9020515487951,-55.5378004895683")</f>
        <v>https://www.google.com/maps/search/?api=1&amp;query=-30.9020515487951,-55.5378004895683</v>
      </c>
      <c r="G815" s="68" t="str">
        <f>IFERROR(__xludf.DUMMYFUNCTION("""COMPUTED_VALUE"""),"https://earth.google.com/web/search/-30.9020515487951,-55.5378004895683")</f>
        <v>https://earth.google.com/web/search/-30.9020515487951,-55.5378004895683</v>
      </c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</row>
    <row r="816">
      <c r="A816" s="69" t="str">
        <f>IFERROR(__xludf.DUMMYFUNCTION("""COMPUTED_VALUE"""),"-30.9020675828078")</f>
        <v>-30.9020675828078</v>
      </c>
      <c r="B816" s="61" t="str">
        <f>IFERROR(__xludf.DUMMYFUNCTION("""COMPUTED_VALUE"""),"-55.5377185531946")</f>
        <v>-55.5377185531946</v>
      </c>
      <c r="C816" s="61">
        <f>IFERROR(__xludf.DUMMYFUNCTION("""COMPUTED_VALUE"""),1.0)</f>
        <v>1</v>
      </c>
      <c r="D816" s="61">
        <f>IFERROR(__xludf.DUMMYFUNCTION("""COMPUTED_VALUE"""),186.0)</f>
        <v>186</v>
      </c>
      <c r="E816" s="61">
        <f>IFERROR(__xludf.DUMMYFUNCTION("""COMPUTED_VALUE"""),7.0)</f>
        <v>7</v>
      </c>
      <c r="F816" s="62" t="str">
        <f>IFERROR(__xludf.DUMMYFUNCTION("""COMPUTED_VALUE"""),"https://www.google.com/maps/search/?api=1&amp;query=-30.9020675828078,-55.5377185531946")</f>
        <v>https://www.google.com/maps/search/?api=1&amp;query=-30.9020675828078,-55.5377185531946</v>
      </c>
      <c r="G816" s="63" t="str">
        <f>IFERROR(__xludf.DUMMYFUNCTION("""COMPUTED_VALUE"""),"https://earth.google.com/web/search/-30.9020675828078,-55.5377185531946")</f>
        <v>https://earth.google.com/web/search/-30.9020675828078,-55.5377185531946</v>
      </c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64"/>
    </row>
    <row r="817">
      <c r="A817" s="65" t="str">
        <f>IFERROR(__xludf.DUMMYFUNCTION("""COMPUTED_VALUE"""),"-30.9019591977997")</f>
        <v>-30.9019591977997</v>
      </c>
      <c r="B817" s="66" t="str">
        <f>IFERROR(__xludf.DUMMYFUNCTION("""COMPUTED_VALUE"""),"-55.5376431714601")</f>
        <v>-55.5376431714601</v>
      </c>
      <c r="C817" s="66">
        <f>IFERROR(__xludf.DUMMYFUNCTION("""COMPUTED_VALUE"""),1.0)</f>
        <v>1</v>
      </c>
      <c r="D817" s="66">
        <f>IFERROR(__xludf.DUMMYFUNCTION("""COMPUTED_VALUE"""),186.0)</f>
        <v>186</v>
      </c>
      <c r="E817" s="66">
        <f>IFERROR(__xludf.DUMMYFUNCTION("""COMPUTED_VALUE"""),8.0)</f>
        <v>8</v>
      </c>
      <c r="F817" s="67" t="str">
        <f>IFERROR(__xludf.DUMMYFUNCTION("""COMPUTED_VALUE"""),"https://www.google.com/maps/search/?api=1&amp;query=-30.9019591977997,-55.5376431714601")</f>
        <v>https://www.google.com/maps/search/?api=1&amp;query=-30.9019591977997,-55.5376431714601</v>
      </c>
      <c r="G817" s="68" t="str">
        <f>IFERROR(__xludf.DUMMYFUNCTION("""COMPUTED_VALUE"""),"https://earth.google.com/web/search/-30.9019591977997,-55.5376431714601")</f>
        <v>https://earth.google.com/web/search/-30.9019591977997,-55.5376431714601</v>
      </c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64"/>
    </row>
    <row r="818">
      <c r="A818" s="69" t="str">
        <f>IFERROR(__xludf.DUMMYFUNCTION("""COMPUTED_VALUE"""),"-30.9016335288475")</f>
        <v>-30.9016335288475</v>
      </c>
      <c r="B818" s="61" t="str">
        <f>IFERROR(__xludf.DUMMYFUNCTION("""COMPUTED_VALUE"""),"-55.5374029474778")</f>
        <v>-55.5374029474778</v>
      </c>
      <c r="C818" s="61">
        <f>IFERROR(__xludf.DUMMYFUNCTION("""COMPUTED_VALUE"""),1.0)</f>
        <v>1</v>
      </c>
      <c r="D818" s="61">
        <f>IFERROR(__xludf.DUMMYFUNCTION("""COMPUTED_VALUE"""),186.0)</f>
        <v>186</v>
      </c>
      <c r="E818" s="61">
        <f>IFERROR(__xludf.DUMMYFUNCTION("""COMPUTED_VALUE"""),9.0)</f>
        <v>9</v>
      </c>
      <c r="F818" s="62" t="str">
        <f>IFERROR(__xludf.DUMMYFUNCTION("""COMPUTED_VALUE"""),"https://www.google.com/maps/search/?api=1&amp;query=-30.9016335288475,-55.5374029474778")</f>
        <v>https://www.google.com/maps/search/?api=1&amp;query=-30.9016335288475,-55.5374029474778</v>
      </c>
      <c r="G818" s="63" t="str">
        <f>IFERROR(__xludf.DUMMYFUNCTION("""COMPUTED_VALUE"""),"https://earth.google.com/web/search/-30.9016335288475,-55.5374029474778")</f>
        <v>https://earth.google.com/web/search/-30.9016335288475,-55.5374029474778</v>
      </c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</row>
    <row r="819">
      <c r="A819" s="65" t="str">
        <f>IFERROR(__xludf.DUMMYFUNCTION("""COMPUTED_VALUE"""),"-3.0901532812417")</f>
        <v>-3.0901532812417</v>
      </c>
      <c r="B819" s="66" t="str">
        <f>IFERROR(__xludf.DUMMYFUNCTION("""COMPUTED_VALUE"""),"-55.5373348023231")</f>
        <v>-55.5373348023231</v>
      </c>
      <c r="C819" s="66">
        <f>IFERROR(__xludf.DUMMYFUNCTION("""COMPUTED_VALUE"""),1.0)</f>
        <v>1</v>
      </c>
      <c r="D819" s="66">
        <f>IFERROR(__xludf.DUMMYFUNCTION("""COMPUTED_VALUE"""),186.0)</f>
        <v>186</v>
      </c>
      <c r="E819" s="66">
        <f>IFERROR(__xludf.DUMMYFUNCTION("""COMPUTED_VALUE"""),10.0)</f>
        <v>10</v>
      </c>
      <c r="F819" s="67" t="str">
        <f>IFERROR(__xludf.DUMMYFUNCTION("""COMPUTED_VALUE"""),"https://www.google.com/maps/search/?api=1&amp;query=-3.0901532812417,-55.5373348023231")</f>
        <v>https://www.google.com/maps/search/?api=1&amp;query=-3.0901532812417,-55.5373348023231</v>
      </c>
      <c r="G819" s="68" t="str">
        <f>IFERROR(__xludf.DUMMYFUNCTION("""COMPUTED_VALUE"""),"https://earth.google.com/web/search/-3.0901532812417,-55.5373348023231")</f>
        <v>https://earth.google.com/web/search/-3.0901532812417,-55.5373348023231</v>
      </c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</row>
    <row r="820">
      <c r="A820" s="69" t="str">
        <f>IFERROR(__xludf.DUMMYFUNCTION("""COMPUTED_VALUE"""),"-3.0901424908621")</f>
        <v>-3.0901424908621</v>
      </c>
      <c r="B820" s="61" t="str">
        <f>IFERROR(__xludf.DUMMYFUNCTION("""COMPUTED_VALUE"""),"-55.5372489659906")</f>
        <v>-55.5372489659906</v>
      </c>
      <c r="C820" s="61">
        <f>IFERROR(__xludf.DUMMYFUNCTION("""COMPUTED_VALUE"""),1.0)</f>
        <v>1</v>
      </c>
      <c r="D820" s="61">
        <f>IFERROR(__xludf.DUMMYFUNCTION("""COMPUTED_VALUE"""),186.0)</f>
        <v>186</v>
      </c>
      <c r="E820" s="61">
        <f>IFERROR(__xludf.DUMMYFUNCTION("""COMPUTED_VALUE"""),11.0)</f>
        <v>11</v>
      </c>
      <c r="F820" s="62" t="str">
        <f>IFERROR(__xludf.DUMMYFUNCTION("""COMPUTED_VALUE"""),"https://www.google.com/maps/search/?api=1&amp;query=-3.0901424908621,-55.5372489659906")</f>
        <v>https://www.google.com/maps/search/?api=1&amp;query=-3.0901424908621,-55.5372489659906</v>
      </c>
      <c r="G820" s="63" t="str">
        <f>IFERROR(__xludf.DUMMYFUNCTION("""COMPUTED_VALUE"""),"https://earth.google.com/web/search/-3.0901424908621,-55.5372489659906")</f>
        <v>https://earth.google.com/web/search/-3.0901424908621,-55.5372489659906</v>
      </c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64"/>
    </row>
    <row r="821">
      <c r="A821" s="65" t="str">
        <f>IFERROR(__xludf.DUMMYFUNCTION("""COMPUTED_VALUE"""),"-30.9013328900568")</f>
        <v>-30.9013328900568</v>
      </c>
      <c r="B821" s="66" t="str">
        <f>IFERROR(__xludf.DUMMYFUNCTION("""COMPUTED_VALUE"""),"-55.5373209630592")</f>
        <v>-55.5373209630592</v>
      </c>
      <c r="C821" s="66">
        <f>IFERROR(__xludf.DUMMYFUNCTION("""COMPUTED_VALUE"""),1.0)</f>
        <v>1</v>
      </c>
      <c r="D821" s="66">
        <f>IFERROR(__xludf.DUMMYFUNCTION("""COMPUTED_VALUE"""),186.0)</f>
        <v>186</v>
      </c>
      <c r="E821" s="66">
        <f>IFERROR(__xludf.DUMMYFUNCTION("""COMPUTED_VALUE"""),12.0)</f>
        <v>12</v>
      </c>
      <c r="F821" s="67" t="str">
        <f>IFERROR(__xludf.DUMMYFUNCTION("""COMPUTED_VALUE"""),"https://www.google.com/maps/search/?api=1&amp;query=-30.9013328900568,-55.5373209630592")</f>
        <v>https://www.google.com/maps/search/?api=1&amp;query=-30.9013328900568,-55.5373209630592</v>
      </c>
      <c r="G821" s="68" t="str">
        <f>IFERROR(__xludf.DUMMYFUNCTION("""COMPUTED_VALUE"""),"https://earth.google.com/web/search/-30.9013328900568,-55.5373209630592")</f>
        <v>https://earth.google.com/web/search/-30.9013328900568,-55.5373209630592</v>
      </c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</row>
    <row r="822">
      <c r="A822" s="69" t="str">
        <f>IFERROR(__xludf.DUMMYFUNCTION("""COMPUTED_VALUE"""),"-30.9013040562886")</f>
        <v>-30.9013040562886</v>
      </c>
      <c r="B822" s="61" t="str">
        <f>IFERROR(__xludf.DUMMYFUNCTION("""COMPUTED_VALUE"""),"-55.5373672095465")</f>
        <v>-55.5373672095465</v>
      </c>
      <c r="C822" s="61">
        <f>IFERROR(__xludf.DUMMYFUNCTION("""COMPUTED_VALUE"""),1.0)</f>
        <v>1</v>
      </c>
      <c r="D822" s="61">
        <f>IFERROR(__xludf.DUMMYFUNCTION("""COMPUTED_VALUE"""),186.0)</f>
        <v>186</v>
      </c>
      <c r="E822" s="61">
        <f>IFERROR(__xludf.DUMMYFUNCTION("""COMPUTED_VALUE"""),13.0)</f>
        <v>13</v>
      </c>
      <c r="F822" s="62" t="str">
        <f>IFERROR(__xludf.DUMMYFUNCTION("""COMPUTED_VALUE"""),"https://www.google.com/maps/search/?api=1&amp;query=-30.9013040562886,-55.5373672095465")</f>
        <v>https://www.google.com/maps/search/?api=1&amp;query=-30.9013040562886,-55.5373672095465</v>
      </c>
      <c r="G822" s="63" t="str">
        <f>IFERROR(__xludf.DUMMYFUNCTION("""COMPUTED_VALUE"""),"https://earth.google.com/web/search/-30.9013040562886,-55.5373672095465")</f>
        <v>https://earth.google.com/web/search/-30.9013040562886,-55.5373672095465</v>
      </c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64"/>
    </row>
    <row r="823">
      <c r="A823" s="65" t="str">
        <f>IFERROR(__xludf.DUMMYFUNCTION("""COMPUTED_VALUE"""),"-30.9012719403002")</f>
        <v>-30.9012719403002</v>
      </c>
      <c r="B823" s="66" t="str">
        <f>IFERROR(__xludf.DUMMYFUNCTION("""COMPUTED_VALUE"""),"-55.5374329374221")</f>
        <v>-55.5374329374221</v>
      </c>
      <c r="C823" s="66">
        <f>IFERROR(__xludf.DUMMYFUNCTION("""COMPUTED_VALUE"""),1.0)</f>
        <v>1</v>
      </c>
      <c r="D823" s="66">
        <f>IFERROR(__xludf.DUMMYFUNCTION("""COMPUTED_VALUE"""),186.0)</f>
        <v>186</v>
      </c>
      <c r="E823" s="66">
        <f>IFERROR(__xludf.DUMMYFUNCTION("""COMPUTED_VALUE"""),14.0)</f>
        <v>14</v>
      </c>
      <c r="F823" s="67" t="str">
        <f>IFERROR(__xludf.DUMMYFUNCTION("""COMPUTED_VALUE"""),"https://www.google.com/maps/search/?api=1&amp;query=-30.9012719403002,-55.5374329374221")</f>
        <v>https://www.google.com/maps/search/?api=1&amp;query=-30.9012719403002,-55.5374329374221</v>
      </c>
      <c r="G823" s="68" t="str">
        <f>IFERROR(__xludf.DUMMYFUNCTION("""COMPUTED_VALUE"""),"https://earth.google.com/web/search/-30.9012719403002,-55.5374329374221")</f>
        <v>https://earth.google.com/web/search/-30.9012719403002,-55.5374329374221</v>
      </c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</row>
    <row r="824">
      <c r="A824" s="69" t="str">
        <f>IFERROR(__xludf.DUMMYFUNCTION("""COMPUTED_VALUE"""),"-0.3090104884942")</f>
        <v>-0.3090104884942</v>
      </c>
      <c r="B824" s="61" t="str">
        <f>IFERROR(__xludf.DUMMYFUNCTION("""COMPUTED_VALUE"""),"-55.5378483826037")</f>
        <v>-55.5378483826037</v>
      </c>
      <c r="C824" s="61">
        <f>IFERROR(__xludf.DUMMYFUNCTION("""COMPUTED_VALUE"""),1.0)</f>
        <v>1</v>
      </c>
      <c r="D824" s="61">
        <f>IFERROR(__xludf.DUMMYFUNCTION("""COMPUTED_VALUE"""),186.0)</f>
        <v>186</v>
      </c>
      <c r="E824" s="61">
        <f>IFERROR(__xludf.DUMMYFUNCTION("""COMPUTED_VALUE"""),15.0)</f>
        <v>15</v>
      </c>
      <c r="F824" s="62" t="str">
        <f>IFERROR(__xludf.DUMMYFUNCTION("""COMPUTED_VALUE"""),"https://www.google.com/maps/search/?api=1&amp;query=-0.3090104884942,-55.5378483826037")</f>
        <v>https://www.google.com/maps/search/?api=1&amp;query=-0.3090104884942,-55.5378483826037</v>
      </c>
      <c r="G824" s="63" t="str">
        <f>IFERROR(__xludf.DUMMYFUNCTION("""COMPUTED_VALUE"""),"https://earth.google.com/web/search/-0.3090104884942,-55.5378483826037")</f>
        <v>https://earth.google.com/web/search/-0.3090104884942,-55.5378483826037</v>
      </c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</row>
    <row r="825">
      <c r="A825" s="65" t="str">
        <f>IFERROR(__xludf.DUMMYFUNCTION("""COMPUTED_VALUE"""),"-30.9009993290485")</f>
        <v>-30.9009993290485</v>
      </c>
      <c r="B825" s="66" t="str">
        <f>IFERROR(__xludf.DUMMYFUNCTION("""COMPUTED_VALUE"""),"-55.5379139085722")</f>
        <v>-55.5379139085722</v>
      </c>
      <c r="C825" s="66">
        <f>IFERROR(__xludf.DUMMYFUNCTION("""COMPUTED_VALUE"""),1.0)</f>
        <v>1</v>
      </c>
      <c r="D825" s="66">
        <f>IFERROR(__xludf.DUMMYFUNCTION("""COMPUTED_VALUE"""),186.0)</f>
        <v>186</v>
      </c>
      <c r="E825" s="66">
        <f>IFERROR(__xludf.DUMMYFUNCTION("""COMPUTED_VALUE"""),16.0)</f>
        <v>16</v>
      </c>
      <c r="F825" s="67" t="str">
        <f>IFERROR(__xludf.DUMMYFUNCTION("""COMPUTED_VALUE"""),"https://www.google.com/maps/search/?api=1&amp;query=-30.9009993290485,-55.5379139085722")</f>
        <v>https://www.google.com/maps/search/?api=1&amp;query=-30.9009993290485,-55.5379139085722</v>
      </c>
      <c r="G825" s="68" t="str">
        <f>IFERROR(__xludf.DUMMYFUNCTION("""COMPUTED_VALUE"""),"https://earth.google.com/web/search/-30.9009993290485,-55.5379139085722")</f>
        <v>https://earth.google.com/web/search/-30.9009993290485,-55.5379139085722</v>
      </c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</row>
    <row r="826">
      <c r="A826" s="69" t="str">
        <f>IFERROR(__xludf.DUMMYFUNCTION("""COMPUTED_VALUE"""),"-30.9009664405982")</f>
        <v>-30.9009664405982</v>
      </c>
      <c r="B826" s="61" t="str">
        <f>IFERROR(__xludf.DUMMYFUNCTION("""COMPUTED_VALUE"""),"-5.5537987787949")</f>
        <v>-5.5537987787949</v>
      </c>
      <c r="C826" s="61">
        <f>IFERROR(__xludf.DUMMYFUNCTION("""COMPUTED_VALUE"""),1.0)</f>
        <v>1</v>
      </c>
      <c r="D826" s="61">
        <f>IFERROR(__xludf.DUMMYFUNCTION("""COMPUTED_VALUE"""),186.0)</f>
        <v>186</v>
      </c>
      <c r="E826" s="61">
        <f>IFERROR(__xludf.DUMMYFUNCTION("""COMPUTED_VALUE"""),17.0)</f>
        <v>17</v>
      </c>
      <c r="F826" s="62" t="str">
        <f>IFERROR(__xludf.DUMMYFUNCTION("""COMPUTED_VALUE"""),"https://www.google.com/maps/search/?api=1&amp;query=-30.9009664405982,-5.5537987787949")</f>
        <v>https://www.google.com/maps/search/?api=1&amp;query=-30.9009664405982,-5.5537987787949</v>
      </c>
      <c r="G826" s="63" t="str">
        <f>IFERROR(__xludf.DUMMYFUNCTION("""COMPUTED_VALUE"""),"https://earth.google.com/web/search/-30.9009664405982,-5.5537987787949")</f>
        <v>https://earth.google.com/web/search/-30.9009664405982,-5.5537987787949</v>
      </c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</row>
    <row r="827">
      <c r="A827" s="65" t="str">
        <f>IFERROR(__xludf.DUMMYFUNCTION("""COMPUTED_VALUE"""),"-30.9010130491897")</f>
        <v>-30.9010130491897</v>
      </c>
      <c r="B827" s="66" t="str">
        <f>IFERROR(__xludf.DUMMYFUNCTION("""COMPUTED_VALUE"""),"-55.5380965329706")</f>
        <v>-55.5380965329706</v>
      </c>
      <c r="C827" s="66">
        <f>IFERROR(__xludf.DUMMYFUNCTION("""COMPUTED_VALUE"""),1.0)</f>
        <v>1</v>
      </c>
      <c r="D827" s="66">
        <f>IFERROR(__xludf.DUMMYFUNCTION("""COMPUTED_VALUE"""),186.0)</f>
        <v>186</v>
      </c>
      <c r="E827" s="66">
        <f>IFERROR(__xludf.DUMMYFUNCTION("""COMPUTED_VALUE"""),18.0)</f>
        <v>18</v>
      </c>
      <c r="F827" s="67" t="str">
        <f>IFERROR(__xludf.DUMMYFUNCTION("""COMPUTED_VALUE"""),"https://www.google.com/maps/search/?api=1&amp;query=-30.9010130491897,-55.5380965329706")</f>
        <v>https://www.google.com/maps/search/?api=1&amp;query=-30.9010130491897,-55.5380965329706</v>
      </c>
      <c r="G827" s="68" t="str">
        <f>IFERROR(__xludf.DUMMYFUNCTION("""COMPUTED_VALUE"""),"https://earth.google.com/web/search/-30.9010130491897,-55.5380965329706")</f>
        <v>https://earth.google.com/web/search/-30.9010130491897,-55.5380965329706</v>
      </c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</row>
    <row r="828">
      <c r="A828" s="69" t="str">
        <f>IFERROR(__xludf.DUMMYFUNCTION("""COMPUTED_VALUE"""),"-30.9010803894025")</f>
        <v>-30.9010803894025</v>
      </c>
      <c r="B828" s="61" t="str">
        <f>IFERROR(__xludf.DUMMYFUNCTION("""COMPUTED_VALUE"""),"-55.5381436764969")</f>
        <v>-55.5381436764969</v>
      </c>
      <c r="C828" s="61">
        <f>IFERROR(__xludf.DUMMYFUNCTION("""COMPUTED_VALUE"""),1.0)</f>
        <v>1</v>
      </c>
      <c r="D828" s="61">
        <f>IFERROR(__xludf.DUMMYFUNCTION("""COMPUTED_VALUE"""),186.0)</f>
        <v>186</v>
      </c>
      <c r="E828" s="61">
        <f>IFERROR(__xludf.DUMMYFUNCTION("""COMPUTED_VALUE"""),19.0)</f>
        <v>19</v>
      </c>
      <c r="F828" s="62" t="str">
        <f>IFERROR(__xludf.DUMMYFUNCTION("""COMPUTED_VALUE"""),"https://www.google.com/maps/search/?api=1&amp;query=-30.9010803894025,-55.5381436764969")</f>
        <v>https://www.google.com/maps/search/?api=1&amp;query=-30.9010803894025,-55.5381436764969</v>
      </c>
      <c r="G828" s="63" t="str">
        <f>IFERROR(__xludf.DUMMYFUNCTION("""COMPUTED_VALUE"""),"https://earth.google.com/web/search/-30.9010803894025,-55.5381436764969")</f>
        <v>https://earth.google.com/web/search/-30.9010803894025,-55.5381436764969</v>
      </c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</row>
    <row r="829">
      <c r="A829" s="65" t="str">
        <f>IFERROR(__xludf.DUMMYFUNCTION("""COMPUTED_VALUE"""),"-30.9011666582945")</f>
        <v>-30.9011666582945</v>
      </c>
      <c r="B829" s="66" t="str">
        <f>IFERROR(__xludf.DUMMYFUNCTION("""COMPUTED_VALUE"""),"-55.5382042712273")</f>
        <v>-55.5382042712273</v>
      </c>
      <c r="C829" s="66">
        <f>IFERROR(__xludf.DUMMYFUNCTION("""COMPUTED_VALUE"""),1.0)</f>
        <v>1</v>
      </c>
      <c r="D829" s="66">
        <f>IFERROR(__xludf.DUMMYFUNCTION("""COMPUTED_VALUE"""),186.0)</f>
        <v>186</v>
      </c>
      <c r="E829" s="66">
        <f>IFERROR(__xludf.DUMMYFUNCTION("""COMPUTED_VALUE"""),20.0)</f>
        <v>20</v>
      </c>
      <c r="F829" s="67" t="str">
        <f>IFERROR(__xludf.DUMMYFUNCTION("""COMPUTED_VALUE"""),"https://www.google.com/maps/search/?api=1&amp;query=-30.9011666582945,-55.5382042712273")</f>
        <v>https://www.google.com/maps/search/?api=1&amp;query=-30.9011666582945,-55.5382042712273</v>
      </c>
      <c r="G829" s="68" t="str">
        <f>IFERROR(__xludf.DUMMYFUNCTION("""COMPUTED_VALUE"""),"https://earth.google.com/web/search/-30.9011666582945,-55.5382042712273")</f>
        <v>https://earth.google.com/web/search/-30.9011666582945,-55.5382042712273</v>
      </c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</row>
    <row r="830">
      <c r="A830" s="69" t="str">
        <f>IFERROR(__xludf.DUMMYFUNCTION("""COMPUTED_VALUE"""),"-0.3090123349069")</f>
        <v>-0.3090123349069</v>
      </c>
      <c r="B830" s="61" t="str">
        <f>IFERROR(__xludf.DUMMYFUNCTION("""COMPUTED_VALUE"""),"-55.5382495359816")</f>
        <v>-55.5382495359816</v>
      </c>
      <c r="C830" s="61">
        <f>IFERROR(__xludf.DUMMYFUNCTION("""COMPUTED_VALUE"""),1.0)</f>
        <v>1</v>
      </c>
      <c r="D830" s="61">
        <f>IFERROR(__xludf.DUMMYFUNCTION("""COMPUTED_VALUE"""),186.0)</f>
        <v>186</v>
      </c>
      <c r="E830" s="61">
        <f>IFERROR(__xludf.DUMMYFUNCTION("""COMPUTED_VALUE"""),21.0)</f>
        <v>21</v>
      </c>
      <c r="F830" s="62" t="str">
        <f>IFERROR(__xludf.DUMMYFUNCTION("""COMPUTED_VALUE"""),"https://www.google.com/maps/search/?api=1&amp;query=-0.3090123349069,-55.5382495359816")</f>
        <v>https://www.google.com/maps/search/?api=1&amp;query=-0.3090123349069,-55.5382495359816</v>
      </c>
      <c r="G830" s="63" t="str">
        <f>IFERROR(__xludf.DUMMYFUNCTION("""COMPUTED_VALUE"""),"https://earth.google.com/web/search/-0.3090123349069,-55.5382495359816")</f>
        <v>https://earth.google.com/web/search/-0.3090123349069,-55.5382495359816</v>
      </c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</row>
    <row r="831">
      <c r="A831" s="65" t="str">
        <f>IFERROR(__xludf.DUMMYFUNCTION("""COMPUTED_VALUE"""),"-30.9015508619723")</f>
        <v>-30.9015508619723</v>
      </c>
      <c r="B831" s="66" t="str">
        <f>IFERROR(__xludf.DUMMYFUNCTION("""COMPUTED_VALUE"""),"-55.5384781866218")</f>
        <v>-55.5384781866218</v>
      </c>
      <c r="C831" s="66">
        <f>IFERROR(__xludf.DUMMYFUNCTION("""COMPUTED_VALUE"""),1.0)</f>
        <v>1</v>
      </c>
      <c r="D831" s="66">
        <f>IFERROR(__xludf.DUMMYFUNCTION("""COMPUTED_VALUE"""),186.0)</f>
        <v>186</v>
      </c>
      <c r="E831" s="66">
        <f>IFERROR(__xludf.DUMMYFUNCTION("""COMPUTED_VALUE"""),22.0)</f>
        <v>22</v>
      </c>
      <c r="F831" s="67" t="str">
        <f>IFERROR(__xludf.DUMMYFUNCTION("""COMPUTED_VALUE"""),"https://www.google.com/maps/search/?api=1&amp;query=-30.9015508619723,-55.5384781866218")</f>
        <v>https://www.google.com/maps/search/?api=1&amp;query=-30.9015508619723,-55.5384781866218</v>
      </c>
      <c r="G831" s="68" t="str">
        <f>IFERROR(__xludf.DUMMYFUNCTION("""COMPUTED_VALUE"""),"https://earth.google.com/web/search/-30.9015508619723,-55.5384781866218")</f>
        <v>https://earth.google.com/web/search/-30.9015508619723,-55.5384781866218</v>
      </c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</row>
    <row r="832">
      <c r="A832" s="69" t="str">
        <f>IFERROR(__xludf.DUMMYFUNCTION("""COMPUTED_VALUE"""),"-30.9015978466333")</f>
        <v>-30.9015978466333</v>
      </c>
      <c r="B832" s="61" t="str">
        <f>IFERROR(__xludf.DUMMYFUNCTION("""COMPUTED_VALUE"""),"-55.5385056096479")</f>
        <v>-55.5385056096479</v>
      </c>
      <c r="C832" s="61">
        <f>IFERROR(__xludf.DUMMYFUNCTION("""COMPUTED_VALUE"""),1.0)</f>
        <v>1</v>
      </c>
      <c r="D832" s="61">
        <f>IFERROR(__xludf.DUMMYFUNCTION("""COMPUTED_VALUE"""),186.0)</f>
        <v>186</v>
      </c>
      <c r="E832" s="61">
        <f>IFERROR(__xludf.DUMMYFUNCTION("""COMPUTED_VALUE"""),23.0)</f>
        <v>23</v>
      </c>
      <c r="F832" s="62" t="str">
        <f>IFERROR(__xludf.DUMMYFUNCTION("""COMPUTED_VALUE"""),"https://www.google.com/maps/search/?api=1&amp;query=-30.9015978466333,-55.5385056096479")</f>
        <v>https://www.google.com/maps/search/?api=1&amp;query=-30.9015978466333,-55.5385056096479</v>
      </c>
      <c r="G832" s="63" t="str">
        <f>IFERROR(__xludf.DUMMYFUNCTION("""COMPUTED_VALUE"""),"https://earth.google.com/web/search/-30.9015978466333,-55.5385056096479")</f>
        <v>https://earth.google.com/web/search/-30.9015978466333,-55.5385056096479</v>
      </c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</row>
    <row r="833">
      <c r="A833" s="65" t="str">
        <f>IFERROR(__xludf.DUMMYFUNCTION("""COMPUTED_VALUE"""),"-30.9013060652023")</f>
        <v>-30.9013060652023</v>
      </c>
      <c r="B833" s="66" t="str">
        <f>IFERROR(__xludf.DUMMYFUNCTION("""COMPUTED_VALUE"""),"-55.5392124515717")</f>
        <v>-55.5392124515717</v>
      </c>
      <c r="C833" s="66">
        <f>IFERROR(__xludf.DUMMYFUNCTION("""COMPUTED_VALUE"""),1.0)</f>
        <v>1</v>
      </c>
      <c r="D833" s="66">
        <f>IFERROR(__xludf.DUMMYFUNCTION("""COMPUTED_VALUE"""),187.0)</f>
        <v>187</v>
      </c>
      <c r="E833" s="66">
        <f>IFERROR(__xludf.DUMMYFUNCTION("""COMPUTED_VALUE"""),1.0)</f>
        <v>1</v>
      </c>
      <c r="F833" s="67" t="str">
        <f>IFERROR(__xludf.DUMMYFUNCTION("""COMPUTED_VALUE"""),"https://www.google.com/maps/search/?api=1&amp;query=-30.9013060652023,-55.5392124515717")</f>
        <v>https://www.google.com/maps/search/?api=1&amp;query=-30.9013060652023,-55.5392124515717</v>
      </c>
      <c r="G833" s="68" t="str">
        <f>IFERROR(__xludf.DUMMYFUNCTION("""COMPUTED_VALUE"""),"https://earth.google.com/web/search/-30.9013060652023,-55.5392124515717")</f>
        <v>https://earth.google.com/web/search/-30.9013060652023,-55.5392124515717</v>
      </c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</row>
    <row r="834">
      <c r="A834" s="69" t="str">
        <f>IFERROR(__xludf.DUMMYFUNCTION("""COMPUTED_VALUE"""),"-3.0901351607812")</f>
        <v>-3.0901351607812</v>
      </c>
      <c r="B834" s="61" t="str">
        <f>IFERROR(__xludf.DUMMYFUNCTION("""COMPUTED_VALUE"""),"-55.5391656980794")</f>
        <v>-55.5391656980794</v>
      </c>
      <c r="C834" s="61">
        <f>IFERROR(__xludf.DUMMYFUNCTION("""COMPUTED_VALUE"""),1.0)</f>
        <v>1</v>
      </c>
      <c r="D834" s="61">
        <f>IFERROR(__xludf.DUMMYFUNCTION("""COMPUTED_VALUE"""),187.0)</f>
        <v>187</v>
      </c>
      <c r="E834" s="61">
        <f>IFERROR(__xludf.DUMMYFUNCTION("""COMPUTED_VALUE"""),2.0)</f>
        <v>2</v>
      </c>
      <c r="F834" s="62" t="str">
        <f>IFERROR(__xludf.DUMMYFUNCTION("""COMPUTED_VALUE"""),"https://www.google.com/maps/search/?api=1&amp;query=-3.0901351607812,-55.5391656980794")</f>
        <v>https://www.google.com/maps/search/?api=1&amp;query=-3.0901351607812,-55.5391656980794</v>
      </c>
      <c r="G834" s="63" t="str">
        <f>IFERROR(__xludf.DUMMYFUNCTION("""COMPUTED_VALUE"""),"https://earth.google.com/web/search/-3.0901351607812,-55.5391656980794")</f>
        <v>https://earth.google.com/web/search/-3.0901351607812,-55.5391656980794</v>
      </c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</row>
    <row r="835">
      <c r="A835" s="65" t="str">
        <f>IFERROR(__xludf.DUMMYFUNCTION("""COMPUTED_VALUE"""),"-30.9014291633602")</f>
        <v>-30.9014291633602</v>
      </c>
      <c r="B835" s="66" t="str">
        <f>IFERROR(__xludf.DUMMYFUNCTION("""COMPUTED_VALUE"""),"-55.5389750789521")</f>
        <v>-55.5389750789521</v>
      </c>
      <c r="C835" s="66">
        <f>IFERROR(__xludf.DUMMYFUNCTION("""COMPUTED_VALUE"""),1.0)</f>
        <v>1</v>
      </c>
      <c r="D835" s="66">
        <f>IFERROR(__xludf.DUMMYFUNCTION("""COMPUTED_VALUE"""),187.0)</f>
        <v>187</v>
      </c>
      <c r="E835" s="66">
        <f>IFERROR(__xludf.DUMMYFUNCTION("""COMPUTED_VALUE"""),3.0)</f>
        <v>3</v>
      </c>
      <c r="F835" s="67" t="str">
        <f>IFERROR(__xludf.DUMMYFUNCTION("""COMPUTED_VALUE"""),"https://www.google.com/maps/search/?api=1&amp;query=-30.9014291633602,-55.5389750789521")</f>
        <v>https://www.google.com/maps/search/?api=1&amp;query=-30.9014291633602,-55.5389750789521</v>
      </c>
      <c r="G835" s="68" t="str">
        <f>IFERROR(__xludf.DUMMYFUNCTION("""COMPUTED_VALUE"""),"https://earth.google.com/web/search/-30.9014291633602,-55.5389750789521")</f>
        <v>https://earth.google.com/web/search/-30.9014291633602,-55.5389750789521</v>
      </c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</row>
    <row r="836">
      <c r="A836" s="69" t="str">
        <f>IFERROR(__xludf.DUMMYFUNCTION("""COMPUTED_VALUE"""),"-30.9015101556958")</f>
        <v>-30.9015101556958</v>
      </c>
      <c r="B836" s="61" t="str">
        <f>IFERROR(__xludf.DUMMYFUNCTION("""COMPUTED_VALUE"""),"-55.5388420254968")</f>
        <v>-55.5388420254968</v>
      </c>
      <c r="C836" s="61">
        <f>IFERROR(__xludf.DUMMYFUNCTION("""COMPUTED_VALUE"""),1.0)</f>
        <v>1</v>
      </c>
      <c r="D836" s="61">
        <f>IFERROR(__xludf.DUMMYFUNCTION("""COMPUTED_VALUE"""),187.0)</f>
        <v>187</v>
      </c>
      <c r="E836" s="61">
        <f>IFERROR(__xludf.DUMMYFUNCTION("""COMPUTED_VALUE"""),4.0)</f>
        <v>4</v>
      </c>
      <c r="F836" s="62" t="str">
        <f>IFERROR(__xludf.DUMMYFUNCTION("""COMPUTED_VALUE"""),"https://www.google.com/maps/search/?api=1&amp;query=-30.9015101556958,-55.5388420254968")</f>
        <v>https://www.google.com/maps/search/?api=1&amp;query=-30.9015101556958,-55.5388420254968</v>
      </c>
      <c r="G836" s="63" t="str">
        <f>IFERROR(__xludf.DUMMYFUNCTION("""COMPUTED_VALUE"""),"https://earth.google.com/web/search/-30.9015101556958,-55.5388420254968")</f>
        <v>https://earth.google.com/web/search/-30.9015101556958,-55.5388420254968</v>
      </c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</row>
    <row r="837">
      <c r="A837" s="65" t="str">
        <f>IFERROR(__xludf.DUMMYFUNCTION("""COMPUTED_VALUE"""),"-30.9013813802759")</f>
        <v>-30.9013813802759</v>
      </c>
      <c r="B837" s="66" t="str">
        <f>IFERROR(__xludf.DUMMYFUNCTION("""COMPUTED_VALUE"""),"-55.5384718576937")</f>
        <v>-55.5384718576937</v>
      </c>
      <c r="C837" s="66">
        <f>IFERROR(__xludf.DUMMYFUNCTION("""COMPUTED_VALUE"""),1.0)</f>
        <v>1</v>
      </c>
      <c r="D837" s="66">
        <f>IFERROR(__xludf.DUMMYFUNCTION("""COMPUTED_VALUE"""),187.0)</f>
        <v>187</v>
      </c>
      <c r="E837" s="66">
        <f>IFERROR(__xludf.DUMMYFUNCTION("""COMPUTED_VALUE"""),5.0)</f>
        <v>5</v>
      </c>
      <c r="F837" s="67" t="str">
        <f>IFERROR(__xludf.DUMMYFUNCTION("""COMPUTED_VALUE"""),"https://www.google.com/maps/search/?api=1&amp;query=-30.9013813802759,-55.5384718576937")</f>
        <v>https://www.google.com/maps/search/?api=1&amp;query=-30.9013813802759,-55.5384718576937</v>
      </c>
      <c r="G837" s="68" t="str">
        <f>IFERROR(__xludf.DUMMYFUNCTION("""COMPUTED_VALUE"""),"https://earth.google.com/web/search/-30.9013813802759,-55.5384718576937")</f>
        <v>https://earth.google.com/web/search/-30.9013813802759,-55.5384718576937</v>
      </c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</row>
    <row r="838">
      <c r="A838" s="69" t="str">
        <f>IFERROR(__xludf.DUMMYFUNCTION("""COMPUTED_VALUE"""),"-30.9012780204064")</f>
        <v>-30.9012780204064</v>
      </c>
      <c r="B838" s="61" t="str">
        <f>IFERROR(__xludf.DUMMYFUNCTION("""COMPUTED_VALUE"""),"-55.5383856667004")</f>
        <v>-55.5383856667004</v>
      </c>
      <c r="C838" s="61">
        <f>IFERROR(__xludf.DUMMYFUNCTION("""COMPUTED_VALUE"""),1.0)</f>
        <v>1</v>
      </c>
      <c r="D838" s="61">
        <f>IFERROR(__xludf.DUMMYFUNCTION("""COMPUTED_VALUE"""),187.0)</f>
        <v>187</v>
      </c>
      <c r="E838" s="61">
        <f>IFERROR(__xludf.DUMMYFUNCTION("""COMPUTED_VALUE"""),6.0)</f>
        <v>6</v>
      </c>
      <c r="F838" s="62" t="str">
        <f>IFERROR(__xludf.DUMMYFUNCTION("""COMPUTED_VALUE"""),"https://www.google.com/maps/search/?api=1&amp;query=-30.9012780204064,-55.5383856667004")</f>
        <v>https://www.google.com/maps/search/?api=1&amp;query=-30.9012780204064,-55.5383856667004</v>
      </c>
      <c r="G838" s="63" t="str">
        <f>IFERROR(__xludf.DUMMYFUNCTION("""COMPUTED_VALUE"""),"https://earth.google.com/web/search/-30.9012780204064,-55.5383856667004")</f>
        <v>https://earth.google.com/web/search/-30.9012780204064,-55.5383856667004</v>
      </c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</row>
    <row r="839">
      <c r="A839" s="65" t="str">
        <f>IFERROR(__xludf.DUMMYFUNCTION("""COMPUTED_VALUE"""),"-30.9010577710448")</f>
        <v>-30.9010577710448</v>
      </c>
      <c r="B839" s="66" t="str">
        <f>IFERROR(__xludf.DUMMYFUNCTION("""COMPUTED_VALUE"""),"-55.5382399683222")</f>
        <v>-55.5382399683222</v>
      </c>
      <c r="C839" s="66">
        <f>IFERROR(__xludf.DUMMYFUNCTION("""COMPUTED_VALUE"""),1.0)</f>
        <v>1</v>
      </c>
      <c r="D839" s="66">
        <f>IFERROR(__xludf.DUMMYFUNCTION("""COMPUTED_VALUE"""),187.0)</f>
        <v>187</v>
      </c>
      <c r="E839" s="66">
        <f>IFERROR(__xludf.DUMMYFUNCTION("""COMPUTED_VALUE"""),7.0)</f>
        <v>7</v>
      </c>
      <c r="F839" s="67" t="str">
        <f>IFERROR(__xludf.DUMMYFUNCTION("""COMPUTED_VALUE"""),"https://www.google.com/maps/search/?api=1&amp;query=-30.9010577710448,-55.5382399683222")</f>
        <v>https://www.google.com/maps/search/?api=1&amp;query=-30.9010577710448,-55.5382399683222</v>
      </c>
      <c r="G839" s="68" t="str">
        <f>IFERROR(__xludf.DUMMYFUNCTION("""COMPUTED_VALUE"""),"https://earth.google.com/web/search/-30.9010577710448,-55.5382399683222")</f>
        <v>https://earth.google.com/web/search/-30.9010577710448,-55.5382399683222</v>
      </c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</row>
    <row r="840">
      <c r="A840" s="69" t="str">
        <f>IFERROR(__xludf.DUMMYFUNCTION("""COMPUTED_VALUE"""),"-30.9010088252327")</f>
        <v>-30.9010088252327</v>
      </c>
      <c r="B840" s="61" t="str">
        <f>IFERROR(__xludf.DUMMYFUNCTION("""COMPUTED_VALUE"""),"-55.5381937862968")</f>
        <v>-55.5381937862968</v>
      </c>
      <c r="C840" s="61">
        <f>IFERROR(__xludf.DUMMYFUNCTION("""COMPUTED_VALUE"""),1.0)</f>
        <v>1</v>
      </c>
      <c r="D840" s="61">
        <f>IFERROR(__xludf.DUMMYFUNCTION("""COMPUTED_VALUE"""),187.0)</f>
        <v>187</v>
      </c>
      <c r="E840" s="61">
        <f>IFERROR(__xludf.DUMMYFUNCTION("""COMPUTED_VALUE"""),8.0)</f>
        <v>8</v>
      </c>
      <c r="F840" s="62" t="str">
        <f>IFERROR(__xludf.DUMMYFUNCTION("""COMPUTED_VALUE"""),"https://www.google.com/maps/search/?api=1&amp;query=-30.9010088252327,-55.5381937862968")</f>
        <v>https://www.google.com/maps/search/?api=1&amp;query=-30.9010088252327,-55.5381937862968</v>
      </c>
      <c r="G840" s="63" t="str">
        <f>IFERROR(__xludf.DUMMYFUNCTION("""COMPUTED_VALUE"""),"https://earth.google.com/web/search/-30.9010088252327,-55.5381937862968")</f>
        <v>https://earth.google.com/web/search/-30.9010088252327,-55.5381937862968</v>
      </c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</row>
    <row r="841">
      <c r="A841" s="65" t="str">
        <f>IFERROR(__xludf.DUMMYFUNCTION("""COMPUTED_VALUE"""),"-3.0900823542087")</f>
        <v>-3.0900823542087</v>
      </c>
      <c r="B841" s="66" t="str">
        <f>IFERROR(__xludf.DUMMYFUNCTION("""COMPUTED_VALUE"""),"-55.5382562306067")</f>
        <v>-55.5382562306067</v>
      </c>
      <c r="C841" s="66">
        <f>IFERROR(__xludf.DUMMYFUNCTION("""COMPUTED_VALUE"""),1.0)</f>
        <v>1</v>
      </c>
      <c r="D841" s="66">
        <f>IFERROR(__xludf.DUMMYFUNCTION("""COMPUTED_VALUE"""),187.0)</f>
        <v>187</v>
      </c>
      <c r="E841" s="66">
        <f>IFERROR(__xludf.DUMMYFUNCTION("""COMPUTED_VALUE"""),9.0)</f>
        <v>9</v>
      </c>
      <c r="F841" s="67" t="str">
        <f>IFERROR(__xludf.DUMMYFUNCTION("""COMPUTED_VALUE"""),"https://www.google.com/maps/search/?api=1&amp;query=-3.0900823542087,-55.5382562306067")</f>
        <v>https://www.google.com/maps/search/?api=1&amp;query=-3.0900823542087,-55.5382562306067</v>
      </c>
      <c r="G841" s="68" t="str">
        <f>IFERROR(__xludf.DUMMYFUNCTION("""COMPUTED_VALUE"""),"https://earth.google.com/web/search/-3.0900823542087,-55.5382562306067")</f>
        <v>https://earth.google.com/web/search/-3.0900823542087,-55.5382562306067</v>
      </c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</row>
    <row r="842">
      <c r="A842" s="69" t="str">
        <f>IFERROR(__xludf.DUMMYFUNCTION("""COMPUTED_VALUE"""),"-30.9007527939941")</f>
        <v>-30.9007527939941</v>
      </c>
      <c r="B842" s="61" t="str">
        <f>IFERROR(__xludf.DUMMYFUNCTION("""COMPUTED_VALUE"""),"-55.5383932477125")</f>
        <v>-55.5383932477125</v>
      </c>
      <c r="C842" s="61">
        <f>IFERROR(__xludf.DUMMYFUNCTION("""COMPUTED_VALUE"""),1.0)</f>
        <v>1</v>
      </c>
      <c r="D842" s="61">
        <f>IFERROR(__xludf.DUMMYFUNCTION("""COMPUTED_VALUE"""),187.0)</f>
        <v>187</v>
      </c>
      <c r="E842" s="61">
        <f>IFERROR(__xludf.DUMMYFUNCTION("""COMPUTED_VALUE"""),10.0)</f>
        <v>10</v>
      </c>
      <c r="F842" s="62" t="str">
        <f>IFERROR(__xludf.DUMMYFUNCTION("""COMPUTED_VALUE"""),"https://www.google.com/maps/search/?api=1&amp;query=-30.9007527939941,-55.5383932477125")</f>
        <v>https://www.google.com/maps/search/?api=1&amp;query=-30.9007527939941,-55.5383932477125</v>
      </c>
      <c r="G842" s="63" t="str">
        <f>IFERROR(__xludf.DUMMYFUNCTION("""COMPUTED_VALUE"""),"https://earth.google.com/web/search/-30.9007527939941,-55.5383932477125")</f>
        <v>https://earth.google.com/web/search/-30.9007527939941,-55.5383932477125</v>
      </c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</row>
    <row r="843">
      <c r="A843" s="65" t="str">
        <f>IFERROR(__xludf.DUMMYFUNCTION("""COMPUTED_VALUE"""),"-30.9007025863489")</f>
        <v>-30.9007025863489</v>
      </c>
      <c r="B843" s="66" t="str">
        <f>IFERROR(__xludf.DUMMYFUNCTION("""COMPUTED_VALUE"""),"-55.5384878294332")</f>
        <v>-55.5384878294332</v>
      </c>
      <c r="C843" s="66">
        <f>IFERROR(__xludf.DUMMYFUNCTION("""COMPUTED_VALUE"""),1.0)</f>
        <v>1</v>
      </c>
      <c r="D843" s="66">
        <f>IFERROR(__xludf.DUMMYFUNCTION("""COMPUTED_VALUE"""),187.0)</f>
        <v>187</v>
      </c>
      <c r="E843" s="66">
        <f>IFERROR(__xludf.DUMMYFUNCTION("""COMPUTED_VALUE"""),11.0)</f>
        <v>11</v>
      </c>
      <c r="F843" s="67" t="str">
        <f>IFERROR(__xludf.DUMMYFUNCTION("""COMPUTED_VALUE"""),"https://www.google.com/maps/search/?api=1&amp;query=-30.9007025863489,-55.5384878294332")</f>
        <v>https://www.google.com/maps/search/?api=1&amp;query=-30.9007025863489,-55.5384878294332</v>
      </c>
      <c r="G843" s="68" t="str">
        <f>IFERROR(__xludf.DUMMYFUNCTION("""COMPUTED_VALUE"""),"https://earth.google.com/web/search/-30.9007025863489,-55.5384878294332")</f>
        <v>https://earth.google.com/web/search/-30.9007025863489,-55.5384878294332</v>
      </c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</row>
    <row r="844">
      <c r="A844" s="69" t="str">
        <f>IFERROR(__xludf.DUMMYFUNCTION("""COMPUTED_VALUE"""),"-3.0900652950682")</f>
        <v>-3.0900652950682</v>
      </c>
      <c r="B844" s="61" t="str">
        <f>IFERROR(__xludf.DUMMYFUNCTION("""COMPUTED_VALUE"""),"-55.5386032432771")</f>
        <v>-55.5386032432771</v>
      </c>
      <c r="C844" s="61">
        <f>IFERROR(__xludf.DUMMYFUNCTION("""COMPUTED_VALUE"""),1.0)</f>
        <v>1</v>
      </c>
      <c r="D844" s="61">
        <f>IFERROR(__xludf.DUMMYFUNCTION("""COMPUTED_VALUE"""),187.0)</f>
        <v>187</v>
      </c>
      <c r="E844" s="61">
        <f>IFERROR(__xludf.DUMMYFUNCTION("""COMPUTED_VALUE"""),12.0)</f>
        <v>12</v>
      </c>
      <c r="F844" s="62" t="str">
        <f>IFERROR(__xludf.DUMMYFUNCTION("""COMPUTED_VALUE"""),"https://www.google.com/maps/search/?api=1&amp;query=-3.0900652950682,-55.5386032432771")</f>
        <v>https://www.google.com/maps/search/?api=1&amp;query=-3.0900652950682,-55.5386032432771</v>
      </c>
      <c r="G844" s="63" t="str">
        <f>IFERROR(__xludf.DUMMYFUNCTION("""COMPUTED_VALUE"""),"https://earth.google.com/web/search/-3.0900652950682,-55.5386032432771")</f>
        <v>https://earth.google.com/web/search/-3.0900652950682,-55.5386032432771</v>
      </c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</row>
    <row r="845">
      <c r="A845" s="65" t="str">
        <f>IFERROR(__xludf.DUMMYFUNCTION("""COMPUTED_VALUE"""),"-30.9005280634462")</f>
        <v>-30.9005280634462</v>
      </c>
      <c r="B845" s="66" t="str">
        <f>IFERROR(__xludf.DUMMYFUNCTION("""COMPUTED_VALUE"""),"-55.5388339057183")</f>
        <v>-55.5388339057183</v>
      </c>
      <c r="C845" s="66">
        <f>IFERROR(__xludf.DUMMYFUNCTION("""COMPUTED_VALUE"""),1.0)</f>
        <v>1</v>
      </c>
      <c r="D845" s="66">
        <f>IFERROR(__xludf.DUMMYFUNCTION("""COMPUTED_VALUE"""),187.0)</f>
        <v>187</v>
      </c>
      <c r="E845" s="66">
        <f>IFERROR(__xludf.DUMMYFUNCTION("""COMPUTED_VALUE"""),13.0)</f>
        <v>13</v>
      </c>
      <c r="F845" s="67" t="str">
        <f>IFERROR(__xludf.DUMMYFUNCTION("""COMPUTED_VALUE"""),"https://www.google.com/maps/search/?api=1&amp;query=-30.9005280634462,-55.5388339057183")</f>
        <v>https://www.google.com/maps/search/?api=1&amp;query=-30.9005280634462,-55.5388339057183</v>
      </c>
      <c r="G845" s="68" t="str">
        <f>IFERROR(__xludf.DUMMYFUNCTION("""COMPUTED_VALUE"""),"https://earth.google.com/web/search/-30.9005280634462,-55.5388339057183")</f>
        <v>https://earth.google.com/web/search/-30.9005280634462,-55.5388339057183</v>
      </c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</row>
    <row r="846">
      <c r="A846" s="69" t="str">
        <f>IFERROR(__xludf.DUMMYFUNCTION("""COMPUTED_VALUE"""),"-30.9005945428607")</f>
        <v>-30.9005945428607</v>
      </c>
      <c r="B846" s="61" t="str">
        <f>IFERROR(__xludf.DUMMYFUNCTION("""COMPUTED_VALUE"""),"-55.5390433076613")</f>
        <v>-55.5390433076613</v>
      </c>
      <c r="C846" s="61">
        <f>IFERROR(__xludf.DUMMYFUNCTION("""COMPUTED_VALUE"""),1.0)</f>
        <v>1</v>
      </c>
      <c r="D846" s="61">
        <f>IFERROR(__xludf.DUMMYFUNCTION("""COMPUTED_VALUE"""),187.0)</f>
        <v>187</v>
      </c>
      <c r="E846" s="61">
        <f>IFERROR(__xludf.DUMMYFUNCTION("""COMPUTED_VALUE"""),14.0)</f>
        <v>14</v>
      </c>
      <c r="F846" s="62" t="str">
        <f>IFERROR(__xludf.DUMMYFUNCTION("""COMPUTED_VALUE"""),"https://www.google.com/maps/search/?api=1&amp;query=-30.9005945428607,-55.5390433076613")</f>
        <v>https://www.google.com/maps/search/?api=1&amp;query=-30.9005945428607,-55.5390433076613</v>
      </c>
      <c r="G846" s="63" t="str">
        <f>IFERROR(__xludf.DUMMYFUNCTION("""COMPUTED_VALUE"""),"https://earth.google.com/web/search/-30.9005945428607,-55.5390433076613")</f>
        <v>https://earth.google.com/web/search/-30.9005945428607,-55.5390433076613</v>
      </c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64"/>
    </row>
    <row r="847">
      <c r="A847" s="65" t="str">
        <f>IFERROR(__xludf.DUMMYFUNCTION("""COMPUTED_VALUE"""),"-30.9006869812603")</f>
        <v>-30.9006869812603</v>
      </c>
      <c r="B847" s="66" t="str">
        <f>IFERROR(__xludf.DUMMYFUNCTION("""COMPUTED_VALUE"""),"-55.5391134892403")</f>
        <v>-55.5391134892403</v>
      </c>
      <c r="C847" s="66">
        <f>IFERROR(__xludf.DUMMYFUNCTION("""COMPUTED_VALUE"""),1.0)</f>
        <v>1</v>
      </c>
      <c r="D847" s="66">
        <f>IFERROR(__xludf.DUMMYFUNCTION("""COMPUTED_VALUE"""),187.0)</f>
        <v>187</v>
      </c>
      <c r="E847" s="66">
        <f>IFERROR(__xludf.DUMMYFUNCTION("""COMPUTED_VALUE"""),15.0)</f>
        <v>15</v>
      </c>
      <c r="F847" s="67" t="str">
        <f>IFERROR(__xludf.DUMMYFUNCTION("""COMPUTED_VALUE"""),"https://www.google.com/maps/search/?api=1&amp;query=-30.9006869812603,-55.5391134892403")</f>
        <v>https://www.google.com/maps/search/?api=1&amp;query=-30.9006869812603,-55.5391134892403</v>
      </c>
      <c r="G847" s="68" t="str">
        <f>IFERROR(__xludf.DUMMYFUNCTION("""COMPUTED_VALUE"""),"https://earth.google.com/web/search/-30.9006869812603,-55.5391134892403")</f>
        <v>https://earth.google.com/web/search/-30.9006869812603,-55.5391134892403</v>
      </c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</row>
    <row r="848">
      <c r="A848" s="69" t="str">
        <f>IFERROR(__xludf.DUMMYFUNCTION("""COMPUTED_VALUE"""),"-30.9007510740951")</f>
        <v>-30.9007510740951</v>
      </c>
      <c r="B848" s="61" t="str">
        <f>IFERROR(__xludf.DUMMYFUNCTION("""COMPUTED_VALUE"""),"-5.5539152038327")</f>
        <v>-5.5539152038327</v>
      </c>
      <c r="C848" s="61">
        <f>IFERROR(__xludf.DUMMYFUNCTION("""COMPUTED_VALUE"""),1.0)</f>
        <v>1</v>
      </c>
      <c r="D848" s="61">
        <f>IFERROR(__xludf.DUMMYFUNCTION("""COMPUTED_VALUE"""),187.0)</f>
        <v>187</v>
      </c>
      <c r="E848" s="61">
        <f>IFERROR(__xludf.DUMMYFUNCTION("""COMPUTED_VALUE"""),16.0)</f>
        <v>16</v>
      </c>
      <c r="F848" s="62" t="str">
        <f>IFERROR(__xludf.DUMMYFUNCTION("""COMPUTED_VALUE"""),"https://www.google.com/maps/search/?api=1&amp;query=-30.9007510740951,-5.5539152038327")</f>
        <v>https://www.google.com/maps/search/?api=1&amp;query=-30.9007510740951,-5.5539152038327</v>
      </c>
      <c r="G848" s="63" t="str">
        <f>IFERROR(__xludf.DUMMYFUNCTION("""COMPUTED_VALUE"""),"https://earth.google.com/web/search/-30.9007510740951,-5.5539152038327")</f>
        <v>https://earth.google.com/web/search/-30.9007510740951,-5.5539152038327</v>
      </c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</row>
    <row r="849">
      <c r="A849" s="65" t="str">
        <f>IFERROR(__xludf.DUMMYFUNCTION("""COMPUTED_VALUE"""),"-30.9008639796082")</f>
        <v>-30.9008639796082</v>
      </c>
      <c r="B849" s="66" t="str">
        <f>IFERROR(__xludf.DUMMYFUNCTION("""COMPUTED_VALUE"""),"-55.5392353574245")</f>
        <v>-55.5392353574245</v>
      </c>
      <c r="C849" s="66">
        <f>IFERROR(__xludf.DUMMYFUNCTION("""COMPUTED_VALUE"""),1.0)</f>
        <v>1</v>
      </c>
      <c r="D849" s="66">
        <f>IFERROR(__xludf.DUMMYFUNCTION("""COMPUTED_VALUE"""),187.0)</f>
        <v>187</v>
      </c>
      <c r="E849" s="66">
        <f>IFERROR(__xludf.DUMMYFUNCTION("""COMPUTED_VALUE"""),17.0)</f>
        <v>17</v>
      </c>
      <c r="F849" s="67" t="str">
        <f>IFERROR(__xludf.DUMMYFUNCTION("""COMPUTED_VALUE"""),"https://www.google.com/maps/search/?api=1&amp;query=-30.9008639796082,-55.5392353574245")</f>
        <v>https://www.google.com/maps/search/?api=1&amp;query=-30.9008639796082,-55.5392353574245</v>
      </c>
      <c r="G849" s="68" t="str">
        <f>IFERROR(__xludf.DUMMYFUNCTION("""COMPUTED_VALUE"""),"https://earth.google.com/web/search/-30.9008639796082,-55.5392353574245")</f>
        <v>https://earth.google.com/web/search/-30.9008639796082,-55.5392353574245</v>
      </c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</row>
    <row r="850">
      <c r="A850" s="69" t="str">
        <f>IFERROR(__xludf.DUMMYFUNCTION("""COMPUTED_VALUE"""),"-30.9010309183245")</f>
        <v>-30.9010309183245</v>
      </c>
      <c r="B850" s="61" t="str">
        <f>IFERROR(__xludf.DUMMYFUNCTION("""COMPUTED_VALUE"""),"-55.5393382263867")</f>
        <v>-55.5393382263867</v>
      </c>
      <c r="C850" s="61">
        <f>IFERROR(__xludf.DUMMYFUNCTION("""COMPUTED_VALUE"""),1.0)</f>
        <v>1</v>
      </c>
      <c r="D850" s="61">
        <f>IFERROR(__xludf.DUMMYFUNCTION("""COMPUTED_VALUE"""),187.0)</f>
        <v>187</v>
      </c>
      <c r="E850" s="61">
        <f>IFERROR(__xludf.DUMMYFUNCTION("""COMPUTED_VALUE"""),18.0)</f>
        <v>18</v>
      </c>
      <c r="F850" s="62" t="str">
        <f>IFERROR(__xludf.DUMMYFUNCTION("""COMPUTED_VALUE"""),"https://www.google.com/maps/search/?api=1&amp;query=-30.9010309183245,-55.5393382263867")</f>
        <v>https://www.google.com/maps/search/?api=1&amp;query=-30.9010309183245,-55.5393382263867</v>
      </c>
      <c r="G850" s="63" t="str">
        <f>IFERROR(__xludf.DUMMYFUNCTION("""COMPUTED_VALUE"""),"https://earth.google.com/web/search/-30.9010309183245,-55.5393382263867")</f>
        <v>https://earth.google.com/web/search/-30.9010309183245,-55.5393382263867</v>
      </c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</row>
    <row r="851">
      <c r="A851" s="65" t="str">
        <f>IFERROR(__xludf.DUMMYFUNCTION("""COMPUTED_VALUE"""),"-30.9011024331981")</f>
        <v>-30.9011024331981</v>
      </c>
      <c r="B851" s="66" t="str">
        <f>IFERROR(__xludf.DUMMYFUNCTION("""COMPUTED_VALUE"""),"-55.5393901891775")</f>
        <v>-55.5393901891775</v>
      </c>
      <c r="C851" s="66">
        <f>IFERROR(__xludf.DUMMYFUNCTION("""COMPUTED_VALUE"""),1.0)</f>
        <v>1</v>
      </c>
      <c r="D851" s="66">
        <f>IFERROR(__xludf.DUMMYFUNCTION("""COMPUTED_VALUE"""),187.0)</f>
        <v>187</v>
      </c>
      <c r="E851" s="66">
        <f>IFERROR(__xludf.DUMMYFUNCTION("""COMPUTED_VALUE"""),19.0)</f>
        <v>19</v>
      </c>
      <c r="F851" s="67" t="str">
        <f>IFERROR(__xludf.DUMMYFUNCTION("""COMPUTED_VALUE"""),"https://www.google.com/maps/search/?api=1&amp;query=-30.9011024331981,-55.5393901891775")</f>
        <v>https://www.google.com/maps/search/?api=1&amp;query=-30.9011024331981,-55.5393901891775</v>
      </c>
      <c r="G851" s="68" t="str">
        <f>IFERROR(__xludf.DUMMYFUNCTION("""COMPUTED_VALUE"""),"https://earth.google.com/web/search/-30.9011024331981,-55.5393901891775")</f>
        <v>https://earth.google.com/web/search/-30.9011024331981,-55.5393901891775</v>
      </c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</row>
    <row r="852">
      <c r="A852" s="69" t="str">
        <f>IFERROR(__xludf.DUMMYFUNCTION("""COMPUTED_VALUE"""),"-30.9007368838627")</f>
        <v>-30.9007368838627</v>
      </c>
      <c r="B852" s="61" t="str">
        <f>IFERROR(__xludf.DUMMYFUNCTION("""COMPUTED_VALUE"""),"-5.5540283321444")</f>
        <v>-5.5540283321444</v>
      </c>
      <c r="C852" s="61">
        <f>IFERROR(__xludf.DUMMYFUNCTION("""COMPUTED_VALUE"""),1.0)</f>
        <v>1</v>
      </c>
      <c r="D852" s="61">
        <f>IFERROR(__xludf.DUMMYFUNCTION("""COMPUTED_VALUE"""),188.0)</f>
        <v>188</v>
      </c>
      <c r="E852" s="61">
        <f>IFERROR(__xludf.DUMMYFUNCTION("""COMPUTED_VALUE"""),1.0)</f>
        <v>1</v>
      </c>
      <c r="F852" s="62" t="str">
        <f>IFERROR(__xludf.DUMMYFUNCTION("""COMPUTED_VALUE"""),"https://www.google.com/maps/search/?api=1&amp;query=-30.9007368838627,-5.5540283321444")</f>
        <v>https://www.google.com/maps/search/?api=1&amp;query=-30.9007368838627,-5.5540283321444</v>
      </c>
      <c r="G852" s="63" t="str">
        <f>IFERROR(__xludf.DUMMYFUNCTION("""COMPUTED_VALUE"""),"https://earth.google.com/web/search/-30.9007368838627,-5.5540283321444")</f>
        <v>https://earth.google.com/web/search/-30.9007368838627,-5.5540283321444</v>
      </c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</row>
    <row r="853">
      <c r="A853" s="65" t="str">
        <f>IFERROR(__xludf.DUMMYFUNCTION("""COMPUTED_VALUE"""),"-30.9010752242575")</f>
        <v>-30.9010752242575</v>
      </c>
      <c r="B853" s="66" t="str">
        <f>IFERROR(__xludf.DUMMYFUNCTION("""COMPUTED_VALUE"""),"-55.5396605405385")</f>
        <v>-55.5396605405385</v>
      </c>
      <c r="C853" s="66">
        <f>IFERROR(__xludf.DUMMYFUNCTION("""COMPUTED_VALUE"""),1.0)</f>
        <v>1</v>
      </c>
      <c r="D853" s="66">
        <f>IFERROR(__xludf.DUMMYFUNCTION("""COMPUTED_VALUE"""),188.0)</f>
        <v>188</v>
      </c>
      <c r="E853" s="66">
        <f>IFERROR(__xludf.DUMMYFUNCTION("""COMPUTED_VALUE"""),2.0)</f>
        <v>2</v>
      </c>
      <c r="F853" s="67" t="str">
        <f>IFERROR(__xludf.DUMMYFUNCTION("""COMPUTED_VALUE"""),"https://www.google.com/maps/search/?api=1&amp;query=-30.9010752242575,-55.5396605405385")</f>
        <v>https://www.google.com/maps/search/?api=1&amp;query=-30.9010752242575,-55.5396605405385</v>
      </c>
      <c r="G853" s="68" t="str">
        <f>IFERROR(__xludf.DUMMYFUNCTION("""COMPUTED_VALUE"""),"https://earth.google.com/web/search/-30.9010752242575,-55.5396605405385")</f>
        <v>https://earth.google.com/web/search/-30.9010752242575,-55.5396605405385</v>
      </c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</row>
    <row r="854">
      <c r="A854" s="69" t="str">
        <f>IFERROR(__xludf.DUMMYFUNCTION("""COMPUTED_VALUE"""),"-30.9010834895092")</f>
        <v>-30.9010834895092</v>
      </c>
      <c r="B854" s="61" t="str">
        <f>IFERROR(__xludf.DUMMYFUNCTION("""COMPUTED_VALUE"""),"-55.5394839716835")</f>
        <v>-55.5394839716835</v>
      </c>
      <c r="C854" s="61">
        <f>IFERROR(__xludf.DUMMYFUNCTION("""COMPUTED_VALUE"""),1.0)</f>
        <v>1</v>
      </c>
      <c r="D854" s="61">
        <f>IFERROR(__xludf.DUMMYFUNCTION("""COMPUTED_VALUE"""),188.0)</f>
        <v>188</v>
      </c>
      <c r="E854" s="61">
        <f>IFERROR(__xludf.DUMMYFUNCTION("""COMPUTED_VALUE"""),3.0)</f>
        <v>3</v>
      </c>
      <c r="F854" s="62" t="str">
        <f>IFERROR(__xludf.DUMMYFUNCTION("""COMPUTED_VALUE"""),"https://www.google.com/maps/search/?api=1&amp;query=-30.9010834895092,-55.5394839716835")</f>
        <v>https://www.google.com/maps/search/?api=1&amp;query=-30.9010834895092,-55.5394839716835</v>
      </c>
      <c r="G854" s="63" t="str">
        <f>IFERROR(__xludf.DUMMYFUNCTION("""COMPUTED_VALUE"""),"https://earth.google.com/web/search/-30.9010834895092,-55.5394839716835")</f>
        <v>https://earth.google.com/web/search/-30.9010834895092,-55.5394839716835</v>
      </c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</row>
    <row r="855">
      <c r="A855" s="65" t="str">
        <f>IFERROR(__xludf.DUMMYFUNCTION("""COMPUTED_VALUE"""),"-3.0900826942565")</f>
        <v>-3.0900826942565</v>
      </c>
      <c r="B855" s="66" t="str">
        <f>IFERROR(__xludf.DUMMYFUNCTION("""COMPUTED_VALUE"""),"-55.5393056862897")</f>
        <v>-55.5393056862897</v>
      </c>
      <c r="C855" s="66">
        <f>IFERROR(__xludf.DUMMYFUNCTION("""COMPUTED_VALUE"""),1.0)</f>
        <v>1</v>
      </c>
      <c r="D855" s="66">
        <f>IFERROR(__xludf.DUMMYFUNCTION("""COMPUTED_VALUE"""),188.0)</f>
        <v>188</v>
      </c>
      <c r="E855" s="66">
        <f>IFERROR(__xludf.DUMMYFUNCTION("""COMPUTED_VALUE"""),4.0)</f>
        <v>4</v>
      </c>
      <c r="F855" s="67" t="str">
        <f>IFERROR(__xludf.DUMMYFUNCTION("""COMPUTED_VALUE"""),"https://www.google.com/maps/search/?api=1&amp;query=-3.0900826942565,-55.5393056862897")</f>
        <v>https://www.google.com/maps/search/?api=1&amp;query=-3.0900826942565,-55.5393056862897</v>
      </c>
      <c r="G855" s="68" t="str">
        <f>IFERROR(__xludf.DUMMYFUNCTION("""COMPUTED_VALUE"""),"https://earth.google.com/web/search/-3.0900826942565,-55.5393056862897")</f>
        <v>https://earth.google.com/web/search/-3.0900826942565,-55.5393056862897</v>
      </c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</row>
    <row r="856">
      <c r="A856" s="69" t="str">
        <f>IFERROR(__xludf.DUMMYFUNCTION("""COMPUTED_VALUE"""),"-30.9005686806024")</f>
        <v>-30.9005686806024</v>
      </c>
      <c r="B856" s="61" t="str">
        <f>IFERROR(__xludf.DUMMYFUNCTION("""COMPUTED_VALUE"""),"-55.5391604587614")</f>
        <v>-55.5391604587614</v>
      </c>
      <c r="C856" s="61">
        <f>IFERROR(__xludf.DUMMYFUNCTION("""COMPUTED_VALUE"""),1.0)</f>
        <v>1</v>
      </c>
      <c r="D856" s="61">
        <f>IFERROR(__xludf.DUMMYFUNCTION("""COMPUTED_VALUE"""),188.0)</f>
        <v>188</v>
      </c>
      <c r="E856" s="61">
        <f>IFERROR(__xludf.DUMMYFUNCTION("""COMPUTED_VALUE"""),5.0)</f>
        <v>5</v>
      </c>
      <c r="F856" s="62" t="str">
        <f>IFERROR(__xludf.DUMMYFUNCTION("""COMPUTED_VALUE"""),"https://www.google.com/maps/search/?api=1&amp;query=-30.9005686806024,-55.5391604587614")</f>
        <v>https://www.google.com/maps/search/?api=1&amp;query=-30.9005686806024,-55.5391604587614</v>
      </c>
      <c r="G856" s="63" t="str">
        <f>IFERROR(__xludf.DUMMYFUNCTION("""COMPUTED_VALUE"""),"https://earth.google.com/web/search/-30.9005686806024,-55.5391604587614")</f>
        <v>https://earth.google.com/web/search/-30.9005686806024,-55.5391604587614</v>
      </c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</row>
    <row r="857">
      <c r="A857" s="65" t="str">
        <f>IFERROR(__xludf.DUMMYFUNCTION("""COMPUTED_VALUE"""),"-3.0900492270274")</f>
        <v>-3.0900492270274</v>
      </c>
      <c r="B857" s="66" t="str">
        <f>IFERROR(__xludf.DUMMYFUNCTION("""COMPUTED_VALUE"""),"-55.5391001719088")</f>
        <v>-55.5391001719088</v>
      </c>
      <c r="C857" s="66">
        <f>IFERROR(__xludf.DUMMYFUNCTION("""COMPUTED_VALUE"""),1.0)</f>
        <v>1</v>
      </c>
      <c r="D857" s="66">
        <f>IFERROR(__xludf.DUMMYFUNCTION("""COMPUTED_VALUE"""),188.0)</f>
        <v>188</v>
      </c>
      <c r="E857" s="66">
        <f>IFERROR(__xludf.DUMMYFUNCTION("""COMPUTED_VALUE"""),6.0)</f>
        <v>6</v>
      </c>
      <c r="F857" s="67" t="str">
        <f>IFERROR(__xludf.DUMMYFUNCTION("""COMPUTED_VALUE"""),"https://www.google.com/maps/search/?api=1&amp;query=-3.0900492270274,-55.5391001719088")</f>
        <v>https://www.google.com/maps/search/?api=1&amp;query=-3.0900492270274,-55.5391001719088</v>
      </c>
      <c r="G857" s="68" t="str">
        <f>IFERROR(__xludf.DUMMYFUNCTION("""COMPUTED_VALUE"""),"https://earth.google.com/web/search/-3.0900492270274,-55.5391001719088")</f>
        <v>https://earth.google.com/web/search/-3.0900492270274,-55.5391001719088</v>
      </c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</row>
    <row r="858">
      <c r="A858" s="69" t="str">
        <f>IFERROR(__xludf.DUMMYFUNCTION("""COMPUTED_VALUE"""),"-30.9002987195356")</f>
        <v>-30.9002987195356</v>
      </c>
      <c r="B858" s="61" t="str">
        <f>IFERROR(__xludf.DUMMYFUNCTION("""COMPUTED_VALUE"""),"-55.5392796543089")</f>
        <v>-55.5392796543089</v>
      </c>
      <c r="C858" s="61">
        <f>IFERROR(__xludf.DUMMYFUNCTION("""COMPUTED_VALUE"""),1.0)</f>
        <v>1</v>
      </c>
      <c r="D858" s="61">
        <f>IFERROR(__xludf.DUMMYFUNCTION("""COMPUTED_VALUE"""),188.0)</f>
        <v>188</v>
      </c>
      <c r="E858" s="61">
        <f>IFERROR(__xludf.DUMMYFUNCTION("""COMPUTED_VALUE"""),7.0)</f>
        <v>7</v>
      </c>
      <c r="F858" s="62" t="str">
        <f>IFERROR(__xludf.DUMMYFUNCTION("""COMPUTED_VALUE"""),"https://www.google.com/maps/search/?api=1&amp;query=-30.9002987195356,-55.5392796543089")</f>
        <v>https://www.google.com/maps/search/?api=1&amp;query=-30.9002987195356,-55.5392796543089</v>
      </c>
      <c r="G858" s="63" t="str">
        <f>IFERROR(__xludf.DUMMYFUNCTION("""COMPUTED_VALUE"""),"https://earth.google.com/web/search/-30.9002987195356,-55.5392796543089")</f>
        <v>https://earth.google.com/web/search/-30.9002987195356,-55.5392796543089</v>
      </c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64"/>
    </row>
    <row r="859">
      <c r="A859" s="65" t="str">
        <f>IFERROR(__xludf.DUMMYFUNCTION("""COMPUTED_VALUE"""),"-30.9002183486138")</f>
        <v>-30.9002183486138</v>
      </c>
      <c r="B859" s="66" t="str">
        <f>IFERROR(__xludf.DUMMYFUNCTION("""COMPUTED_VALUE"""),"-55.5394344424728")</f>
        <v>-55.5394344424728</v>
      </c>
      <c r="C859" s="66">
        <f>IFERROR(__xludf.DUMMYFUNCTION("""COMPUTED_VALUE"""),1.0)</f>
        <v>1</v>
      </c>
      <c r="D859" s="66">
        <f>IFERROR(__xludf.DUMMYFUNCTION("""COMPUTED_VALUE"""),188.0)</f>
        <v>188</v>
      </c>
      <c r="E859" s="66">
        <f>IFERROR(__xludf.DUMMYFUNCTION("""COMPUTED_VALUE"""),8.0)</f>
        <v>8</v>
      </c>
      <c r="F859" s="67" t="str">
        <f>IFERROR(__xludf.DUMMYFUNCTION("""COMPUTED_VALUE"""),"https://www.google.com/maps/search/?api=1&amp;query=-30.9002183486138,-55.5394344424728")</f>
        <v>https://www.google.com/maps/search/?api=1&amp;query=-30.9002183486138,-55.5394344424728</v>
      </c>
      <c r="G859" s="68" t="str">
        <f>IFERROR(__xludf.DUMMYFUNCTION("""COMPUTED_VALUE"""),"https://earth.google.com/web/search/-30.9002183486138,-55.5394344424728")</f>
        <v>https://earth.google.com/web/search/-30.9002183486138,-55.5394344424728</v>
      </c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</row>
    <row r="860">
      <c r="A860" s="69" t="str">
        <f>IFERROR(__xludf.DUMMYFUNCTION("""COMPUTED_VALUE"""),"-30.9001596521565")</f>
        <v>-30.9001596521565</v>
      </c>
      <c r="B860" s="61" t="str">
        <f>IFERROR(__xludf.DUMMYFUNCTION("""COMPUTED_VALUE"""),"-55.5395454752952")</f>
        <v>-55.5395454752952</v>
      </c>
      <c r="C860" s="61">
        <f>IFERROR(__xludf.DUMMYFUNCTION("""COMPUTED_VALUE"""),1.0)</f>
        <v>1</v>
      </c>
      <c r="D860" s="61">
        <f>IFERROR(__xludf.DUMMYFUNCTION("""COMPUTED_VALUE"""),188.0)</f>
        <v>188</v>
      </c>
      <c r="E860" s="61">
        <f>IFERROR(__xludf.DUMMYFUNCTION("""COMPUTED_VALUE"""),9.0)</f>
        <v>9</v>
      </c>
      <c r="F860" s="62" t="str">
        <f>IFERROR(__xludf.DUMMYFUNCTION("""COMPUTED_VALUE"""),"https://www.google.com/maps/search/?api=1&amp;query=-30.9001596521565,-55.5395454752952")</f>
        <v>https://www.google.com/maps/search/?api=1&amp;query=-30.9001596521565,-55.5395454752952</v>
      </c>
      <c r="G860" s="63" t="str">
        <f>IFERROR(__xludf.DUMMYFUNCTION("""COMPUTED_VALUE"""),"https://earth.google.com/web/search/-30.9001596521565,-55.5395454752952")</f>
        <v>https://earth.google.com/web/search/-30.9001596521565,-55.5395454752952</v>
      </c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64"/>
    </row>
    <row r="861">
      <c r="A861" s="65" t="str">
        <f>IFERROR(__xludf.DUMMYFUNCTION("""COMPUTED_VALUE"""),"-30.9001301311004")</f>
        <v>-30.9001301311004</v>
      </c>
      <c r="B861" s="66" t="str">
        <f>IFERROR(__xludf.DUMMYFUNCTION("""COMPUTED_VALUE"""),"-55.5396113824194")</f>
        <v>-55.5396113824194</v>
      </c>
      <c r="C861" s="66">
        <f>IFERROR(__xludf.DUMMYFUNCTION("""COMPUTED_VALUE"""),1.0)</f>
        <v>1</v>
      </c>
      <c r="D861" s="66">
        <f>IFERROR(__xludf.DUMMYFUNCTION("""COMPUTED_VALUE"""),188.0)</f>
        <v>188</v>
      </c>
      <c r="E861" s="66">
        <f>IFERROR(__xludf.DUMMYFUNCTION("""COMPUTED_VALUE"""),10.0)</f>
        <v>10</v>
      </c>
      <c r="F861" s="67" t="str">
        <f>IFERROR(__xludf.DUMMYFUNCTION("""COMPUTED_VALUE"""),"https://www.google.com/maps/search/?api=1&amp;query=-30.9001301311004,-55.5396113824194")</f>
        <v>https://www.google.com/maps/search/?api=1&amp;query=-30.9001301311004,-55.5396113824194</v>
      </c>
      <c r="G861" s="68" t="str">
        <f>IFERROR(__xludf.DUMMYFUNCTION("""COMPUTED_VALUE"""),"https://earth.google.com/web/search/-30.9001301311004,-55.5396113824194")</f>
        <v>https://earth.google.com/web/search/-30.9001301311004,-55.5396113824194</v>
      </c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</row>
    <row r="862">
      <c r="A862" s="69" t="str">
        <f>IFERROR(__xludf.DUMMYFUNCTION("""COMPUTED_VALUE"""),"-30.9000890698024")</f>
        <v>-30.9000890698024</v>
      </c>
      <c r="B862" s="61" t="str">
        <f>IFERROR(__xludf.DUMMYFUNCTION("""COMPUTED_VALUE"""),"-55.5396774596172")</f>
        <v>-55.5396774596172</v>
      </c>
      <c r="C862" s="61">
        <f>IFERROR(__xludf.DUMMYFUNCTION("""COMPUTED_VALUE"""),1.0)</f>
        <v>1</v>
      </c>
      <c r="D862" s="61">
        <f>IFERROR(__xludf.DUMMYFUNCTION("""COMPUTED_VALUE"""),188.0)</f>
        <v>188</v>
      </c>
      <c r="E862" s="61">
        <f>IFERROR(__xludf.DUMMYFUNCTION("""COMPUTED_VALUE"""),11.0)</f>
        <v>11</v>
      </c>
      <c r="F862" s="62" t="str">
        <f>IFERROR(__xludf.DUMMYFUNCTION("""COMPUTED_VALUE"""),"https://www.google.com/maps/search/?api=1&amp;query=-30.9000890698024,-55.5396774596172")</f>
        <v>https://www.google.com/maps/search/?api=1&amp;query=-30.9000890698024,-55.5396774596172</v>
      </c>
      <c r="G862" s="63" t="str">
        <f>IFERROR(__xludf.DUMMYFUNCTION("""COMPUTED_VALUE"""),"https://earth.google.com/web/search/-30.9000890698024,-55.5396774596172")</f>
        <v>https://earth.google.com/web/search/-30.9000890698024,-55.5396774596172</v>
      </c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</row>
    <row r="863">
      <c r="A863" s="65" t="str">
        <f>IFERROR(__xludf.DUMMYFUNCTION("""COMPUTED_VALUE"""),"-30.9000611437303")</f>
        <v>-30.9000611437303</v>
      </c>
      <c r="B863" s="66" t="str">
        <f>IFERROR(__xludf.DUMMYFUNCTION("""COMPUTED_VALUE"""),"-55.5397473938854")</f>
        <v>-55.5397473938854</v>
      </c>
      <c r="C863" s="66">
        <f>IFERROR(__xludf.DUMMYFUNCTION("""COMPUTED_VALUE"""),1.0)</f>
        <v>1</v>
      </c>
      <c r="D863" s="66">
        <f>IFERROR(__xludf.DUMMYFUNCTION("""COMPUTED_VALUE"""),188.0)</f>
        <v>188</v>
      </c>
      <c r="E863" s="66">
        <f>IFERROR(__xludf.DUMMYFUNCTION("""COMPUTED_VALUE"""),12.0)</f>
        <v>12</v>
      </c>
      <c r="F863" s="67" t="str">
        <f>IFERROR(__xludf.DUMMYFUNCTION("""COMPUTED_VALUE"""),"https://www.google.com/maps/search/?api=1&amp;query=-30.9000611437303,-55.5397473938854")</f>
        <v>https://www.google.com/maps/search/?api=1&amp;query=-30.9000611437303,-55.5397473938854</v>
      </c>
      <c r="G863" s="68" t="str">
        <f>IFERROR(__xludf.DUMMYFUNCTION("""COMPUTED_VALUE"""),"https://earth.google.com/web/search/-30.9000611437303,-55.5397473938854")</f>
        <v>https://earth.google.com/web/search/-30.9000611437303,-55.5397473938854</v>
      </c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</row>
    <row r="864">
      <c r="A864" s="69" t="str">
        <f>IFERROR(__xludf.DUMMYFUNCTION("""COMPUTED_VALUE"""),"-30.9000246713337")</f>
        <v>-30.9000246713337</v>
      </c>
      <c r="B864" s="61" t="str">
        <f>IFERROR(__xludf.DUMMYFUNCTION("""COMPUTED_VALUE"""),"-55.5398050847498")</f>
        <v>-55.5398050847498</v>
      </c>
      <c r="C864" s="61">
        <f>IFERROR(__xludf.DUMMYFUNCTION("""COMPUTED_VALUE"""),1.0)</f>
        <v>1</v>
      </c>
      <c r="D864" s="61">
        <f>IFERROR(__xludf.DUMMYFUNCTION("""COMPUTED_VALUE"""),188.0)</f>
        <v>188</v>
      </c>
      <c r="E864" s="61">
        <f>IFERROR(__xludf.DUMMYFUNCTION("""COMPUTED_VALUE"""),13.0)</f>
        <v>13</v>
      </c>
      <c r="F864" s="62" t="str">
        <f>IFERROR(__xludf.DUMMYFUNCTION("""COMPUTED_VALUE"""),"https://www.google.com/maps/search/?api=1&amp;query=-30.9000246713337,-55.5398050847498")</f>
        <v>https://www.google.com/maps/search/?api=1&amp;query=-30.9000246713337,-55.5398050847498</v>
      </c>
      <c r="G864" s="63" t="str">
        <f>IFERROR(__xludf.DUMMYFUNCTION("""COMPUTED_VALUE"""),"https://earth.google.com/web/search/-30.9000246713337,-55.5398050847498")</f>
        <v>https://earth.google.com/web/search/-30.9000246713337,-55.5398050847498</v>
      </c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</row>
    <row r="865">
      <c r="A865" s="65" t="str">
        <f>IFERROR(__xludf.DUMMYFUNCTION("""COMPUTED_VALUE"""),"-30.9000760255131")</f>
        <v>-30.9000760255131</v>
      </c>
      <c r="B865" s="66" t="str">
        <f>IFERROR(__xludf.DUMMYFUNCTION("""COMPUTED_VALUE"""),"-55.5399532531723")</f>
        <v>-55.5399532531723</v>
      </c>
      <c r="C865" s="66">
        <f>IFERROR(__xludf.DUMMYFUNCTION("""COMPUTED_VALUE"""),1.0)</f>
        <v>1</v>
      </c>
      <c r="D865" s="66">
        <f>IFERROR(__xludf.DUMMYFUNCTION("""COMPUTED_VALUE"""),188.0)</f>
        <v>188</v>
      </c>
      <c r="E865" s="66">
        <f>IFERROR(__xludf.DUMMYFUNCTION("""COMPUTED_VALUE"""),14.0)</f>
        <v>14</v>
      </c>
      <c r="F865" s="67" t="str">
        <f>IFERROR(__xludf.DUMMYFUNCTION("""COMPUTED_VALUE"""),"https://www.google.com/maps/search/?api=1&amp;query=-30.9000760255131,-55.5399532531723")</f>
        <v>https://www.google.com/maps/search/?api=1&amp;query=-30.9000760255131,-55.5399532531723</v>
      </c>
      <c r="G865" s="68" t="str">
        <f>IFERROR(__xludf.DUMMYFUNCTION("""COMPUTED_VALUE"""),"https://earth.google.com/web/search/-30.9000760255131,-55.5399532531723")</f>
        <v>https://earth.google.com/web/search/-30.9000760255131,-55.5399532531723</v>
      </c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64"/>
    </row>
    <row r="866">
      <c r="A866" s="69" t="str">
        <f>IFERROR(__xludf.DUMMYFUNCTION("""COMPUTED_VALUE"""),"-30.9001529067848")</f>
        <v>-30.9001529067848</v>
      </c>
      <c r="B866" s="61" t="str">
        <f>IFERROR(__xludf.DUMMYFUNCTION("""COMPUTED_VALUE"""),"-55.5399943347356")</f>
        <v>-55.5399943347356</v>
      </c>
      <c r="C866" s="61">
        <f>IFERROR(__xludf.DUMMYFUNCTION("""COMPUTED_VALUE"""),1.0)</f>
        <v>1</v>
      </c>
      <c r="D866" s="61">
        <f>IFERROR(__xludf.DUMMYFUNCTION("""COMPUTED_VALUE"""),188.0)</f>
        <v>188</v>
      </c>
      <c r="E866" s="61">
        <f>IFERROR(__xludf.DUMMYFUNCTION("""COMPUTED_VALUE"""),15.0)</f>
        <v>15</v>
      </c>
      <c r="F866" s="62" t="str">
        <f>IFERROR(__xludf.DUMMYFUNCTION("""COMPUTED_VALUE"""),"https://www.google.com/maps/search/?api=1&amp;query=-30.9001529067848,-55.5399943347356")</f>
        <v>https://www.google.com/maps/search/?api=1&amp;query=-30.9001529067848,-55.5399943347356</v>
      </c>
      <c r="G866" s="63" t="str">
        <f>IFERROR(__xludf.DUMMYFUNCTION("""COMPUTED_VALUE"""),"https://earth.google.com/web/search/-30.9001529067848,-55.5399943347356")</f>
        <v>https://earth.google.com/web/search/-30.9001529067848,-55.5399943347356</v>
      </c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64"/>
    </row>
    <row r="867">
      <c r="A867" s="65" t="str">
        <f>IFERROR(__xludf.DUMMYFUNCTION("""COMPUTED_VALUE"""),"-3.0900215802662")</f>
        <v>-3.0900215802662</v>
      </c>
      <c r="B867" s="66" t="str">
        <f>IFERROR(__xludf.DUMMYFUNCTION("""COMPUTED_VALUE"""),"-55.5400421916428")</f>
        <v>-55.5400421916428</v>
      </c>
      <c r="C867" s="66">
        <f>IFERROR(__xludf.DUMMYFUNCTION("""COMPUTED_VALUE"""),1.0)</f>
        <v>1</v>
      </c>
      <c r="D867" s="66">
        <f>IFERROR(__xludf.DUMMYFUNCTION("""COMPUTED_VALUE"""),188.0)</f>
        <v>188</v>
      </c>
      <c r="E867" s="66">
        <f>IFERROR(__xludf.DUMMYFUNCTION("""COMPUTED_VALUE"""),16.0)</f>
        <v>16</v>
      </c>
      <c r="F867" s="67" t="str">
        <f>IFERROR(__xludf.DUMMYFUNCTION("""COMPUTED_VALUE"""),"https://www.google.com/maps/search/?api=1&amp;query=-3.0900215802662,-55.5400421916428")</f>
        <v>https://www.google.com/maps/search/?api=1&amp;query=-3.0900215802662,-55.5400421916428</v>
      </c>
      <c r="G867" s="68" t="str">
        <f>IFERROR(__xludf.DUMMYFUNCTION("""COMPUTED_VALUE"""),"https://earth.google.com/web/search/-3.0900215802662,-55.5400421916428")</f>
        <v>https://earth.google.com/web/search/-3.0900215802662,-55.5400421916428</v>
      </c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</row>
    <row r="868">
      <c r="A868" s="69" t="str">
        <f>IFERROR(__xludf.DUMMYFUNCTION("""COMPUTED_VALUE"""),"-30.9002870857884")</f>
        <v>-30.9002870857884</v>
      </c>
      <c r="B868" s="61" t="str">
        <f>IFERROR(__xludf.DUMMYFUNCTION("""COMPUTED_VALUE"""),"-55.5400885137726")</f>
        <v>-55.5400885137726</v>
      </c>
      <c r="C868" s="61">
        <f>IFERROR(__xludf.DUMMYFUNCTION("""COMPUTED_VALUE"""),1.0)</f>
        <v>1</v>
      </c>
      <c r="D868" s="61">
        <f>IFERROR(__xludf.DUMMYFUNCTION("""COMPUTED_VALUE"""),188.0)</f>
        <v>188</v>
      </c>
      <c r="E868" s="61">
        <f>IFERROR(__xludf.DUMMYFUNCTION("""COMPUTED_VALUE"""),17.0)</f>
        <v>17</v>
      </c>
      <c r="F868" s="62" t="str">
        <f>IFERROR(__xludf.DUMMYFUNCTION("""COMPUTED_VALUE"""),"https://www.google.com/maps/search/?api=1&amp;query=-30.9002870857884,-55.5400885137726")</f>
        <v>https://www.google.com/maps/search/?api=1&amp;query=-30.9002870857884,-55.5400885137726</v>
      </c>
      <c r="G868" s="63" t="str">
        <f>IFERROR(__xludf.DUMMYFUNCTION("""COMPUTED_VALUE"""),"https://earth.google.com/web/search/-30.9002870857884,-55.5400885137726")</f>
        <v>https://earth.google.com/web/search/-30.9002870857884,-55.5400885137726</v>
      </c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</row>
    <row r="869">
      <c r="A869" s="65" t="str">
        <f>IFERROR(__xludf.DUMMYFUNCTION("""COMPUTED_VALUE"""),"-30.9003578483828")</f>
        <v>-30.9003578483828</v>
      </c>
      <c r="B869" s="66" t="str">
        <f>IFERROR(__xludf.DUMMYFUNCTION("""COMPUTED_VALUE"""),"-55.5401358863141")</f>
        <v>-55.5401358863141</v>
      </c>
      <c r="C869" s="66">
        <f>IFERROR(__xludf.DUMMYFUNCTION("""COMPUTED_VALUE"""),1.0)</f>
        <v>1</v>
      </c>
      <c r="D869" s="66">
        <f>IFERROR(__xludf.DUMMYFUNCTION("""COMPUTED_VALUE"""),188.0)</f>
        <v>188</v>
      </c>
      <c r="E869" s="66">
        <f>IFERROR(__xludf.DUMMYFUNCTION("""COMPUTED_VALUE"""),18.0)</f>
        <v>18</v>
      </c>
      <c r="F869" s="67" t="str">
        <f>IFERROR(__xludf.DUMMYFUNCTION("""COMPUTED_VALUE"""),"https://www.google.com/maps/search/?api=1&amp;query=-30.9003578483828,-55.5401358863141")</f>
        <v>https://www.google.com/maps/search/?api=1&amp;query=-30.9003578483828,-55.5401358863141</v>
      </c>
      <c r="G869" s="68" t="str">
        <f>IFERROR(__xludf.DUMMYFUNCTION("""COMPUTED_VALUE"""),"https://earth.google.com/web/search/-30.9003578483828,-55.5401358863141")</f>
        <v>https://earth.google.com/web/search/-30.9003578483828,-55.5401358863141</v>
      </c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64"/>
    </row>
    <row r="870">
      <c r="A870" s="69" t="str">
        <f>IFERROR(__xludf.DUMMYFUNCTION("""COMPUTED_VALUE"""),"-30.9005262739409")</f>
        <v>-30.9005262739409</v>
      </c>
      <c r="B870" s="61" t="str">
        <f>IFERROR(__xludf.DUMMYFUNCTION("""COMPUTED_VALUE"""),"-55.5402373646918")</f>
        <v>-55.5402373646918</v>
      </c>
      <c r="C870" s="61">
        <f>IFERROR(__xludf.DUMMYFUNCTION("""COMPUTED_VALUE"""),1.0)</f>
        <v>1</v>
      </c>
      <c r="D870" s="61">
        <f>IFERROR(__xludf.DUMMYFUNCTION("""COMPUTED_VALUE"""),188.0)</f>
        <v>188</v>
      </c>
      <c r="E870" s="61">
        <f>IFERROR(__xludf.DUMMYFUNCTION("""COMPUTED_VALUE"""),19.0)</f>
        <v>19</v>
      </c>
      <c r="F870" s="62" t="str">
        <f>IFERROR(__xludf.DUMMYFUNCTION("""COMPUTED_VALUE"""),"https://www.google.com/maps/search/?api=1&amp;query=-30.9005262739409,-55.5402373646918")</f>
        <v>https://www.google.com/maps/search/?api=1&amp;query=-30.9005262739409,-55.5402373646918</v>
      </c>
      <c r="G870" s="63" t="str">
        <f>IFERROR(__xludf.DUMMYFUNCTION("""COMPUTED_VALUE"""),"https://earth.google.com/web/search/-30.9005262739409,-55.5402373646918")</f>
        <v>https://earth.google.com/web/search/-30.9005262739409,-55.5402373646918</v>
      </c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64"/>
    </row>
    <row r="871">
      <c r="A871" s="65" t="str">
        <f>IFERROR(__xludf.DUMMYFUNCTION("""COMPUTED_VALUE"""),"-30.9006483322524")</f>
        <v>-30.9006483322524</v>
      </c>
      <c r="B871" s="66" t="str">
        <f>IFERROR(__xludf.DUMMYFUNCTION("""COMPUTED_VALUE"""),"-55.5403147050468")</f>
        <v>-55.5403147050468</v>
      </c>
      <c r="C871" s="66">
        <f>IFERROR(__xludf.DUMMYFUNCTION("""COMPUTED_VALUE"""),1.0)</f>
        <v>1</v>
      </c>
      <c r="D871" s="66">
        <f>IFERROR(__xludf.DUMMYFUNCTION("""COMPUTED_VALUE"""),188.0)</f>
        <v>188</v>
      </c>
      <c r="E871" s="66">
        <f>IFERROR(__xludf.DUMMYFUNCTION("""COMPUTED_VALUE"""),20.0)</f>
        <v>20</v>
      </c>
      <c r="F871" s="67" t="str">
        <f>IFERROR(__xludf.DUMMYFUNCTION("""COMPUTED_VALUE"""),"https://www.google.com/maps/search/?api=1&amp;query=-30.9006483322524,-55.5403147050468")</f>
        <v>https://www.google.com/maps/search/?api=1&amp;query=-30.9006483322524,-55.5403147050468</v>
      </c>
      <c r="G871" s="68" t="str">
        <f>IFERROR(__xludf.DUMMYFUNCTION("""COMPUTED_VALUE"""),"https://earth.google.com/web/search/-30.9006483322524,-55.5403147050468")</f>
        <v>https://earth.google.com/web/search/-30.9006483322524,-55.5403147050468</v>
      </c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</row>
    <row r="872">
      <c r="A872" s="69" t="str">
        <f>IFERROR(__xludf.DUMMYFUNCTION("""COMPUTED_VALUE"""),"-3.0899808087968")</f>
        <v>-3.0899808087968</v>
      </c>
      <c r="B872" s="61" t="str">
        <f>IFERROR(__xludf.DUMMYFUNCTION("""COMPUTED_VALUE"""),"-55.5420387643365")</f>
        <v>-55.5420387643365</v>
      </c>
      <c r="C872" s="61">
        <f>IFERROR(__xludf.DUMMYFUNCTION("""COMPUTED_VALUE"""),1.0)</f>
        <v>1</v>
      </c>
      <c r="D872" s="61">
        <f>IFERROR(__xludf.DUMMYFUNCTION("""COMPUTED_VALUE"""),189.0)</f>
        <v>189</v>
      </c>
      <c r="E872" s="61">
        <f>IFERROR(__xludf.DUMMYFUNCTION("""COMPUTED_VALUE"""),1.0)</f>
        <v>1</v>
      </c>
      <c r="F872" s="62" t="str">
        <f>IFERROR(__xludf.DUMMYFUNCTION("""COMPUTED_VALUE"""),"https://www.google.com/maps/search/?api=1&amp;query=-3.0899808087968,-55.5420387643365")</f>
        <v>https://www.google.com/maps/search/?api=1&amp;query=-3.0899808087968,-55.5420387643365</v>
      </c>
      <c r="G872" s="63" t="str">
        <f>IFERROR(__xludf.DUMMYFUNCTION("""COMPUTED_VALUE"""),"https://earth.google.com/web/search/-3.0899808087968,-55.5420387643365")</f>
        <v>https://earth.google.com/web/search/-3.0899808087968,-55.5420387643365</v>
      </c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64"/>
    </row>
    <row r="873">
      <c r="A873" s="65" t="str">
        <f>IFERROR(__xludf.DUMMYFUNCTION("""COMPUTED_VALUE"""),"-30.8999076558609")</f>
        <v>-30.8999076558609</v>
      </c>
      <c r="B873" s="66" t="str">
        <f>IFERROR(__xludf.DUMMYFUNCTION("""COMPUTED_VALUE"""),"-55.5418681884091")</f>
        <v>-55.5418681884091</v>
      </c>
      <c r="C873" s="66">
        <f>IFERROR(__xludf.DUMMYFUNCTION("""COMPUTED_VALUE"""),1.0)</f>
        <v>1</v>
      </c>
      <c r="D873" s="66">
        <f>IFERROR(__xludf.DUMMYFUNCTION("""COMPUTED_VALUE"""),189.0)</f>
        <v>189</v>
      </c>
      <c r="E873" s="66">
        <f>IFERROR(__xludf.DUMMYFUNCTION("""COMPUTED_VALUE"""),2.0)</f>
        <v>2</v>
      </c>
      <c r="F873" s="67" t="str">
        <f>IFERROR(__xludf.DUMMYFUNCTION("""COMPUTED_VALUE"""),"https://www.google.com/maps/search/?api=1&amp;query=-30.8999076558609,-55.5418681884091")</f>
        <v>https://www.google.com/maps/search/?api=1&amp;query=-30.8999076558609,-55.5418681884091</v>
      </c>
      <c r="G873" s="68" t="str">
        <f>IFERROR(__xludf.DUMMYFUNCTION("""COMPUTED_VALUE"""),"https://earth.google.com/web/search/-30.8999076558609,-55.5418681884091")</f>
        <v>https://earth.google.com/web/search/-30.8999076558609,-55.5418681884091</v>
      </c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64"/>
    </row>
    <row r="874">
      <c r="A874" s="69" t="str">
        <f>IFERROR(__xludf.DUMMYFUNCTION("""COMPUTED_VALUE"""),"-30.8999561735876")</f>
        <v>-30.8999561735876</v>
      </c>
      <c r="B874" s="61" t="str">
        <f>IFERROR(__xludf.DUMMYFUNCTION("""COMPUTED_VALUE"""),"-55.5417738039687")</f>
        <v>-55.5417738039687</v>
      </c>
      <c r="C874" s="61">
        <f>IFERROR(__xludf.DUMMYFUNCTION("""COMPUTED_VALUE"""),1.0)</f>
        <v>1</v>
      </c>
      <c r="D874" s="61">
        <f>IFERROR(__xludf.DUMMYFUNCTION("""COMPUTED_VALUE"""),189.0)</f>
        <v>189</v>
      </c>
      <c r="E874" s="61">
        <f>IFERROR(__xludf.DUMMYFUNCTION("""COMPUTED_VALUE"""),3.0)</f>
        <v>3</v>
      </c>
      <c r="F874" s="62" t="str">
        <f>IFERROR(__xludf.DUMMYFUNCTION("""COMPUTED_VALUE"""),"https://www.google.com/maps/search/?api=1&amp;query=-30.8999561735876,-55.5417738039687")</f>
        <v>https://www.google.com/maps/search/?api=1&amp;query=-30.8999561735876,-55.5417738039687</v>
      </c>
      <c r="G874" s="63" t="str">
        <f>IFERROR(__xludf.DUMMYFUNCTION("""COMPUTED_VALUE"""),"https://earth.google.com/web/search/-30.8999561735876,-55.5417738039687")</f>
        <v>https://earth.google.com/web/search/-30.8999561735876,-55.5417738039687</v>
      </c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</row>
    <row r="875">
      <c r="A875" s="65" t="str">
        <f>IFERROR(__xludf.DUMMYFUNCTION("""COMPUTED_VALUE"""),"-30.9001127958718")</f>
        <v>-30.9001127958718</v>
      </c>
      <c r="B875" s="66" t="str">
        <f>IFERROR(__xludf.DUMMYFUNCTION("""COMPUTED_VALUE"""),"-55.5415177895694")</f>
        <v>-55.5415177895694</v>
      </c>
      <c r="C875" s="66">
        <f>IFERROR(__xludf.DUMMYFUNCTION("""COMPUTED_VALUE"""),1.0)</f>
        <v>1</v>
      </c>
      <c r="D875" s="66">
        <f>IFERROR(__xludf.DUMMYFUNCTION("""COMPUTED_VALUE"""),189.0)</f>
        <v>189</v>
      </c>
      <c r="E875" s="66">
        <f>IFERROR(__xludf.DUMMYFUNCTION("""COMPUTED_VALUE"""),4.0)</f>
        <v>4</v>
      </c>
      <c r="F875" s="67" t="str">
        <f>IFERROR(__xludf.DUMMYFUNCTION("""COMPUTED_VALUE"""),"https://www.google.com/maps/search/?api=1&amp;query=-30.9001127958718,-55.5415177895694")</f>
        <v>https://www.google.com/maps/search/?api=1&amp;query=-30.9001127958718,-55.5415177895694</v>
      </c>
      <c r="G875" s="68" t="str">
        <f>IFERROR(__xludf.DUMMYFUNCTION("""COMPUTED_VALUE"""),"https://earth.google.com/web/search/-30.9001127958718,-55.5415177895694")</f>
        <v>https://earth.google.com/web/search/-30.9001127958718,-55.5415177895694</v>
      </c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</row>
    <row r="876">
      <c r="A876" s="69" t="str">
        <f>IFERROR(__xludf.DUMMYFUNCTION("""COMPUTED_VALUE"""),"-30.8999978980679")</f>
        <v>-30.8999978980679</v>
      </c>
      <c r="B876" s="61" t="str">
        <f>IFERROR(__xludf.DUMMYFUNCTION("""COMPUTED_VALUE"""),"-5.5541293263021")</f>
        <v>-5.5541293263021</v>
      </c>
      <c r="C876" s="61">
        <f>IFERROR(__xludf.DUMMYFUNCTION("""COMPUTED_VALUE"""),1.0)</f>
        <v>1</v>
      </c>
      <c r="D876" s="61">
        <f>IFERROR(__xludf.DUMMYFUNCTION("""COMPUTED_VALUE"""),189.0)</f>
        <v>189</v>
      </c>
      <c r="E876" s="61">
        <f>IFERROR(__xludf.DUMMYFUNCTION("""COMPUTED_VALUE"""),5.0)</f>
        <v>5</v>
      </c>
      <c r="F876" s="62" t="str">
        <f>IFERROR(__xludf.DUMMYFUNCTION("""COMPUTED_VALUE"""),"https://www.google.com/maps/search/?api=1&amp;query=-30.8999978980679,-5.5541293263021")</f>
        <v>https://www.google.com/maps/search/?api=1&amp;query=-30.8999978980679,-5.5541293263021</v>
      </c>
      <c r="G876" s="63" t="str">
        <f>IFERROR(__xludf.DUMMYFUNCTION("""COMPUTED_VALUE"""),"https://earth.google.com/web/search/-30.8999978980679,-5.5541293263021")</f>
        <v>https://earth.google.com/web/search/-30.8999978980679,-5.5541293263021</v>
      </c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64"/>
    </row>
    <row r="877">
      <c r="A877" s="65" t="str">
        <f>IFERROR(__xludf.DUMMYFUNCTION("""COMPUTED_VALUE"""),"-30.8999285961299")</f>
        <v>-30.8999285961299</v>
      </c>
      <c r="B877" s="66" t="str">
        <f>IFERROR(__xludf.DUMMYFUNCTION("""COMPUTED_VALUE"""),"-55.5412412519249")</f>
        <v>-55.5412412519249</v>
      </c>
      <c r="C877" s="66">
        <f>IFERROR(__xludf.DUMMYFUNCTION("""COMPUTED_VALUE"""),1.0)</f>
        <v>1</v>
      </c>
      <c r="D877" s="66">
        <f>IFERROR(__xludf.DUMMYFUNCTION("""COMPUTED_VALUE"""),189.0)</f>
        <v>189</v>
      </c>
      <c r="E877" s="66">
        <f>IFERROR(__xludf.DUMMYFUNCTION("""COMPUTED_VALUE"""),6.0)</f>
        <v>6</v>
      </c>
      <c r="F877" s="67" t="str">
        <f>IFERROR(__xludf.DUMMYFUNCTION("""COMPUTED_VALUE"""),"https://www.google.com/maps/search/?api=1&amp;query=-30.8999285961299,-55.5412412519249")</f>
        <v>https://www.google.com/maps/search/?api=1&amp;query=-30.8999285961299,-55.5412412519249</v>
      </c>
      <c r="G877" s="68" t="str">
        <f>IFERROR(__xludf.DUMMYFUNCTION("""COMPUTED_VALUE"""),"https://earth.google.com/web/search/-30.8999285961299,-55.5412412519249")</f>
        <v>https://earth.google.com/web/search/-30.8999285961299,-55.5412412519249</v>
      </c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  <c r="Z877" s="64"/>
    </row>
    <row r="878">
      <c r="A878" s="69" t="str">
        <f>IFERROR(__xludf.DUMMYFUNCTION("""COMPUTED_VALUE"""),"-30.8996221184731")</f>
        <v>-30.8996221184731</v>
      </c>
      <c r="B878" s="61" t="str">
        <f>IFERROR(__xludf.DUMMYFUNCTION("""COMPUTED_VALUE"""),"-55.5410172880143")</f>
        <v>-55.5410172880143</v>
      </c>
      <c r="C878" s="61">
        <f>IFERROR(__xludf.DUMMYFUNCTION("""COMPUTED_VALUE"""),1.0)</f>
        <v>1</v>
      </c>
      <c r="D878" s="61">
        <f>IFERROR(__xludf.DUMMYFUNCTION("""COMPUTED_VALUE"""),189.0)</f>
        <v>189</v>
      </c>
      <c r="E878" s="61">
        <f>IFERROR(__xludf.DUMMYFUNCTION("""COMPUTED_VALUE"""),7.0)</f>
        <v>7</v>
      </c>
      <c r="F878" s="62" t="str">
        <f>IFERROR(__xludf.DUMMYFUNCTION("""COMPUTED_VALUE"""),"https://www.google.com/maps/search/?api=1&amp;query=-30.8996221184731,-55.5410172880143")</f>
        <v>https://www.google.com/maps/search/?api=1&amp;query=-30.8996221184731,-55.5410172880143</v>
      </c>
      <c r="G878" s="63" t="str">
        <f>IFERROR(__xludf.DUMMYFUNCTION("""COMPUTED_VALUE"""),"https://earth.google.com/web/search/-30.8996221184731,-55.5410172880143")</f>
        <v>https://earth.google.com/web/search/-30.8996221184731,-55.5410172880143</v>
      </c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  <c r="Z878" s="64"/>
    </row>
    <row r="879">
      <c r="A879" s="65" t="str">
        <f>IFERROR(__xludf.DUMMYFUNCTION("""COMPUTED_VALUE"""),"-30.8995450099101")</f>
        <v>-30.8995450099101</v>
      </c>
      <c r="B879" s="66" t="str">
        <f>IFERROR(__xludf.DUMMYFUNCTION("""COMPUTED_VALUE"""),"-55.5409459067957")</f>
        <v>-55.5409459067957</v>
      </c>
      <c r="C879" s="66">
        <f>IFERROR(__xludf.DUMMYFUNCTION("""COMPUTED_VALUE"""),1.0)</f>
        <v>1</v>
      </c>
      <c r="D879" s="66">
        <f>IFERROR(__xludf.DUMMYFUNCTION("""COMPUTED_VALUE"""),189.0)</f>
        <v>189</v>
      </c>
      <c r="E879" s="66">
        <f>IFERROR(__xludf.DUMMYFUNCTION("""COMPUTED_VALUE"""),8.0)</f>
        <v>8</v>
      </c>
      <c r="F879" s="67" t="str">
        <f>IFERROR(__xludf.DUMMYFUNCTION("""COMPUTED_VALUE"""),"https://www.google.com/maps/search/?api=1&amp;query=-30.8995450099101,-55.5409459067957")</f>
        <v>https://www.google.com/maps/search/?api=1&amp;query=-30.8995450099101,-55.5409459067957</v>
      </c>
      <c r="G879" s="68" t="str">
        <f>IFERROR(__xludf.DUMMYFUNCTION("""COMPUTED_VALUE"""),"https://earth.google.com/web/search/-30.8995450099101,-55.5409459067957")</f>
        <v>https://earth.google.com/web/search/-30.8995450099101,-55.5409459067957</v>
      </c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64"/>
    </row>
    <row r="880">
      <c r="A880" s="69" t="str">
        <f>IFERROR(__xludf.DUMMYFUNCTION("""COMPUTED_VALUE"""),"-30.8993679296502")</f>
        <v>-30.8993679296502</v>
      </c>
      <c r="B880" s="61" t="str">
        <f>IFERROR(__xludf.DUMMYFUNCTION("""COMPUTED_VALUE"""),"-55.5410206354865")</f>
        <v>-55.5410206354865</v>
      </c>
      <c r="C880" s="61">
        <f>IFERROR(__xludf.DUMMYFUNCTION("""COMPUTED_VALUE"""),1.0)</f>
        <v>1</v>
      </c>
      <c r="D880" s="61">
        <f>IFERROR(__xludf.DUMMYFUNCTION("""COMPUTED_VALUE"""),189.0)</f>
        <v>189</v>
      </c>
      <c r="E880" s="61">
        <f>IFERROR(__xludf.DUMMYFUNCTION("""COMPUTED_VALUE"""),9.0)</f>
        <v>9</v>
      </c>
      <c r="F880" s="62" t="str">
        <f>IFERROR(__xludf.DUMMYFUNCTION("""COMPUTED_VALUE"""),"https://www.google.com/maps/search/?api=1&amp;query=-30.8993679296502,-55.5410206354865")</f>
        <v>https://www.google.com/maps/search/?api=1&amp;query=-30.8993679296502,-55.5410206354865</v>
      </c>
      <c r="G880" s="63" t="str">
        <f>IFERROR(__xludf.DUMMYFUNCTION("""COMPUTED_VALUE"""),"https://earth.google.com/web/search/-30.8993679296502,-55.5410206354865")</f>
        <v>https://earth.google.com/web/search/-30.8993679296502,-55.5410206354865</v>
      </c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64"/>
    </row>
    <row r="881">
      <c r="A881" s="65" t="str">
        <f>IFERROR(__xludf.DUMMYFUNCTION("""COMPUTED_VALUE"""),"-30.8993538113655")</f>
        <v>-30.8993538113655</v>
      </c>
      <c r="B881" s="66" t="str">
        <f>IFERROR(__xludf.DUMMYFUNCTION("""COMPUTED_VALUE"""),"-55.5428983809807")</f>
        <v>-55.5428983809807</v>
      </c>
      <c r="C881" s="66">
        <f>IFERROR(__xludf.DUMMYFUNCTION("""COMPUTED_VALUE"""),1.0)</f>
        <v>1</v>
      </c>
      <c r="D881" s="66">
        <f>IFERROR(__xludf.DUMMYFUNCTION("""COMPUTED_VALUE"""),190.0)</f>
        <v>190</v>
      </c>
      <c r="E881" s="66">
        <f>IFERROR(__xludf.DUMMYFUNCTION("""COMPUTED_VALUE"""),1.0)</f>
        <v>1</v>
      </c>
      <c r="F881" s="67" t="str">
        <f>IFERROR(__xludf.DUMMYFUNCTION("""COMPUTED_VALUE"""),"https://www.google.com/maps/search/?api=1&amp;query=-30.8993538113655,-55.5428983809807")</f>
        <v>https://www.google.com/maps/search/?api=1&amp;query=-30.8993538113655,-55.5428983809807</v>
      </c>
      <c r="G881" s="68" t="str">
        <f>IFERROR(__xludf.DUMMYFUNCTION("""COMPUTED_VALUE"""),"https://earth.google.com/web/search/-30.8993538113655,-55.5428983809807")</f>
        <v>https://earth.google.com/web/search/-30.8993538113655,-55.5428983809807</v>
      </c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  <c r="Z881" s="64"/>
    </row>
    <row r="882">
      <c r="A882" s="69" t="str">
        <f>IFERROR(__xludf.DUMMYFUNCTION("""COMPUTED_VALUE"""),"-30.8994718198101")</f>
        <v>-30.8994718198101</v>
      </c>
      <c r="B882" s="61" t="str">
        <f>IFERROR(__xludf.DUMMYFUNCTION("""COMPUTED_VALUE"""),"-5.5542657875662")</f>
        <v>-5.5542657875662</v>
      </c>
      <c r="C882" s="61">
        <f>IFERROR(__xludf.DUMMYFUNCTION("""COMPUTED_VALUE"""),1.0)</f>
        <v>1</v>
      </c>
      <c r="D882" s="61">
        <f>IFERROR(__xludf.DUMMYFUNCTION("""COMPUTED_VALUE"""),190.0)</f>
        <v>190</v>
      </c>
      <c r="E882" s="61">
        <f>IFERROR(__xludf.DUMMYFUNCTION("""COMPUTED_VALUE"""),2.0)</f>
        <v>2</v>
      </c>
      <c r="F882" s="62" t="str">
        <f>IFERROR(__xludf.DUMMYFUNCTION("""COMPUTED_VALUE"""),"https://www.google.com/maps/search/?api=1&amp;query=-30.8994718198101,-5.5542657875662")</f>
        <v>https://www.google.com/maps/search/?api=1&amp;query=-30.8994718198101,-5.5542657875662</v>
      </c>
      <c r="G882" s="63" t="str">
        <f>IFERROR(__xludf.DUMMYFUNCTION("""COMPUTED_VALUE"""),"https://earth.google.com/web/search/-30.8994718198101,-5.5542657875662")</f>
        <v>https://earth.google.com/web/search/-30.8994718198101,-5.5542657875662</v>
      </c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64"/>
    </row>
    <row r="883">
      <c r="A883" s="65" t="str">
        <f>IFERROR(__xludf.DUMMYFUNCTION("""COMPUTED_VALUE"""),"-30.8995345677224")</f>
        <v>-30.8995345677224</v>
      </c>
      <c r="B883" s="66" t="str">
        <f>IFERROR(__xludf.DUMMYFUNCTION("""COMPUTED_VALUE"""),"-55.5425151804646")</f>
        <v>-55.5425151804646</v>
      </c>
      <c r="C883" s="66">
        <f>IFERROR(__xludf.DUMMYFUNCTION("""COMPUTED_VALUE"""),1.0)</f>
        <v>1</v>
      </c>
      <c r="D883" s="66">
        <f>IFERROR(__xludf.DUMMYFUNCTION("""COMPUTED_VALUE"""),190.0)</f>
        <v>190</v>
      </c>
      <c r="E883" s="66">
        <f>IFERROR(__xludf.DUMMYFUNCTION("""COMPUTED_VALUE"""),3.0)</f>
        <v>3</v>
      </c>
      <c r="F883" s="67" t="str">
        <f>IFERROR(__xludf.DUMMYFUNCTION("""COMPUTED_VALUE"""),"https://www.google.com/maps/search/?api=1&amp;query=-30.8995345677224,-55.5425151804646")</f>
        <v>https://www.google.com/maps/search/?api=1&amp;query=-30.8995345677224,-55.5425151804646</v>
      </c>
      <c r="G883" s="68" t="str">
        <f>IFERROR(__xludf.DUMMYFUNCTION("""COMPUTED_VALUE"""),"https://earth.google.com/web/search/-30.8995345677224,-55.5425151804646")</f>
        <v>https://earth.google.com/web/search/-30.8995345677224,-55.5425151804646</v>
      </c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</row>
    <row r="884">
      <c r="A884" s="69" t="str">
        <f>IFERROR(__xludf.DUMMYFUNCTION("""COMPUTED_VALUE"""),"-30.8995950054744")</f>
        <v>-30.8995950054744</v>
      </c>
      <c r="B884" s="61" t="str">
        <f>IFERROR(__xludf.DUMMYFUNCTION("""COMPUTED_VALUE"""),"-5.5542385261588")</f>
        <v>-5.5542385261588</v>
      </c>
      <c r="C884" s="61">
        <f>IFERROR(__xludf.DUMMYFUNCTION("""COMPUTED_VALUE"""),1.0)</f>
        <v>1</v>
      </c>
      <c r="D884" s="61">
        <f>IFERROR(__xludf.DUMMYFUNCTION("""COMPUTED_VALUE"""),190.0)</f>
        <v>190</v>
      </c>
      <c r="E884" s="61">
        <f>IFERROR(__xludf.DUMMYFUNCTION("""COMPUTED_VALUE"""),4.0)</f>
        <v>4</v>
      </c>
      <c r="F884" s="62" t="str">
        <f>IFERROR(__xludf.DUMMYFUNCTION("""COMPUTED_VALUE"""),"https://www.google.com/maps/search/?api=1&amp;query=-30.8995950054744,-5.5542385261588")</f>
        <v>https://www.google.com/maps/search/?api=1&amp;query=-30.8995950054744,-5.5542385261588</v>
      </c>
      <c r="G884" s="63" t="str">
        <f>IFERROR(__xludf.DUMMYFUNCTION("""COMPUTED_VALUE"""),"https://earth.google.com/web/search/-30.8995950054744,-5.5542385261588")</f>
        <v>https://earth.google.com/web/search/-30.8995950054744,-5.5542385261588</v>
      </c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64"/>
    </row>
    <row r="885">
      <c r="A885" s="65" t="str">
        <f>IFERROR(__xludf.DUMMYFUNCTION("""COMPUTED_VALUE"""),"-30.8988482702087")</f>
        <v>-30.8988482702087</v>
      </c>
      <c r="B885" s="66" t="str">
        <f>IFERROR(__xludf.DUMMYFUNCTION("""COMPUTED_VALUE"""),"-55.5419937079268")</f>
        <v>-55.5419937079268</v>
      </c>
      <c r="C885" s="66">
        <f>IFERROR(__xludf.DUMMYFUNCTION("""COMPUTED_VALUE"""),1.0)</f>
        <v>1</v>
      </c>
      <c r="D885" s="66">
        <f>IFERROR(__xludf.DUMMYFUNCTION("""COMPUTED_VALUE"""),190.0)</f>
        <v>190</v>
      </c>
      <c r="E885" s="66">
        <f>IFERROR(__xludf.DUMMYFUNCTION("""COMPUTED_VALUE"""),5.0)</f>
        <v>5</v>
      </c>
      <c r="F885" s="67" t="str">
        <f>IFERROR(__xludf.DUMMYFUNCTION("""COMPUTED_VALUE"""),"https://www.google.com/maps/search/?api=1&amp;query=-30.8988482702087,-55.5419937079268")</f>
        <v>https://www.google.com/maps/search/?api=1&amp;query=-30.8988482702087,-55.5419937079268</v>
      </c>
      <c r="G885" s="68" t="str">
        <f>IFERROR(__xludf.DUMMYFUNCTION("""COMPUTED_VALUE"""),"https://earth.google.com/web/search/-30.8988482702087,-55.5419937079268")</f>
        <v>https://earth.google.com/web/search/-30.8988482702087,-55.5419937079268</v>
      </c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</row>
    <row r="886">
      <c r="A886" s="69" t="str">
        <f>IFERROR(__xludf.DUMMYFUNCTION("""COMPUTED_VALUE"""),"-30.8987509886421")</f>
        <v>-30.8987509886421</v>
      </c>
      <c r="B886" s="61" t="str">
        <f>IFERROR(__xludf.DUMMYFUNCTION("""COMPUTED_VALUE"""),"-55.5421641677721")</f>
        <v>-55.5421641677721</v>
      </c>
      <c r="C886" s="61">
        <f>IFERROR(__xludf.DUMMYFUNCTION("""COMPUTED_VALUE"""),1.0)</f>
        <v>1</v>
      </c>
      <c r="D886" s="61">
        <f>IFERROR(__xludf.DUMMYFUNCTION("""COMPUTED_VALUE"""),190.0)</f>
        <v>190</v>
      </c>
      <c r="E886" s="61">
        <f>IFERROR(__xludf.DUMMYFUNCTION("""COMPUTED_VALUE"""),6.0)</f>
        <v>6</v>
      </c>
      <c r="F886" s="62" t="str">
        <f>IFERROR(__xludf.DUMMYFUNCTION("""COMPUTED_VALUE"""),"https://www.google.com/maps/search/?api=1&amp;query=-30.8987509886421,-55.5421641677721")</f>
        <v>https://www.google.com/maps/search/?api=1&amp;query=-30.8987509886421,-55.5421641677721</v>
      </c>
      <c r="G886" s="63" t="str">
        <f>IFERROR(__xludf.DUMMYFUNCTION("""COMPUTED_VALUE"""),"https://earth.google.com/web/search/-30.8987509886421,-55.5421641677721")</f>
        <v>https://earth.google.com/web/search/-30.8987509886421,-55.5421641677721</v>
      </c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  <c r="Z886" s="64"/>
    </row>
    <row r="887">
      <c r="A887" s="65" t="str">
        <f>IFERROR(__xludf.DUMMYFUNCTION("""COMPUTED_VALUE"""),"-30.8987195564006")</f>
        <v>-30.8987195564006</v>
      </c>
      <c r="B887" s="66" t="str">
        <f>IFERROR(__xludf.DUMMYFUNCTION("""COMPUTED_VALUE"""),"-5.5542262734812")</f>
        <v>-5.5542262734812</v>
      </c>
      <c r="C887" s="66">
        <f>IFERROR(__xludf.DUMMYFUNCTION("""COMPUTED_VALUE"""),1.0)</f>
        <v>1</v>
      </c>
      <c r="D887" s="66">
        <f>IFERROR(__xludf.DUMMYFUNCTION("""COMPUTED_VALUE"""),190.0)</f>
        <v>190</v>
      </c>
      <c r="E887" s="66">
        <f>IFERROR(__xludf.DUMMYFUNCTION("""COMPUTED_VALUE"""),7.0)</f>
        <v>7</v>
      </c>
      <c r="F887" s="67" t="str">
        <f>IFERROR(__xludf.DUMMYFUNCTION("""COMPUTED_VALUE"""),"https://www.google.com/maps/search/?api=1&amp;query=-30.8987195564006,-5.5542262734812")</f>
        <v>https://www.google.com/maps/search/?api=1&amp;query=-30.8987195564006,-5.5542262734812</v>
      </c>
      <c r="G887" s="68" t="str">
        <f>IFERROR(__xludf.DUMMYFUNCTION("""COMPUTED_VALUE"""),"https://earth.google.com/web/search/-30.8987195564006,-5.5542262734812")</f>
        <v>https://earth.google.com/web/search/-30.8987195564006,-5.5542262734812</v>
      </c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  <c r="Z887" s="64"/>
    </row>
    <row r="888">
      <c r="A888" s="69" t="str">
        <f>IFERROR(__xludf.DUMMYFUNCTION("""COMPUTED_VALUE"""),"-30.8986401730833")</f>
        <v>-30.8986401730833</v>
      </c>
      <c r="B888" s="61" t="str">
        <f>IFERROR(__xludf.DUMMYFUNCTION("""COMPUTED_VALUE"""),"-55.5424126983571")</f>
        <v>-55.5424126983571</v>
      </c>
      <c r="C888" s="61">
        <f>IFERROR(__xludf.DUMMYFUNCTION("""COMPUTED_VALUE"""),1.0)</f>
        <v>1</v>
      </c>
      <c r="D888" s="61">
        <f>IFERROR(__xludf.DUMMYFUNCTION("""COMPUTED_VALUE"""),190.0)</f>
        <v>190</v>
      </c>
      <c r="E888" s="61">
        <f>IFERROR(__xludf.DUMMYFUNCTION("""COMPUTED_VALUE"""),8.0)</f>
        <v>8</v>
      </c>
      <c r="F888" s="62" t="str">
        <f>IFERROR(__xludf.DUMMYFUNCTION("""COMPUTED_VALUE"""),"https://www.google.com/maps/search/?api=1&amp;query=-30.8986401730833,-55.5424126983571")</f>
        <v>https://www.google.com/maps/search/?api=1&amp;query=-30.8986401730833,-55.5424126983571</v>
      </c>
      <c r="G888" s="63" t="str">
        <f>IFERROR(__xludf.DUMMYFUNCTION("""COMPUTED_VALUE"""),"https://earth.google.com/web/search/-30.8986401730833,-55.5424126983571")</f>
        <v>https://earth.google.com/web/search/-30.8986401730833,-55.5424126983571</v>
      </c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  <c r="Z888" s="64"/>
    </row>
    <row r="889">
      <c r="A889" s="65" t="str">
        <f>IFERROR(__xludf.DUMMYFUNCTION("""COMPUTED_VALUE"""),"-30.8985833676843")</f>
        <v>-30.8985833676843</v>
      </c>
      <c r="B889" s="66" t="str">
        <f>IFERROR(__xludf.DUMMYFUNCTION("""COMPUTED_VALUE"""),"-55.5426687926474")</f>
        <v>-55.5426687926474</v>
      </c>
      <c r="C889" s="66">
        <f>IFERROR(__xludf.DUMMYFUNCTION("""COMPUTED_VALUE"""),1.0)</f>
        <v>1</v>
      </c>
      <c r="D889" s="66">
        <f>IFERROR(__xludf.DUMMYFUNCTION("""COMPUTED_VALUE"""),190.0)</f>
        <v>190</v>
      </c>
      <c r="E889" s="66">
        <f>IFERROR(__xludf.DUMMYFUNCTION("""COMPUTED_VALUE"""),9.0)</f>
        <v>9</v>
      </c>
      <c r="F889" s="67" t="str">
        <f>IFERROR(__xludf.DUMMYFUNCTION("""COMPUTED_VALUE"""),"https://www.google.com/maps/search/?api=1&amp;query=-30.8985833676843,-55.5426687926474")</f>
        <v>https://www.google.com/maps/search/?api=1&amp;query=-30.8985833676843,-55.5426687926474</v>
      </c>
      <c r="G889" s="68" t="str">
        <f>IFERROR(__xludf.DUMMYFUNCTION("""COMPUTED_VALUE"""),"https://earth.google.com/web/search/-30.8985833676843,-55.5426687926474")</f>
        <v>https://earth.google.com/web/search/-30.8985833676843,-55.5426687926474</v>
      </c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  <c r="Z889" s="64"/>
    </row>
    <row r="890">
      <c r="A890" s="69" t="str">
        <f>IFERROR(__xludf.DUMMYFUNCTION("""COMPUTED_VALUE"""),"-3.0898788948376")</f>
        <v>-3.0898788948376</v>
      </c>
      <c r="B890" s="61" t="str">
        <f>IFERROR(__xludf.DUMMYFUNCTION("""COMPUTED_VALUE"""),"-55.5428040889904")</f>
        <v>-55.5428040889904</v>
      </c>
      <c r="C890" s="61">
        <f>IFERROR(__xludf.DUMMYFUNCTION("""COMPUTED_VALUE"""),1.0)</f>
        <v>1</v>
      </c>
      <c r="D890" s="61">
        <f>IFERROR(__xludf.DUMMYFUNCTION("""COMPUTED_VALUE"""),190.0)</f>
        <v>190</v>
      </c>
      <c r="E890" s="61">
        <f>IFERROR(__xludf.DUMMYFUNCTION("""COMPUTED_VALUE"""),10.0)</f>
        <v>10</v>
      </c>
      <c r="F890" s="62" t="str">
        <f>IFERROR(__xludf.DUMMYFUNCTION("""COMPUTED_VALUE"""),"https://www.google.com/maps/search/?api=1&amp;query=-3.0898788948376,-55.5428040889904")</f>
        <v>https://www.google.com/maps/search/?api=1&amp;query=-3.0898788948376,-55.5428040889904</v>
      </c>
      <c r="G890" s="63" t="str">
        <f>IFERROR(__xludf.DUMMYFUNCTION("""COMPUTED_VALUE"""),"https://earth.google.com/web/search/-3.0898788948376,-55.5428040889904")</f>
        <v>https://earth.google.com/web/search/-3.0898788948376,-55.5428040889904</v>
      </c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</row>
    <row r="891">
      <c r="A891" s="65" t="str">
        <f>IFERROR(__xludf.DUMMYFUNCTION("""COMPUTED_VALUE"""),"-30.8989446458185")</f>
        <v>-30.8989446458185</v>
      </c>
      <c r="B891" s="66" t="str">
        <f>IFERROR(__xludf.DUMMYFUNCTION("""COMPUTED_VALUE"""),"-55.5429037260542")</f>
        <v>-55.5429037260542</v>
      </c>
      <c r="C891" s="66">
        <f>IFERROR(__xludf.DUMMYFUNCTION("""COMPUTED_VALUE"""),1.0)</f>
        <v>1</v>
      </c>
      <c r="D891" s="66">
        <f>IFERROR(__xludf.DUMMYFUNCTION("""COMPUTED_VALUE"""),190.0)</f>
        <v>190</v>
      </c>
      <c r="E891" s="66">
        <f>IFERROR(__xludf.DUMMYFUNCTION("""COMPUTED_VALUE"""),11.0)</f>
        <v>11</v>
      </c>
      <c r="F891" s="67" t="str">
        <f>IFERROR(__xludf.DUMMYFUNCTION("""COMPUTED_VALUE"""),"https://www.google.com/maps/search/?api=1&amp;query=-30.8989446458185,-55.5429037260542")</f>
        <v>https://www.google.com/maps/search/?api=1&amp;query=-30.8989446458185,-55.5429037260542</v>
      </c>
      <c r="G891" s="68" t="str">
        <f>IFERROR(__xludf.DUMMYFUNCTION("""COMPUTED_VALUE"""),"https://earth.google.com/web/search/-30.8989446458185,-55.5429037260542")</f>
        <v>https://earth.google.com/web/search/-30.8989446458185,-55.5429037260542</v>
      </c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</row>
    <row r="892">
      <c r="A892" s="69" t="str">
        <f>IFERROR(__xludf.DUMMYFUNCTION("""COMPUTED_VALUE"""),"-30.8990590203809")</f>
        <v>-30.8990590203809</v>
      </c>
      <c r="B892" s="61" t="str">
        <f>IFERROR(__xludf.DUMMYFUNCTION("""COMPUTED_VALUE"""),"-55.5429910045694")</f>
        <v>-55.5429910045694</v>
      </c>
      <c r="C892" s="61">
        <f>IFERROR(__xludf.DUMMYFUNCTION("""COMPUTED_VALUE"""),1.0)</f>
        <v>1</v>
      </c>
      <c r="D892" s="61">
        <f>IFERROR(__xludf.DUMMYFUNCTION("""COMPUTED_VALUE"""),190.0)</f>
        <v>190</v>
      </c>
      <c r="E892" s="61">
        <f>IFERROR(__xludf.DUMMYFUNCTION("""COMPUTED_VALUE"""),12.0)</f>
        <v>12</v>
      </c>
      <c r="F892" s="62" t="str">
        <f>IFERROR(__xludf.DUMMYFUNCTION("""COMPUTED_VALUE"""),"https://www.google.com/maps/search/?api=1&amp;query=-30.8990590203809,-55.5429910045694")</f>
        <v>https://www.google.com/maps/search/?api=1&amp;query=-30.8990590203809,-55.5429910045694</v>
      </c>
      <c r="G892" s="63" t="str">
        <f>IFERROR(__xludf.DUMMYFUNCTION("""COMPUTED_VALUE"""),"https://earth.google.com/web/search/-30.8990590203809,-55.5429910045694")</f>
        <v>https://earth.google.com/web/search/-30.8990590203809,-55.5429910045694</v>
      </c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  <c r="Z892" s="64"/>
    </row>
    <row r="893">
      <c r="A893" s="65" t="str">
        <f>IFERROR(__xludf.DUMMYFUNCTION("""COMPUTED_VALUE"""),"-30.9014807336292")</f>
        <v>-30.9014807336292</v>
      </c>
      <c r="B893" s="66" t="str">
        <f>IFERROR(__xludf.DUMMYFUNCTION("""COMPUTED_VALUE"""),"-55.5368482930629")</f>
        <v>-55.5368482930629</v>
      </c>
      <c r="C893" s="66">
        <f>IFERROR(__xludf.DUMMYFUNCTION("""COMPUTED_VALUE"""),1.0)</f>
        <v>1</v>
      </c>
      <c r="D893" s="66">
        <f>IFERROR(__xludf.DUMMYFUNCTION("""COMPUTED_VALUE"""),180.0)</f>
        <v>180</v>
      </c>
      <c r="E893" s="66">
        <f>IFERROR(__xludf.DUMMYFUNCTION("""COMPUTED_VALUE"""),1.0)</f>
        <v>1</v>
      </c>
      <c r="F893" s="67" t="str">
        <f>IFERROR(__xludf.DUMMYFUNCTION("""COMPUTED_VALUE"""),"https://www.google.com/maps/search/?api=1&amp;query=-30.9014807336292,-55.5368482930629")</f>
        <v>https://www.google.com/maps/search/?api=1&amp;query=-30.9014807336292,-55.5368482930629</v>
      </c>
      <c r="G893" s="68" t="str">
        <f>IFERROR(__xludf.DUMMYFUNCTION("""COMPUTED_VALUE"""),"https://earth.google.com/web/search/-30.9014807336292,-55.5368482930629")</f>
        <v>https://earth.google.com/web/search/-30.9014807336292,-55.5368482930629</v>
      </c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64"/>
    </row>
    <row r="894">
      <c r="A894" s="69" t="str">
        <f>IFERROR(__xludf.DUMMYFUNCTION("""COMPUTED_VALUE"""),"-3.0901523438319")</f>
        <v>-3.0901523438319</v>
      </c>
      <c r="B894" s="61" t="str">
        <f>IFERROR(__xludf.DUMMYFUNCTION("""COMPUTED_VALUE"""),"-55.5367667682808")</f>
        <v>-55.5367667682808</v>
      </c>
      <c r="C894" s="61">
        <f>IFERROR(__xludf.DUMMYFUNCTION("""COMPUTED_VALUE"""),1.0)</f>
        <v>1</v>
      </c>
      <c r="D894" s="61">
        <f>IFERROR(__xludf.DUMMYFUNCTION("""COMPUTED_VALUE"""),180.0)</f>
        <v>180</v>
      </c>
      <c r="E894" s="61">
        <f>IFERROR(__xludf.DUMMYFUNCTION("""COMPUTED_VALUE"""),2.0)</f>
        <v>2</v>
      </c>
      <c r="F894" s="62" t="str">
        <f>IFERROR(__xludf.DUMMYFUNCTION("""COMPUTED_VALUE"""),"https://www.google.com/maps/search/?api=1&amp;query=-3.0901523438319,-55.5367667682808")</f>
        <v>https://www.google.com/maps/search/?api=1&amp;query=-3.0901523438319,-55.5367667682808</v>
      </c>
      <c r="G894" s="63" t="str">
        <f>IFERROR(__xludf.DUMMYFUNCTION("""COMPUTED_VALUE"""),"https://earth.google.com/web/search/-3.0901523438319,-55.5367667682808")</f>
        <v>https://earth.google.com/web/search/-3.0901523438319,-55.5367667682808</v>
      </c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</row>
    <row r="895">
      <c r="A895" s="65" t="str">
        <f>IFERROR(__xludf.DUMMYFUNCTION("""COMPUTED_VALUE"""),"-0.3090164227398")</f>
        <v>-0.3090164227398</v>
      </c>
      <c r="B895" s="66" t="str">
        <f>IFERROR(__xludf.DUMMYFUNCTION("""COMPUTED_VALUE"""),"-55.5365752331978")</f>
        <v>-55.5365752331978</v>
      </c>
      <c r="C895" s="66">
        <f>IFERROR(__xludf.DUMMYFUNCTION("""COMPUTED_VALUE"""),1.0)</f>
        <v>1</v>
      </c>
      <c r="D895" s="66">
        <f>IFERROR(__xludf.DUMMYFUNCTION("""COMPUTED_VALUE"""),180.0)</f>
        <v>180</v>
      </c>
      <c r="E895" s="66">
        <f>IFERROR(__xludf.DUMMYFUNCTION("""COMPUTED_VALUE"""),3.0)</f>
        <v>3</v>
      </c>
      <c r="F895" s="67" t="str">
        <f>IFERROR(__xludf.DUMMYFUNCTION("""COMPUTED_VALUE"""),"https://www.google.com/maps/search/?api=1&amp;query=-0.3090164227398,-55.5365752331978")</f>
        <v>https://www.google.com/maps/search/?api=1&amp;query=-0.3090164227398,-55.5365752331978</v>
      </c>
      <c r="G895" s="68" t="str">
        <f>IFERROR(__xludf.DUMMYFUNCTION("""COMPUTED_VALUE"""),"https://earth.google.com/web/search/-0.3090164227398,-55.5365752331978")</f>
        <v>https://earth.google.com/web/search/-0.3090164227398,-55.5365752331978</v>
      </c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  <c r="Z895" s="64"/>
    </row>
    <row r="896">
      <c r="A896" s="69" t="str">
        <f>IFERROR(__xludf.DUMMYFUNCTION("""COMPUTED_VALUE"""),"-30.9017375486207")</f>
        <v>-30.9017375486207</v>
      </c>
      <c r="B896" s="61" t="str">
        <f>IFERROR(__xludf.DUMMYFUNCTION("""COMPUTED_VALUE"""),"-55.5363728045927")</f>
        <v>-55.5363728045927</v>
      </c>
      <c r="C896" s="61">
        <f>IFERROR(__xludf.DUMMYFUNCTION("""COMPUTED_VALUE"""),1.0)</f>
        <v>1</v>
      </c>
      <c r="D896" s="61">
        <f>IFERROR(__xludf.DUMMYFUNCTION("""COMPUTED_VALUE"""),180.0)</f>
        <v>180</v>
      </c>
      <c r="E896" s="61">
        <f>IFERROR(__xludf.DUMMYFUNCTION("""COMPUTED_VALUE"""),4.0)</f>
        <v>4</v>
      </c>
      <c r="F896" s="62" t="str">
        <f>IFERROR(__xludf.DUMMYFUNCTION("""COMPUTED_VALUE"""),"https://www.google.com/maps/search/?api=1&amp;query=-30.9017375486207,-55.5363728045927")</f>
        <v>https://www.google.com/maps/search/?api=1&amp;query=-30.9017375486207,-55.5363728045927</v>
      </c>
      <c r="G896" s="63" t="str">
        <f>IFERROR(__xludf.DUMMYFUNCTION("""COMPUTED_VALUE"""),"https://earth.google.com/web/search/-30.9017375486207,-55.5363728045927")</f>
        <v>https://earth.google.com/web/search/-30.9017375486207,-55.5363728045927</v>
      </c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  <c r="Z896" s="64"/>
    </row>
    <row r="897">
      <c r="A897" s="65" t="str">
        <f>IFERROR(__xludf.DUMMYFUNCTION("""COMPUTED_VALUE"""),"-30.9015783971215")</f>
        <v>-30.9015783971215</v>
      </c>
      <c r="B897" s="66" t="str">
        <f>IFERROR(__xludf.DUMMYFUNCTION("""COMPUTED_VALUE"""),"-55.5361266078975")</f>
        <v>-55.5361266078975</v>
      </c>
      <c r="C897" s="66">
        <f>IFERROR(__xludf.DUMMYFUNCTION("""COMPUTED_VALUE"""),1.0)</f>
        <v>1</v>
      </c>
      <c r="D897" s="66">
        <f>IFERROR(__xludf.DUMMYFUNCTION("""COMPUTED_VALUE"""),180.0)</f>
        <v>180</v>
      </c>
      <c r="E897" s="66">
        <f>IFERROR(__xludf.DUMMYFUNCTION("""COMPUTED_VALUE"""),5.0)</f>
        <v>5</v>
      </c>
      <c r="F897" s="67" t="str">
        <f>IFERROR(__xludf.DUMMYFUNCTION("""COMPUTED_VALUE"""),"https://www.google.com/maps/search/?api=1&amp;query=-30.9015783971215,-55.5361266078975")</f>
        <v>https://www.google.com/maps/search/?api=1&amp;query=-30.9015783971215,-55.5361266078975</v>
      </c>
      <c r="G897" s="68" t="str">
        <f>IFERROR(__xludf.DUMMYFUNCTION("""COMPUTED_VALUE"""),"https://earth.google.com/web/search/-30.9015783971215,-55.5361266078975")</f>
        <v>https://earth.google.com/web/search/-30.9015783971215,-55.5361266078975</v>
      </c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  <c r="Z897" s="64"/>
    </row>
    <row r="898">
      <c r="A898" s="69" t="str">
        <f>IFERROR(__xludf.DUMMYFUNCTION("""COMPUTED_VALUE"""),"-3.0901503205584")</f>
        <v>-3.0901503205584</v>
      </c>
      <c r="B898" s="61" t="str">
        <f>IFERROR(__xludf.DUMMYFUNCTION("""COMPUTED_VALUE"""),"-5.5536067090054")</f>
        <v>-5.5536067090054</v>
      </c>
      <c r="C898" s="61">
        <f>IFERROR(__xludf.DUMMYFUNCTION("""COMPUTED_VALUE"""),1.0)</f>
        <v>1</v>
      </c>
      <c r="D898" s="61">
        <f>IFERROR(__xludf.DUMMYFUNCTION("""COMPUTED_VALUE"""),180.0)</f>
        <v>180</v>
      </c>
      <c r="E898" s="61">
        <f>IFERROR(__xludf.DUMMYFUNCTION("""COMPUTED_VALUE"""),6.0)</f>
        <v>6</v>
      </c>
      <c r="F898" s="62" t="str">
        <f>IFERROR(__xludf.DUMMYFUNCTION("""COMPUTED_VALUE"""),"https://www.google.com/maps/search/?api=1&amp;query=-3.0901503205584,-5.5536067090054")</f>
        <v>https://www.google.com/maps/search/?api=1&amp;query=-3.0901503205584,-5.5536067090054</v>
      </c>
      <c r="G898" s="63" t="str">
        <f>IFERROR(__xludf.DUMMYFUNCTION("""COMPUTED_VALUE"""),"https://earth.google.com/web/search/-3.0901503205584,-5.5536067090054")</f>
        <v>https://earth.google.com/web/search/-3.0901503205584,-5.5536067090054</v>
      </c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64"/>
    </row>
    <row r="899">
      <c r="A899" s="65" t="str">
        <f>IFERROR(__xludf.DUMMYFUNCTION("""COMPUTED_VALUE"""),"-30.9013054755393")</f>
        <v>-30.9013054755393</v>
      </c>
      <c r="B899" s="66" t="str">
        <f>IFERROR(__xludf.DUMMYFUNCTION("""COMPUTED_VALUE"""),"-55.5358990117957")</f>
        <v>-55.5358990117957</v>
      </c>
      <c r="C899" s="66">
        <f>IFERROR(__xludf.DUMMYFUNCTION("""COMPUTED_VALUE"""),1.0)</f>
        <v>1</v>
      </c>
      <c r="D899" s="66">
        <f>IFERROR(__xludf.DUMMYFUNCTION("""COMPUTED_VALUE"""),180.0)</f>
        <v>180</v>
      </c>
      <c r="E899" s="66">
        <f>IFERROR(__xludf.DUMMYFUNCTION("""COMPUTED_VALUE"""),7.0)</f>
        <v>7</v>
      </c>
      <c r="F899" s="67" t="str">
        <f>IFERROR(__xludf.DUMMYFUNCTION("""COMPUTED_VALUE"""),"https://www.google.com/maps/search/?api=1&amp;query=-30.9013054755393,-55.5358990117957")</f>
        <v>https://www.google.com/maps/search/?api=1&amp;query=-30.9013054755393,-55.5358990117957</v>
      </c>
      <c r="G899" s="68" t="str">
        <f>IFERROR(__xludf.DUMMYFUNCTION("""COMPUTED_VALUE"""),"https://earth.google.com/web/search/-30.9013054755393,-55.5358990117957")</f>
        <v>https://earth.google.com/web/search/-30.9013054755393,-55.5358990117957</v>
      </c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</row>
    <row r="900">
      <c r="A900" s="69" t="str">
        <f>IFERROR(__xludf.DUMMYFUNCTION("""COMPUTED_VALUE"""),"-30.9011579579155")</f>
        <v>-30.9011579579155</v>
      </c>
      <c r="B900" s="61" t="str">
        <f>IFERROR(__xludf.DUMMYFUNCTION("""COMPUTED_VALUE"""),"-55.5358236750451")</f>
        <v>-55.5358236750451</v>
      </c>
      <c r="C900" s="61">
        <f>IFERROR(__xludf.DUMMYFUNCTION("""COMPUTED_VALUE"""),1.0)</f>
        <v>1</v>
      </c>
      <c r="D900" s="61">
        <f>IFERROR(__xludf.DUMMYFUNCTION("""COMPUTED_VALUE"""),180.0)</f>
        <v>180</v>
      </c>
      <c r="E900" s="61">
        <f>IFERROR(__xludf.DUMMYFUNCTION("""COMPUTED_VALUE"""),8.0)</f>
        <v>8</v>
      </c>
      <c r="F900" s="62" t="str">
        <f>IFERROR(__xludf.DUMMYFUNCTION("""COMPUTED_VALUE"""),"https://www.google.com/maps/search/?api=1&amp;query=-30.9011579579155,-55.5358236750451")</f>
        <v>https://www.google.com/maps/search/?api=1&amp;query=-30.9011579579155,-55.5358236750451</v>
      </c>
      <c r="G900" s="63" t="str">
        <f>IFERROR(__xludf.DUMMYFUNCTION("""COMPUTED_VALUE"""),"https://earth.google.com/web/search/-30.9011579579155,-55.5358236750451")</f>
        <v>https://earth.google.com/web/search/-30.9011579579155,-55.5358236750451</v>
      </c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  <c r="Z900" s="64"/>
    </row>
    <row r="901">
      <c r="A901" s="65" t="str">
        <f>IFERROR(__xludf.DUMMYFUNCTION("""COMPUTED_VALUE"""),"-30.9009304457051")</f>
        <v>-30.9009304457051</v>
      </c>
      <c r="B901" s="66" t="str">
        <f>IFERROR(__xludf.DUMMYFUNCTION("""COMPUTED_VALUE"""),"-55.5360250954764")</f>
        <v>-55.5360250954764</v>
      </c>
      <c r="C901" s="66">
        <f>IFERROR(__xludf.DUMMYFUNCTION("""COMPUTED_VALUE"""),1.0)</f>
        <v>1</v>
      </c>
      <c r="D901" s="66">
        <f>IFERROR(__xludf.DUMMYFUNCTION("""COMPUTED_VALUE"""),180.0)</f>
        <v>180</v>
      </c>
      <c r="E901" s="66">
        <f>IFERROR(__xludf.DUMMYFUNCTION("""COMPUTED_VALUE"""),9.0)</f>
        <v>9</v>
      </c>
      <c r="F901" s="67" t="str">
        <f>IFERROR(__xludf.DUMMYFUNCTION("""COMPUTED_VALUE"""),"https://www.google.com/maps/search/?api=1&amp;query=-30.9009304457051,-55.5360250954764")</f>
        <v>https://www.google.com/maps/search/?api=1&amp;query=-30.9009304457051,-55.5360250954764</v>
      </c>
      <c r="G901" s="68" t="str">
        <f>IFERROR(__xludf.DUMMYFUNCTION("""COMPUTED_VALUE"""),"https://earth.google.com/web/search/-30.9009304457051,-55.5360250954764")</f>
        <v>https://earth.google.com/web/search/-30.9009304457051,-55.5360250954764</v>
      </c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</row>
    <row r="902">
      <c r="A902" s="69" t="str">
        <f>IFERROR(__xludf.DUMMYFUNCTION("""COMPUTED_VALUE"""),"-30.9007123150005")</f>
        <v>-30.9007123150005</v>
      </c>
      <c r="B902" s="61" t="str">
        <f>IFERROR(__xludf.DUMMYFUNCTION("""COMPUTED_VALUE"""),"-55.5364450249713")</f>
        <v>-55.5364450249713</v>
      </c>
      <c r="C902" s="61">
        <f>IFERROR(__xludf.DUMMYFUNCTION("""COMPUTED_VALUE"""),1.0)</f>
        <v>1</v>
      </c>
      <c r="D902" s="61">
        <f>IFERROR(__xludf.DUMMYFUNCTION("""COMPUTED_VALUE"""),180.0)</f>
        <v>180</v>
      </c>
      <c r="E902" s="61">
        <f>IFERROR(__xludf.DUMMYFUNCTION("""COMPUTED_VALUE"""),10.0)</f>
        <v>10</v>
      </c>
      <c r="F902" s="62" t="str">
        <f>IFERROR(__xludf.DUMMYFUNCTION("""COMPUTED_VALUE"""),"https://www.google.com/maps/search/?api=1&amp;query=-30.9007123150005,-55.5364450249713")</f>
        <v>https://www.google.com/maps/search/?api=1&amp;query=-30.9007123150005,-55.5364450249713</v>
      </c>
      <c r="G902" s="63" t="str">
        <f>IFERROR(__xludf.DUMMYFUNCTION("""COMPUTED_VALUE"""),"https://earth.google.com/web/search/-30.9007123150005,-55.5364450249713")</f>
        <v>https://earth.google.com/web/search/-30.9007123150005,-55.5364450249713</v>
      </c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  <c r="Z902" s="64"/>
    </row>
    <row r="903">
      <c r="A903" s="65" t="str">
        <f>IFERROR(__xludf.DUMMYFUNCTION("""COMPUTED_VALUE"""),"-30.9007036385183")</f>
        <v>-30.9007036385183</v>
      </c>
      <c r="B903" s="66" t="str">
        <f>IFERROR(__xludf.DUMMYFUNCTION("""COMPUTED_VALUE"""),"-55.5366279743852")</f>
        <v>-55.5366279743852</v>
      </c>
      <c r="C903" s="66">
        <f>IFERROR(__xludf.DUMMYFUNCTION("""COMPUTED_VALUE"""),1.0)</f>
        <v>1</v>
      </c>
      <c r="D903" s="66">
        <f>IFERROR(__xludf.DUMMYFUNCTION("""COMPUTED_VALUE"""),180.0)</f>
        <v>180</v>
      </c>
      <c r="E903" s="66">
        <f>IFERROR(__xludf.DUMMYFUNCTION("""COMPUTED_VALUE"""),11.0)</f>
        <v>11</v>
      </c>
      <c r="F903" s="67" t="str">
        <f>IFERROR(__xludf.DUMMYFUNCTION("""COMPUTED_VALUE"""),"https://www.google.com/maps/search/?api=1&amp;query=-30.9007036385183,-55.5366279743852")</f>
        <v>https://www.google.com/maps/search/?api=1&amp;query=-30.9007036385183,-55.5366279743852</v>
      </c>
      <c r="G903" s="68" t="str">
        <f>IFERROR(__xludf.DUMMYFUNCTION("""COMPUTED_VALUE"""),"https://earth.google.com/web/search/-30.9007036385183,-55.5366279743852")</f>
        <v>https://earth.google.com/web/search/-30.9007036385183,-55.5366279743852</v>
      </c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  <c r="Z903" s="64"/>
    </row>
    <row r="904">
      <c r="A904" s="69" t="str">
        <f>IFERROR(__xludf.DUMMYFUNCTION("""COMPUTED_VALUE"""),"-30.9008765973324")</f>
        <v>-30.9008765973324</v>
      </c>
      <c r="B904" s="61" t="str">
        <f>IFERROR(__xludf.DUMMYFUNCTION("""COMPUTED_VALUE"""),"-55.5367460009435")</f>
        <v>-55.5367460009435</v>
      </c>
      <c r="C904" s="61">
        <f>IFERROR(__xludf.DUMMYFUNCTION("""COMPUTED_VALUE"""),1.0)</f>
        <v>1</v>
      </c>
      <c r="D904" s="61">
        <f>IFERROR(__xludf.DUMMYFUNCTION("""COMPUTED_VALUE"""),180.0)</f>
        <v>180</v>
      </c>
      <c r="E904" s="61">
        <f>IFERROR(__xludf.DUMMYFUNCTION("""COMPUTED_VALUE"""),12.0)</f>
        <v>12</v>
      </c>
      <c r="F904" s="62" t="str">
        <f>IFERROR(__xludf.DUMMYFUNCTION("""COMPUTED_VALUE"""),"https://www.google.com/maps/search/?api=1&amp;query=-30.9008765973324,-55.5367460009435")</f>
        <v>https://www.google.com/maps/search/?api=1&amp;query=-30.9008765973324,-55.5367460009435</v>
      </c>
      <c r="G904" s="63" t="str">
        <f>IFERROR(__xludf.DUMMYFUNCTION("""COMPUTED_VALUE"""),"https://earth.google.com/web/search/-30.9008765973324,-55.5367460009435")</f>
        <v>https://earth.google.com/web/search/-30.9008765973324,-55.5367460009435</v>
      </c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64"/>
    </row>
    <row r="905">
      <c r="A905" s="65" t="str">
        <f>IFERROR(__xludf.DUMMYFUNCTION("""COMPUTED_VALUE"""),"-30.9010598371553")</f>
        <v>-30.9010598371553</v>
      </c>
      <c r="B905" s="66" t="str">
        <f>IFERROR(__xludf.DUMMYFUNCTION("""COMPUTED_VALUE"""),"-55.5368690605533")</f>
        <v>-55.5368690605533</v>
      </c>
      <c r="C905" s="66">
        <f>IFERROR(__xludf.DUMMYFUNCTION("""COMPUTED_VALUE"""),1.0)</f>
        <v>1</v>
      </c>
      <c r="D905" s="66">
        <f>IFERROR(__xludf.DUMMYFUNCTION("""COMPUTED_VALUE"""),180.0)</f>
        <v>180</v>
      </c>
      <c r="E905" s="66">
        <f>IFERROR(__xludf.DUMMYFUNCTION("""COMPUTED_VALUE"""),13.0)</f>
        <v>13</v>
      </c>
      <c r="F905" s="67" t="str">
        <f>IFERROR(__xludf.DUMMYFUNCTION("""COMPUTED_VALUE"""),"https://www.google.com/maps/search/?api=1&amp;query=-30.9010598371553,-55.5368690605533")</f>
        <v>https://www.google.com/maps/search/?api=1&amp;query=-30.9010598371553,-55.5368690605533</v>
      </c>
      <c r="G905" s="68" t="str">
        <f>IFERROR(__xludf.DUMMYFUNCTION("""COMPUTED_VALUE"""),"https://earth.google.com/web/search/-30.9010598371553,-55.5368690605533")</f>
        <v>https://earth.google.com/web/search/-30.9010598371553,-55.5368690605533</v>
      </c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64"/>
    </row>
    <row r="906">
      <c r="A906" s="69" t="str">
        <f>IFERROR(__xludf.DUMMYFUNCTION("""COMPUTED_VALUE"""),"-30.9011120568808")</f>
        <v>-30.9011120568808</v>
      </c>
      <c r="B906" s="61" t="str">
        <f>IFERROR(__xludf.DUMMYFUNCTION("""COMPUTED_VALUE"""),"-55.5369099482777")</f>
        <v>-55.5369099482777</v>
      </c>
      <c r="C906" s="61">
        <f>IFERROR(__xludf.DUMMYFUNCTION("""COMPUTED_VALUE"""),1.0)</f>
        <v>1</v>
      </c>
      <c r="D906" s="61">
        <f>IFERROR(__xludf.DUMMYFUNCTION("""COMPUTED_VALUE"""),180.0)</f>
        <v>180</v>
      </c>
      <c r="E906" s="61">
        <f>IFERROR(__xludf.DUMMYFUNCTION("""COMPUTED_VALUE"""),14.0)</f>
        <v>14</v>
      </c>
      <c r="F906" s="62" t="str">
        <f>IFERROR(__xludf.DUMMYFUNCTION("""COMPUTED_VALUE"""),"https://www.google.com/maps/search/?api=1&amp;query=-30.9011120568808,-55.5369099482777")</f>
        <v>https://www.google.com/maps/search/?api=1&amp;query=-30.9011120568808,-55.5369099482777</v>
      </c>
      <c r="G906" s="63" t="str">
        <f>IFERROR(__xludf.DUMMYFUNCTION("""COMPUTED_VALUE"""),"https://earth.google.com/web/search/-30.9011120568808,-55.5369099482777")</f>
        <v>https://earth.google.com/web/search/-30.9011120568808,-55.5369099482777</v>
      </c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64"/>
    </row>
    <row r="907">
      <c r="A907" s="65" t="str">
        <f>IFERROR(__xludf.DUMMYFUNCTION("""COMPUTED_VALUE"""),"-30.9011584869332")</f>
        <v>-30.9011584869332</v>
      </c>
      <c r="B907" s="66" t="str">
        <f>IFERROR(__xludf.DUMMYFUNCTION("""COMPUTED_VALUE"""),"-55.5369661147976")</f>
        <v>-55.5369661147976</v>
      </c>
      <c r="C907" s="66">
        <f>IFERROR(__xludf.DUMMYFUNCTION("""COMPUTED_VALUE"""),1.0)</f>
        <v>1</v>
      </c>
      <c r="D907" s="66">
        <f>IFERROR(__xludf.DUMMYFUNCTION("""COMPUTED_VALUE"""),180.0)</f>
        <v>180</v>
      </c>
      <c r="E907" s="66">
        <f>IFERROR(__xludf.DUMMYFUNCTION("""COMPUTED_VALUE"""),15.0)</f>
        <v>15</v>
      </c>
      <c r="F907" s="67" t="str">
        <f>IFERROR(__xludf.DUMMYFUNCTION("""COMPUTED_VALUE"""),"https://www.google.com/maps/search/?api=1&amp;query=-30.9011584869332,-55.5369661147976")</f>
        <v>https://www.google.com/maps/search/?api=1&amp;query=-30.9011584869332,-55.5369661147976</v>
      </c>
      <c r="G907" s="68" t="str">
        <f>IFERROR(__xludf.DUMMYFUNCTION("""COMPUTED_VALUE"""),"https://earth.google.com/web/search/-30.9011584869332,-55.5369661147976")</f>
        <v>https://earth.google.com/web/search/-30.9011584869332,-55.5369661147976</v>
      </c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</row>
    <row r="908">
      <c r="A908" s="69" t="str">
        <f>IFERROR(__xludf.DUMMYFUNCTION("""COMPUTED_VALUE"""),"-30.9012496035664")</f>
        <v>-30.9012496035664</v>
      </c>
      <c r="B908" s="61" t="str">
        <f>IFERROR(__xludf.DUMMYFUNCTION("""COMPUTED_VALUE"""),"-55.5370176071885")</f>
        <v>-55.5370176071885</v>
      </c>
      <c r="C908" s="61">
        <f>IFERROR(__xludf.DUMMYFUNCTION("""COMPUTED_VALUE"""),1.0)</f>
        <v>1</v>
      </c>
      <c r="D908" s="61">
        <f>IFERROR(__xludf.DUMMYFUNCTION("""COMPUTED_VALUE"""),180.0)</f>
        <v>180</v>
      </c>
      <c r="E908" s="61">
        <f>IFERROR(__xludf.DUMMYFUNCTION("""COMPUTED_VALUE"""),16.0)</f>
        <v>16</v>
      </c>
      <c r="F908" s="62" t="str">
        <f>IFERROR(__xludf.DUMMYFUNCTION("""COMPUTED_VALUE"""),"https://www.google.com/maps/search/?api=1&amp;query=-30.9012496035664,-55.5370176071885")</f>
        <v>https://www.google.com/maps/search/?api=1&amp;query=-30.9012496035664,-55.5370176071885</v>
      </c>
      <c r="G908" s="63" t="str">
        <f>IFERROR(__xludf.DUMMYFUNCTION("""COMPUTED_VALUE"""),"https://earth.google.com/web/search/-30.9012496035664,-55.5370176071885")</f>
        <v>https://earth.google.com/web/search/-30.9012496035664,-55.5370176071885</v>
      </c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64"/>
    </row>
    <row r="909">
      <c r="A909" s="65" t="str">
        <f>IFERROR(__xludf.DUMMYFUNCTION("""COMPUTED_VALUE"""),"-30.9013191023008")</f>
        <v>-30.9013191023008</v>
      </c>
      <c r="B909" s="66" t="str">
        <f>IFERROR(__xludf.DUMMYFUNCTION("""COMPUTED_VALUE"""),"-55.5370588028139")</f>
        <v>-55.5370588028139</v>
      </c>
      <c r="C909" s="66">
        <f>IFERROR(__xludf.DUMMYFUNCTION("""COMPUTED_VALUE"""),1.0)</f>
        <v>1</v>
      </c>
      <c r="D909" s="66">
        <f>IFERROR(__xludf.DUMMYFUNCTION("""COMPUTED_VALUE"""),180.0)</f>
        <v>180</v>
      </c>
      <c r="E909" s="66">
        <f>IFERROR(__xludf.DUMMYFUNCTION("""COMPUTED_VALUE"""),17.0)</f>
        <v>17</v>
      </c>
      <c r="F909" s="67" t="str">
        <f>IFERROR(__xludf.DUMMYFUNCTION("""COMPUTED_VALUE"""),"https://www.google.com/maps/search/?api=1&amp;query=-30.9013191023008,-55.5370588028139")</f>
        <v>https://www.google.com/maps/search/?api=1&amp;query=-30.9013191023008,-55.5370588028139</v>
      </c>
      <c r="G909" s="68" t="str">
        <f>IFERROR(__xludf.DUMMYFUNCTION("""COMPUTED_VALUE"""),"https://earth.google.com/web/search/-30.9013191023008,-55.5370588028139")</f>
        <v>https://earth.google.com/web/search/-30.9013191023008,-55.5370588028139</v>
      </c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</row>
    <row r="910">
      <c r="A910" s="69" t="str">
        <f>IFERROR(__xludf.DUMMYFUNCTION("""COMPUTED_VALUE"""),"-30.9009070153585")</f>
        <v>-30.9009070153585</v>
      </c>
      <c r="B910" s="61" t="str">
        <f>IFERROR(__xludf.DUMMYFUNCTION("""COMPUTED_VALUE"""),"-55.5379346505037")</f>
        <v>-55.5379346505037</v>
      </c>
      <c r="C910" s="61">
        <f>IFERROR(__xludf.DUMMYFUNCTION("""COMPUTED_VALUE"""),1.0)</f>
        <v>1</v>
      </c>
      <c r="D910" s="61">
        <f>IFERROR(__xludf.DUMMYFUNCTION("""COMPUTED_VALUE"""),179.0)</f>
        <v>179</v>
      </c>
      <c r="E910" s="61">
        <f>IFERROR(__xludf.DUMMYFUNCTION("""COMPUTED_VALUE"""),1.0)</f>
        <v>1</v>
      </c>
      <c r="F910" s="62" t="str">
        <f>IFERROR(__xludf.DUMMYFUNCTION("""COMPUTED_VALUE"""),"https://www.google.com/maps/search/?api=1&amp;query=-30.9009070153585,-55.5379346505037")</f>
        <v>https://www.google.com/maps/search/?api=1&amp;query=-30.9009070153585,-55.5379346505037</v>
      </c>
      <c r="G910" s="63" t="str">
        <f>IFERROR(__xludf.DUMMYFUNCTION("""COMPUTED_VALUE"""),"https://earth.google.com/web/search/-30.9009070153585,-55.5379346505037")</f>
        <v>https://earth.google.com/web/search/-30.9009070153585,-55.5379346505037</v>
      </c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64"/>
      <c r="Z910" s="64"/>
    </row>
    <row r="911">
      <c r="A911" s="65" t="str">
        <f>IFERROR(__xludf.DUMMYFUNCTION("""COMPUTED_VALUE"""),"-30.9009476877002")</f>
        <v>-30.9009476877002</v>
      </c>
      <c r="B911" s="66" t="str">
        <f>IFERROR(__xludf.DUMMYFUNCTION("""COMPUTED_VALUE"""),"-55.5378598111314")</f>
        <v>-55.5378598111314</v>
      </c>
      <c r="C911" s="66">
        <f>IFERROR(__xludf.DUMMYFUNCTION("""COMPUTED_VALUE"""),1.0)</f>
        <v>1</v>
      </c>
      <c r="D911" s="66">
        <f>IFERROR(__xludf.DUMMYFUNCTION("""COMPUTED_VALUE"""),179.0)</f>
        <v>179</v>
      </c>
      <c r="E911" s="66">
        <f>IFERROR(__xludf.DUMMYFUNCTION("""COMPUTED_VALUE"""),2.0)</f>
        <v>2</v>
      </c>
      <c r="F911" s="67" t="str">
        <f>IFERROR(__xludf.DUMMYFUNCTION("""COMPUTED_VALUE"""),"https://www.google.com/maps/search/?api=1&amp;query=-30.9009476877002,-55.5378598111314")</f>
        <v>https://www.google.com/maps/search/?api=1&amp;query=-30.9009476877002,-55.5378598111314</v>
      </c>
      <c r="G911" s="68" t="str">
        <f>IFERROR(__xludf.DUMMYFUNCTION("""COMPUTED_VALUE"""),"https://earth.google.com/web/search/-30.9009476877002,-55.5378598111314")</f>
        <v>https://earth.google.com/web/search/-30.9009476877002,-55.5378598111314</v>
      </c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64"/>
      <c r="Z911" s="64"/>
    </row>
    <row r="912">
      <c r="A912" s="69" t="str">
        <f>IFERROR(__xludf.DUMMYFUNCTION("""COMPUTED_VALUE"""),"-30.9009886242744")</f>
        <v>-30.9009886242744</v>
      </c>
      <c r="B912" s="61" t="str">
        <f>IFERROR(__xludf.DUMMYFUNCTION("""COMPUTED_VALUE"""),"-55.5377635875441")</f>
        <v>-55.5377635875441</v>
      </c>
      <c r="C912" s="61">
        <f>IFERROR(__xludf.DUMMYFUNCTION("""COMPUTED_VALUE"""),1.0)</f>
        <v>1</v>
      </c>
      <c r="D912" s="61">
        <f>IFERROR(__xludf.DUMMYFUNCTION("""COMPUTED_VALUE"""),179.0)</f>
        <v>179</v>
      </c>
      <c r="E912" s="61">
        <f>IFERROR(__xludf.DUMMYFUNCTION("""COMPUTED_VALUE"""),3.0)</f>
        <v>3</v>
      </c>
      <c r="F912" s="62" t="str">
        <f>IFERROR(__xludf.DUMMYFUNCTION("""COMPUTED_VALUE"""),"https://www.google.com/maps/search/?api=1&amp;query=-30.9009886242744,-55.5377635875441")</f>
        <v>https://www.google.com/maps/search/?api=1&amp;query=-30.9009886242744,-55.5377635875441</v>
      </c>
      <c r="G912" s="63" t="str">
        <f>IFERROR(__xludf.DUMMYFUNCTION("""COMPUTED_VALUE"""),"https://earth.google.com/web/search/-30.9009886242744,-55.5377635875441")</f>
        <v>https://earth.google.com/web/search/-30.9009886242744,-55.5377635875441</v>
      </c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64"/>
    </row>
    <row r="913">
      <c r="A913" s="65" t="str">
        <f>IFERROR(__xludf.DUMMYFUNCTION("""COMPUTED_VALUE"""),"-30.9011005027918")</f>
        <v>-30.9011005027918</v>
      </c>
      <c r="B913" s="66" t="str">
        <f>IFERROR(__xludf.DUMMYFUNCTION("""COMPUTED_VALUE"""),"-55.5375705124406")</f>
        <v>-55.5375705124406</v>
      </c>
      <c r="C913" s="66">
        <f>IFERROR(__xludf.DUMMYFUNCTION("""COMPUTED_VALUE"""),1.0)</f>
        <v>1</v>
      </c>
      <c r="D913" s="66">
        <f>IFERROR(__xludf.DUMMYFUNCTION("""COMPUTED_VALUE"""),179.0)</f>
        <v>179</v>
      </c>
      <c r="E913" s="66">
        <f>IFERROR(__xludf.DUMMYFUNCTION("""COMPUTED_VALUE"""),4.0)</f>
        <v>4</v>
      </c>
      <c r="F913" s="67" t="str">
        <f>IFERROR(__xludf.DUMMYFUNCTION("""COMPUTED_VALUE"""),"https://www.google.com/maps/search/?api=1&amp;query=-30.9011005027918,-55.5375705124406")</f>
        <v>https://www.google.com/maps/search/?api=1&amp;query=-30.9011005027918,-55.5375705124406</v>
      </c>
      <c r="G913" s="68" t="str">
        <f>IFERROR(__xludf.DUMMYFUNCTION("""COMPUTED_VALUE"""),"https://earth.google.com/web/search/-30.9011005027918,-55.5375705124406")</f>
        <v>https://earth.google.com/web/search/-30.9011005027918,-55.5375705124406</v>
      </c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64"/>
      <c r="Z913" s="64"/>
    </row>
    <row r="914">
      <c r="A914" s="69" t="str">
        <f>IFERROR(__xludf.DUMMYFUNCTION("""COMPUTED_VALUE"""),"-30.9011834462686")</f>
        <v>-30.9011834462686</v>
      </c>
      <c r="B914" s="61" t="str">
        <f>IFERROR(__xludf.DUMMYFUNCTION("""COMPUTED_VALUE"""),"-55.5370873346694")</f>
        <v>-55.5370873346694</v>
      </c>
      <c r="C914" s="61">
        <f>IFERROR(__xludf.DUMMYFUNCTION("""COMPUTED_VALUE"""),1.0)</f>
        <v>1</v>
      </c>
      <c r="D914" s="61">
        <f>IFERROR(__xludf.DUMMYFUNCTION("""COMPUTED_VALUE"""),179.0)</f>
        <v>179</v>
      </c>
      <c r="E914" s="61">
        <f>IFERROR(__xludf.DUMMYFUNCTION("""COMPUTED_VALUE"""),5.0)</f>
        <v>5</v>
      </c>
      <c r="F914" s="62" t="str">
        <f>IFERROR(__xludf.DUMMYFUNCTION("""COMPUTED_VALUE"""),"https://www.google.com/maps/search/?api=1&amp;query=-30.9011834462686,-55.5370873346694")</f>
        <v>https://www.google.com/maps/search/?api=1&amp;query=-30.9011834462686,-55.5370873346694</v>
      </c>
      <c r="G914" s="63" t="str">
        <f>IFERROR(__xludf.DUMMYFUNCTION("""COMPUTED_VALUE"""),"https://earth.google.com/web/search/-30.9011834462686,-55.5370873346694")</f>
        <v>https://earth.google.com/web/search/-30.9011834462686,-55.5370873346694</v>
      </c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64"/>
    </row>
    <row r="915">
      <c r="A915" s="65" t="str">
        <f>IFERROR(__xludf.DUMMYFUNCTION("""COMPUTED_VALUE"""),"-30.9010289614825")</f>
        <v>-30.9010289614825</v>
      </c>
      <c r="B915" s="66" t="str">
        <f>IFERROR(__xludf.DUMMYFUNCTION("""COMPUTED_VALUE"""),"-55.5369740496212")</f>
        <v>-55.5369740496212</v>
      </c>
      <c r="C915" s="66">
        <f>IFERROR(__xludf.DUMMYFUNCTION("""COMPUTED_VALUE"""),1.0)</f>
        <v>1</v>
      </c>
      <c r="D915" s="66">
        <f>IFERROR(__xludf.DUMMYFUNCTION("""COMPUTED_VALUE"""),179.0)</f>
        <v>179</v>
      </c>
      <c r="E915" s="66">
        <f>IFERROR(__xludf.DUMMYFUNCTION("""COMPUTED_VALUE"""),6.0)</f>
        <v>6</v>
      </c>
      <c r="F915" s="67" t="str">
        <f>IFERROR(__xludf.DUMMYFUNCTION("""COMPUTED_VALUE"""),"https://www.google.com/maps/search/?api=1&amp;query=-30.9010289614825,-55.5369740496212")</f>
        <v>https://www.google.com/maps/search/?api=1&amp;query=-30.9010289614825,-55.5369740496212</v>
      </c>
      <c r="G915" s="68" t="str">
        <f>IFERROR(__xludf.DUMMYFUNCTION("""COMPUTED_VALUE"""),"https://earth.google.com/web/search/-30.9010289614825,-55.5369740496212")</f>
        <v>https://earth.google.com/web/search/-30.9010289614825,-55.5369740496212</v>
      </c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  <c r="Z915" s="64"/>
    </row>
    <row r="916">
      <c r="A916" s="69" t="str">
        <f>IFERROR(__xludf.DUMMYFUNCTION("""COMPUTED_VALUE"""),"-30.9006635913785")</f>
        <v>-30.9006635913785</v>
      </c>
      <c r="B916" s="61" t="str">
        <f>IFERROR(__xludf.DUMMYFUNCTION("""COMPUTED_VALUE"""),"-55.5366994296446")</f>
        <v>-55.5366994296446</v>
      </c>
      <c r="C916" s="61">
        <f>IFERROR(__xludf.DUMMYFUNCTION("""COMPUTED_VALUE"""),1.0)</f>
        <v>1</v>
      </c>
      <c r="D916" s="61">
        <f>IFERROR(__xludf.DUMMYFUNCTION("""COMPUTED_VALUE"""),179.0)</f>
        <v>179</v>
      </c>
      <c r="E916" s="61">
        <f>IFERROR(__xludf.DUMMYFUNCTION("""COMPUTED_VALUE"""),7.0)</f>
        <v>7</v>
      </c>
      <c r="F916" s="62" t="str">
        <f>IFERROR(__xludf.DUMMYFUNCTION("""COMPUTED_VALUE"""),"https://www.google.com/maps/search/?api=1&amp;query=-30.9006635913785,-55.5366994296446")</f>
        <v>https://www.google.com/maps/search/?api=1&amp;query=-30.9006635913785,-55.5366994296446</v>
      </c>
      <c r="G916" s="63" t="str">
        <f>IFERROR(__xludf.DUMMYFUNCTION("""COMPUTED_VALUE"""),"https://earth.google.com/web/search/-30.9006635913785,-55.5366994296446")</f>
        <v>https://earth.google.com/web/search/-30.9006635913785,-55.5366994296446</v>
      </c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  <c r="Z916" s="64"/>
    </row>
    <row r="917">
      <c r="A917" s="65" t="str">
        <f>IFERROR(__xludf.DUMMYFUNCTION("""COMPUTED_VALUE"""),"-30.9005682567828")</f>
        <v>-30.9005682567828</v>
      </c>
      <c r="B917" s="66" t="str">
        <f>IFERROR(__xludf.DUMMYFUNCTION("""COMPUTED_VALUE"""),"-55.5367016130111")</f>
        <v>-55.5367016130111</v>
      </c>
      <c r="C917" s="66">
        <f>IFERROR(__xludf.DUMMYFUNCTION("""COMPUTED_VALUE"""),1.0)</f>
        <v>1</v>
      </c>
      <c r="D917" s="66">
        <f>IFERROR(__xludf.DUMMYFUNCTION("""COMPUTED_VALUE"""),179.0)</f>
        <v>179</v>
      </c>
      <c r="E917" s="66">
        <f>IFERROR(__xludf.DUMMYFUNCTION("""COMPUTED_VALUE"""),8.0)</f>
        <v>8</v>
      </c>
      <c r="F917" s="67" t="str">
        <f>IFERROR(__xludf.DUMMYFUNCTION("""COMPUTED_VALUE"""),"https://www.google.com/maps/search/?api=1&amp;query=-30.9005682567828,-55.5367016130111")</f>
        <v>https://www.google.com/maps/search/?api=1&amp;query=-30.9005682567828,-55.5367016130111</v>
      </c>
      <c r="G917" s="68" t="str">
        <f>IFERROR(__xludf.DUMMYFUNCTION("""COMPUTED_VALUE"""),"https://earth.google.com/web/search/-30.9005682567828,-55.5367016130111")</f>
        <v>https://earth.google.com/web/search/-30.9005682567828,-55.5367016130111</v>
      </c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64"/>
      <c r="Z917" s="64"/>
    </row>
    <row r="918">
      <c r="A918" s="69" t="str">
        <f>IFERROR(__xludf.DUMMYFUNCTION("""COMPUTED_VALUE"""),"-30.9004149497189")</f>
        <v>-30.9004149497189</v>
      </c>
      <c r="B918" s="61" t="str">
        <f>IFERROR(__xludf.DUMMYFUNCTION("""COMPUTED_VALUE"""),"-55.5370139611324")</f>
        <v>-55.5370139611324</v>
      </c>
      <c r="C918" s="61">
        <f>IFERROR(__xludf.DUMMYFUNCTION("""COMPUTED_VALUE"""),1.0)</f>
        <v>1</v>
      </c>
      <c r="D918" s="61">
        <f>IFERROR(__xludf.DUMMYFUNCTION("""COMPUTED_VALUE"""),179.0)</f>
        <v>179</v>
      </c>
      <c r="E918" s="61">
        <f>IFERROR(__xludf.DUMMYFUNCTION("""COMPUTED_VALUE"""),9.0)</f>
        <v>9</v>
      </c>
      <c r="F918" s="62" t="str">
        <f>IFERROR(__xludf.DUMMYFUNCTION("""COMPUTED_VALUE"""),"https://www.google.com/maps/search/?api=1&amp;query=-30.9004149497189,-55.5370139611324")</f>
        <v>https://www.google.com/maps/search/?api=1&amp;query=-30.9004149497189,-55.5370139611324</v>
      </c>
      <c r="G918" s="63" t="str">
        <f>IFERROR(__xludf.DUMMYFUNCTION("""COMPUTED_VALUE"""),"https://earth.google.com/web/search/-30.9004149497189,-55.5370139611324")</f>
        <v>https://earth.google.com/web/search/-30.9004149497189,-55.5370139611324</v>
      </c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  <c r="Z918" s="64"/>
    </row>
    <row r="919">
      <c r="A919" s="65" t="str">
        <f>IFERROR(__xludf.DUMMYFUNCTION("""COMPUTED_VALUE"""),"-30.9003145632443")</f>
        <v>-30.9003145632443</v>
      </c>
      <c r="B919" s="66" t="str">
        <f>IFERROR(__xludf.DUMMYFUNCTION("""COMPUTED_VALUE"""),"-55.5371745628525")</f>
        <v>-55.5371745628525</v>
      </c>
      <c r="C919" s="66">
        <f>IFERROR(__xludf.DUMMYFUNCTION("""COMPUTED_VALUE"""),1.0)</f>
        <v>1</v>
      </c>
      <c r="D919" s="66">
        <f>IFERROR(__xludf.DUMMYFUNCTION("""COMPUTED_VALUE"""),179.0)</f>
        <v>179</v>
      </c>
      <c r="E919" s="66">
        <f>IFERROR(__xludf.DUMMYFUNCTION("""COMPUTED_VALUE"""),10.0)</f>
        <v>10</v>
      </c>
      <c r="F919" s="67" t="str">
        <f>IFERROR(__xludf.DUMMYFUNCTION("""COMPUTED_VALUE"""),"https://www.google.com/maps/search/?api=1&amp;query=-30.9003145632443,-55.5371745628525")</f>
        <v>https://www.google.com/maps/search/?api=1&amp;query=-30.9003145632443,-55.5371745628525</v>
      </c>
      <c r="G919" s="68" t="str">
        <f>IFERROR(__xludf.DUMMYFUNCTION("""COMPUTED_VALUE"""),"https://earth.google.com/web/search/-30.9003145632443,-55.5371745628525")</f>
        <v>https://earth.google.com/web/search/-30.9003145632443,-55.5371745628525</v>
      </c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  <c r="Z919" s="64"/>
    </row>
    <row r="920">
      <c r="A920" s="69" t="str">
        <f>IFERROR(__xludf.DUMMYFUNCTION("""COMPUTED_VALUE"""),"-30.9002778276937")</f>
        <v>-30.9002778276937</v>
      </c>
      <c r="B920" s="61" t="str">
        <f>IFERROR(__xludf.DUMMYFUNCTION("""COMPUTED_VALUE"""),"-55.5372535742724")</f>
        <v>-55.5372535742724</v>
      </c>
      <c r="C920" s="61">
        <f>IFERROR(__xludf.DUMMYFUNCTION("""COMPUTED_VALUE"""),1.0)</f>
        <v>1</v>
      </c>
      <c r="D920" s="61">
        <f>IFERROR(__xludf.DUMMYFUNCTION("""COMPUTED_VALUE"""),179.0)</f>
        <v>179</v>
      </c>
      <c r="E920" s="61">
        <f>IFERROR(__xludf.DUMMYFUNCTION("""COMPUTED_VALUE"""),11.0)</f>
        <v>11</v>
      </c>
      <c r="F920" s="62" t="str">
        <f>IFERROR(__xludf.DUMMYFUNCTION("""COMPUTED_VALUE"""),"https://www.google.com/maps/search/?api=1&amp;query=-30.9002778276937,-55.5372535742724")</f>
        <v>https://www.google.com/maps/search/?api=1&amp;query=-30.9002778276937,-55.5372535742724</v>
      </c>
      <c r="G920" s="63" t="str">
        <f>IFERROR(__xludf.DUMMYFUNCTION("""COMPUTED_VALUE"""),"https://earth.google.com/web/search/-30.9002778276937,-55.5372535742724")</f>
        <v>https://earth.google.com/web/search/-30.9002778276937,-55.5372535742724</v>
      </c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64"/>
      <c r="Z920" s="64"/>
    </row>
    <row r="921">
      <c r="A921" s="65" t="str">
        <f>IFERROR(__xludf.DUMMYFUNCTION("""COMPUTED_VALUE"""),"-30.9002321150548")</f>
        <v>-30.9002321150548</v>
      </c>
      <c r="B921" s="66" t="str">
        <f>IFERROR(__xludf.DUMMYFUNCTION("""COMPUTED_VALUE"""),"-5.5537342553153")</f>
        <v>-5.5537342553153</v>
      </c>
      <c r="C921" s="66">
        <f>IFERROR(__xludf.DUMMYFUNCTION("""COMPUTED_VALUE"""),1.0)</f>
        <v>1</v>
      </c>
      <c r="D921" s="66">
        <f>IFERROR(__xludf.DUMMYFUNCTION("""COMPUTED_VALUE"""),179.0)</f>
        <v>179</v>
      </c>
      <c r="E921" s="66">
        <f>IFERROR(__xludf.DUMMYFUNCTION("""COMPUTED_VALUE"""),12.0)</f>
        <v>12</v>
      </c>
      <c r="F921" s="67" t="str">
        <f>IFERROR(__xludf.DUMMYFUNCTION("""COMPUTED_VALUE"""),"https://www.google.com/maps/search/?api=1&amp;query=-30.9002321150548,-5.5537342553153")</f>
        <v>https://www.google.com/maps/search/?api=1&amp;query=-30.9002321150548,-5.5537342553153</v>
      </c>
      <c r="G921" s="68" t="str">
        <f>IFERROR(__xludf.DUMMYFUNCTION("""COMPUTED_VALUE"""),"https://earth.google.com/web/search/-30.9002321150548,-5.5537342553153")</f>
        <v>https://earth.google.com/web/search/-30.9002321150548,-5.5537342553153</v>
      </c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64"/>
      <c r="Z921" s="64"/>
    </row>
    <row r="922">
      <c r="A922" s="69" t="str">
        <f>IFERROR(__xludf.DUMMYFUNCTION("""COMPUTED_VALUE"""),"-30.9001868527502")</f>
        <v>-30.9001868527502</v>
      </c>
      <c r="B922" s="61" t="str">
        <f>IFERROR(__xludf.DUMMYFUNCTION("""COMPUTED_VALUE"""),"-55.5374231654187")</f>
        <v>-55.5374231654187</v>
      </c>
      <c r="C922" s="61">
        <f>IFERROR(__xludf.DUMMYFUNCTION("""COMPUTED_VALUE"""),1.0)</f>
        <v>1</v>
      </c>
      <c r="D922" s="61">
        <f>IFERROR(__xludf.DUMMYFUNCTION("""COMPUTED_VALUE"""),179.0)</f>
        <v>179</v>
      </c>
      <c r="E922" s="61">
        <f>IFERROR(__xludf.DUMMYFUNCTION("""COMPUTED_VALUE"""),13.0)</f>
        <v>13</v>
      </c>
      <c r="F922" s="62" t="str">
        <f>IFERROR(__xludf.DUMMYFUNCTION("""COMPUTED_VALUE"""),"https://www.google.com/maps/search/?api=1&amp;query=-30.9001868527502,-55.5374231654187")</f>
        <v>https://www.google.com/maps/search/?api=1&amp;query=-30.9001868527502,-55.5374231654187</v>
      </c>
      <c r="G922" s="63" t="str">
        <f>IFERROR(__xludf.DUMMYFUNCTION("""COMPUTED_VALUE"""),"https://earth.google.com/web/search/-30.9001868527502,-55.5374231654187")</f>
        <v>https://earth.google.com/web/search/-30.9001868527502,-55.5374231654187</v>
      </c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64"/>
      <c r="Z922" s="64"/>
    </row>
    <row r="923">
      <c r="A923" s="65" t="str">
        <f>IFERROR(__xludf.DUMMYFUNCTION("""COMPUTED_VALUE"""),"-30.9001927612191")</f>
        <v>-30.9001927612191</v>
      </c>
      <c r="B923" s="66" t="str">
        <f>IFERROR(__xludf.DUMMYFUNCTION("""COMPUTED_VALUE"""),"-55.5374984572069")</f>
        <v>-55.5374984572069</v>
      </c>
      <c r="C923" s="66">
        <f>IFERROR(__xludf.DUMMYFUNCTION("""COMPUTED_VALUE"""),1.0)</f>
        <v>1</v>
      </c>
      <c r="D923" s="66">
        <f>IFERROR(__xludf.DUMMYFUNCTION("""COMPUTED_VALUE"""),179.0)</f>
        <v>179</v>
      </c>
      <c r="E923" s="66">
        <f>IFERROR(__xludf.DUMMYFUNCTION("""COMPUTED_VALUE"""),14.0)</f>
        <v>14</v>
      </c>
      <c r="F923" s="67" t="str">
        <f>IFERROR(__xludf.DUMMYFUNCTION("""COMPUTED_VALUE"""),"https://www.google.com/maps/search/?api=1&amp;query=-30.9001927612191,-55.5374984572069")</f>
        <v>https://www.google.com/maps/search/?api=1&amp;query=-30.9001927612191,-55.5374984572069</v>
      </c>
      <c r="G923" s="68" t="str">
        <f>IFERROR(__xludf.DUMMYFUNCTION("""COMPUTED_VALUE"""),"https://earth.google.com/web/search/-30.9001927612191,-55.5374984572069")</f>
        <v>https://earth.google.com/web/search/-30.9001927612191,-55.5374984572069</v>
      </c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64"/>
    </row>
    <row r="924">
      <c r="A924" s="69" t="str">
        <f>IFERROR(__xludf.DUMMYFUNCTION("""COMPUTED_VALUE"""),"-30.9002537819603")</f>
        <v>-30.9002537819603</v>
      </c>
      <c r="B924" s="61" t="str">
        <f>IFERROR(__xludf.DUMMYFUNCTION("""COMPUTED_VALUE"""),"-5.5537536583957")</f>
        <v>-5.5537536583957</v>
      </c>
      <c r="C924" s="61">
        <f>IFERROR(__xludf.DUMMYFUNCTION("""COMPUTED_VALUE"""),1.0)</f>
        <v>1</v>
      </c>
      <c r="D924" s="61">
        <f>IFERROR(__xludf.DUMMYFUNCTION("""COMPUTED_VALUE"""),179.0)</f>
        <v>179</v>
      </c>
      <c r="E924" s="61">
        <f>IFERROR(__xludf.DUMMYFUNCTION("""COMPUTED_VALUE"""),15.0)</f>
        <v>15</v>
      </c>
      <c r="F924" s="62" t="str">
        <f>IFERROR(__xludf.DUMMYFUNCTION("""COMPUTED_VALUE"""),"https://www.google.com/maps/search/?api=1&amp;query=-30.9002537819603,-5.5537536583957")</f>
        <v>https://www.google.com/maps/search/?api=1&amp;query=-30.9002537819603,-5.5537536583957</v>
      </c>
      <c r="G924" s="63" t="str">
        <f>IFERROR(__xludf.DUMMYFUNCTION("""COMPUTED_VALUE"""),"https://earth.google.com/web/search/-30.9002537819603,-5.5537536583957")</f>
        <v>https://earth.google.com/web/search/-30.9002537819603,-5.5537536583957</v>
      </c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64"/>
      <c r="Z924" s="64"/>
    </row>
    <row r="925">
      <c r="A925" s="65" t="str">
        <f>IFERROR(__xludf.DUMMYFUNCTION("""COMPUTED_VALUE"""),"-30.9003828731479")</f>
        <v>-30.9003828731479</v>
      </c>
      <c r="B925" s="66" t="str">
        <f>IFERROR(__xludf.DUMMYFUNCTION("""COMPUTED_VALUE"""),"-55.5376650032598")</f>
        <v>-55.5376650032598</v>
      </c>
      <c r="C925" s="66">
        <f>IFERROR(__xludf.DUMMYFUNCTION("""COMPUTED_VALUE"""),1.0)</f>
        <v>1</v>
      </c>
      <c r="D925" s="66">
        <f>IFERROR(__xludf.DUMMYFUNCTION("""COMPUTED_VALUE"""),179.0)</f>
        <v>179</v>
      </c>
      <c r="E925" s="66">
        <f>IFERROR(__xludf.DUMMYFUNCTION("""COMPUTED_VALUE"""),16.0)</f>
        <v>16</v>
      </c>
      <c r="F925" s="67" t="str">
        <f>IFERROR(__xludf.DUMMYFUNCTION("""COMPUTED_VALUE"""),"https://www.google.com/maps/search/?api=1&amp;query=-30.9003828731479,-55.5376650032598")</f>
        <v>https://www.google.com/maps/search/?api=1&amp;query=-30.9003828731479,-55.5376650032598</v>
      </c>
      <c r="G925" s="68" t="str">
        <f>IFERROR(__xludf.DUMMYFUNCTION("""COMPUTED_VALUE"""),"https://earth.google.com/web/search/-30.9003828731479,-55.5376650032598")</f>
        <v>https://earth.google.com/web/search/-30.9003828731479,-55.5376650032598</v>
      </c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64"/>
      <c r="Z925" s="64"/>
    </row>
    <row r="926">
      <c r="A926" s="69" t="str">
        <f>IFERROR(__xludf.DUMMYFUNCTION("""COMPUTED_VALUE"""),"-0.0309005556015")</f>
        <v>-0.0309005556015</v>
      </c>
      <c r="B926" s="61" t="str">
        <f>IFERROR(__xludf.DUMMYFUNCTION("""COMPUTED_VALUE"""),"-55.5377564895419")</f>
        <v>-55.5377564895419</v>
      </c>
      <c r="C926" s="61">
        <f>IFERROR(__xludf.DUMMYFUNCTION("""COMPUTED_VALUE"""),1.0)</f>
        <v>1</v>
      </c>
      <c r="D926" s="61">
        <f>IFERROR(__xludf.DUMMYFUNCTION("""COMPUTED_VALUE"""),179.0)</f>
        <v>179</v>
      </c>
      <c r="E926" s="61">
        <f>IFERROR(__xludf.DUMMYFUNCTION("""COMPUTED_VALUE"""),17.0)</f>
        <v>17</v>
      </c>
      <c r="F926" s="62" t="str">
        <f>IFERROR(__xludf.DUMMYFUNCTION("""COMPUTED_VALUE"""),"https://www.google.com/maps/search/?api=1&amp;query=-0.0309005556015,-55.5377564895419")</f>
        <v>https://www.google.com/maps/search/?api=1&amp;query=-0.0309005556015,-55.5377564895419</v>
      </c>
      <c r="G926" s="63" t="str">
        <f>IFERROR(__xludf.DUMMYFUNCTION("""COMPUTED_VALUE"""),"https://earth.google.com/web/search/-0.0309005556015,-55.5377564895419")</f>
        <v>https://earth.google.com/web/search/-0.0309005556015,-55.5377564895419</v>
      </c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  <c r="Z926" s="64"/>
    </row>
    <row r="927">
      <c r="A927" s="65" t="str">
        <f>IFERROR(__xludf.DUMMYFUNCTION("""COMPUTED_VALUE"""),"-30.9006452678358")</f>
        <v>-30.9006452678358</v>
      </c>
      <c r="B927" s="66" t="str">
        <f>IFERROR(__xludf.DUMMYFUNCTION("""COMPUTED_VALUE"""),"-55.5378423107615")</f>
        <v>-55.5378423107615</v>
      </c>
      <c r="C927" s="66">
        <f>IFERROR(__xludf.DUMMYFUNCTION("""COMPUTED_VALUE"""),1.0)</f>
        <v>1</v>
      </c>
      <c r="D927" s="66">
        <f>IFERROR(__xludf.DUMMYFUNCTION("""COMPUTED_VALUE"""),179.0)</f>
        <v>179</v>
      </c>
      <c r="E927" s="66">
        <f>IFERROR(__xludf.DUMMYFUNCTION("""COMPUTED_VALUE"""),18.0)</f>
        <v>18</v>
      </c>
      <c r="F927" s="67" t="str">
        <f>IFERROR(__xludf.DUMMYFUNCTION("""COMPUTED_VALUE"""),"https://www.google.com/maps/search/?api=1&amp;query=-30.9006452678358,-55.5378423107615")</f>
        <v>https://www.google.com/maps/search/?api=1&amp;query=-30.9006452678358,-55.5378423107615</v>
      </c>
      <c r="G927" s="68" t="str">
        <f>IFERROR(__xludf.DUMMYFUNCTION("""COMPUTED_VALUE"""),"https://earth.google.com/web/search/-30.9006452678358,-55.5378423107615")</f>
        <v>https://earth.google.com/web/search/-30.9006452678358,-55.5378423107615</v>
      </c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64"/>
    </row>
    <row r="928">
      <c r="A928" s="69" t="str">
        <f>IFERROR(__xludf.DUMMYFUNCTION("""COMPUTED_VALUE"""),"-30.9007673425454")</f>
        <v>-30.9007673425454</v>
      </c>
      <c r="B928" s="61" t="str">
        <f>IFERROR(__xludf.DUMMYFUNCTION("""COMPUTED_VALUE"""),"-55.5379100066576")</f>
        <v>-55.5379100066576</v>
      </c>
      <c r="C928" s="61">
        <f>IFERROR(__xludf.DUMMYFUNCTION("""COMPUTED_VALUE"""),1.0)</f>
        <v>1</v>
      </c>
      <c r="D928" s="61">
        <f>IFERROR(__xludf.DUMMYFUNCTION("""COMPUTED_VALUE"""),179.0)</f>
        <v>179</v>
      </c>
      <c r="E928" s="61">
        <f>IFERROR(__xludf.DUMMYFUNCTION("""COMPUTED_VALUE"""),19.0)</f>
        <v>19</v>
      </c>
      <c r="F928" s="62" t="str">
        <f>IFERROR(__xludf.DUMMYFUNCTION("""COMPUTED_VALUE"""),"https://www.google.com/maps/search/?api=1&amp;query=-30.9007673425454,-55.5379100066576")</f>
        <v>https://www.google.com/maps/search/?api=1&amp;query=-30.9007673425454,-55.5379100066576</v>
      </c>
      <c r="G928" s="63" t="str">
        <f>IFERROR(__xludf.DUMMYFUNCTION("""COMPUTED_VALUE"""),"https://earth.google.com/web/search/-30.9007673425454,-55.5379100066576")</f>
        <v>https://earth.google.com/web/search/-30.9007673425454,-55.5379100066576</v>
      </c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64"/>
      <c r="Z928" s="64"/>
    </row>
    <row r="929">
      <c r="A929" s="65" t="str">
        <f>IFERROR(__xludf.DUMMYFUNCTION("""COMPUTED_VALUE"""),"-30.9004758463218")</f>
        <v>-30.9004758463218</v>
      </c>
      <c r="B929" s="66" t="str">
        <f>IFERROR(__xludf.DUMMYFUNCTION("""COMPUTED_VALUE"""),"-5.5538762793004")</f>
        <v>-5.5538762793004</v>
      </c>
      <c r="C929" s="66">
        <f>IFERROR(__xludf.DUMMYFUNCTION("""COMPUTED_VALUE"""),1.0)</f>
        <v>1</v>
      </c>
      <c r="D929" s="66">
        <f>IFERROR(__xludf.DUMMYFUNCTION("""COMPUTED_VALUE"""),178.0)</f>
        <v>178</v>
      </c>
      <c r="E929" s="66">
        <f>IFERROR(__xludf.DUMMYFUNCTION("""COMPUTED_VALUE"""),1.0)</f>
        <v>1</v>
      </c>
      <c r="F929" s="67" t="str">
        <f>IFERROR(__xludf.DUMMYFUNCTION("""COMPUTED_VALUE"""),"https://www.google.com/maps/search/?api=1&amp;query=-30.9004758463218,-5.5538762793004")</f>
        <v>https://www.google.com/maps/search/?api=1&amp;query=-30.9004758463218,-5.5538762793004</v>
      </c>
      <c r="G929" s="68" t="str">
        <f>IFERROR(__xludf.DUMMYFUNCTION("""COMPUTED_VALUE"""),"https://earth.google.com/web/search/-30.9004758463218,-5.5538762793004")</f>
        <v>https://earth.google.com/web/search/-30.9004758463218,-5.5538762793004</v>
      </c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  <c r="Z929" s="64"/>
    </row>
    <row r="930">
      <c r="A930" s="69" t="str">
        <f>IFERROR(__xludf.DUMMYFUNCTION("""COMPUTED_VALUE"""),"-30.9005859163165")</f>
        <v>-30.9005859163165</v>
      </c>
      <c r="B930" s="61" t="str">
        <f>IFERROR(__xludf.DUMMYFUNCTION("""COMPUTED_VALUE"""),"-55.5385405943094")</f>
        <v>-55.5385405943094</v>
      </c>
      <c r="C930" s="61">
        <f>IFERROR(__xludf.DUMMYFUNCTION("""COMPUTED_VALUE"""),1.0)</f>
        <v>1</v>
      </c>
      <c r="D930" s="61">
        <f>IFERROR(__xludf.DUMMYFUNCTION("""COMPUTED_VALUE"""),178.0)</f>
        <v>178</v>
      </c>
      <c r="E930" s="61">
        <f>IFERROR(__xludf.DUMMYFUNCTION("""COMPUTED_VALUE"""),2.0)</f>
        <v>2</v>
      </c>
      <c r="F930" s="62" t="str">
        <f>IFERROR(__xludf.DUMMYFUNCTION("""COMPUTED_VALUE"""),"https://www.google.com/maps/search/?api=1&amp;query=-30.9005859163165,-55.5385405943094")</f>
        <v>https://www.google.com/maps/search/?api=1&amp;query=-30.9005859163165,-55.5385405943094</v>
      </c>
      <c r="G930" s="63" t="str">
        <f>IFERROR(__xludf.DUMMYFUNCTION("""COMPUTED_VALUE"""),"https://earth.google.com/web/search/-30.9005859163165,-55.5385405943094")</f>
        <v>https://earth.google.com/web/search/-30.9005859163165,-55.5385405943094</v>
      </c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64"/>
      <c r="Z930" s="64"/>
    </row>
    <row r="931">
      <c r="A931" s="65" t="str">
        <f>IFERROR(__xludf.DUMMYFUNCTION("""COMPUTED_VALUE"""),"-3.0900617323037")</f>
        <v>-3.0900617323037</v>
      </c>
      <c r="B931" s="66" t="str">
        <f>IFERROR(__xludf.DUMMYFUNCTION("""COMPUTED_VALUE"""),"-55.5384791694661")</f>
        <v>-55.5384791694661</v>
      </c>
      <c r="C931" s="66">
        <f>IFERROR(__xludf.DUMMYFUNCTION("""COMPUTED_VALUE"""),1.0)</f>
        <v>1</v>
      </c>
      <c r="D931" s="66">
        <f>IFERROR(__xludf.DUMMYFUNCTION("""COMPUTED_VALUE"""),178.0)</f>
        <v>178</v>
      </c>
      <c r="E931" s="66">
        <f>IFERROR(__xludf.DUMMYFUNCTION("""COMPUTED_VALUE"""),3.0)</f>
        <v>3</v>
      </c>
      <c r="F931" s="67" t="str">
        <f>IFERROR(__xludf.DUMMYFUNCTION("""COMPUTED_VALUE"""),"https://www.google.com/maps/search/?api=1&amp;query=-3.0900617323037,-55.5384791694661")</f>
        <v>https://www.google.com/maps/search/?api=1&amp;query=-3.0900617323037,-55.5384791694661</v>
      </c>
      <c r="G931" s="68" t="str">
        <f>IFERROR(__xludf.DUMMYFUNCTION("""COMPUTED_VALUE"""),"https://earth.google.com/web/search/-3.0900617323037,-55.5384791694661")</f>
        <v>https://earth.google.com/web/search/-3.0900617323037,-55.5384791694661</v>
      </c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64"/>
      <c r="Z931" s="64"/>
    </row>
    <row r="932">
      <c r="A932" s="69" t="str">
        <f>IFERROR(__xludf.DUMMYFUNCTION("""COMPUTED_VALUE"""),"-30.9007825854524")</f>
        <v>-30.9007825854524</v>
      </c>
      <c r="B932" s="61" t="str">
        <f>IFERROR(__xludf.DUMMYFUNCTION("""COMPUTED_VALUE"""),"-55.5381811188563")</f>
        <v>-55.5381811188563</v>
      </c>
      <c r="C932" s="61">
        <f>IFERROR(__xludf.DUMMYFUNCTION("""COMPUTED_VALUE"""),1.0)</f>
        <v>1</v>
      </c>
      <c r="D932" s="61">
        <f>IFERROR(__xludf.DUMMYFUNCTION("""COMPUTED_VALUE"""),178.0)</f>
        <v>178</v>
      </c>
      <c r="E932" s="61">
        <f>IFERROR(__xludf.DUMMYFUNCTION("""COMPUTED_VALUE"""),4.0)</f>
        <v>4</v>
      </c>
      <c r="F932" s="62" t="str">
        <f>IFERROR(__xludf.DUMMYFUNCTION("""COMPUTED_VALUE"""),"https://www.google.com/maps/search/?api=1&amp;query=-30.9007825854524,-55.5381811188563")</f>
        <v>https://www.google.com/maps/search/?api=1&amp;query=-30.9007825854524,-55.5381811188563</v>
      </c>
      <c r="G932" s="63" t="str">
        <f>IFERROR(__xludf.DUMMYFUNCTION("""COMPUTED_VALUE"""),"https://earth.google.com/web/search/-30.9007825854524,-55.5381811188563")</f>
        <v>https://earth.google.com/web/search/-30.9007825854524,-55.5381811188563</v>
      </c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  <c r="Z932" s="64"/>
    </row>
    <row r="933">
      <c r="A933" s="65" t="str">
        <f>IFERROR(__xludf.DUMMYFUNCTION("""COMPUTED_VALUE"""),"-30.9007562158458")</f>
        <v>-30.9007562158458</v>
      </c>
      <c r="B933" s="66" t="str">
        <f>IFERROR(__xludf.DUMMYFUNCTION("""COMPUTED_VALUE"""),"-0.5553802672416")</f>
        <v>-0.5553802672416</v>
      </c>
      <c r="C933" s="66">
        <f>IFERROR(__xludf.DUMMYFUNCTION("""COMPUTED_VALUE"""),1.0)</f>
        <v>1</v>
      </c>
      <c r="D933" s="66">
        <f>IFERROR(__xludf.DUMMYFUNCTION("""COMPUTED_VALUE"""),178.0)</f>
        <v>178</v>
      </c>
      <c r="E933" s="66">
        <f>IFERROR(__xludf.DUMMYFUNCTION("""COMPUTED_VALUE"""),5.0)</f>
        <v>5</v>
      </c>
      <c r="F933" s="67" t="str">
        <f>IFERROR(__xludf.DUMMYFUNCTION("""COMPUTED_VALUE"""),"https://www.google.com/maps/search/?api=1&amp;query=-30.9007562158458,-0.5553802672416")</f>
        <v>https://www.google.com/maps/search/?api=1&amp;query=-30.9007562158458,-0.5553802672416</v>
      </c>
      <c r="G933" s="68" t="str">
        <f>IFERROR(__xludf.DUMMYFUNCTION("""COMPUTED_VALUE"""),"https://earth.google.com/web/search/-30.9007562158458,-0.5553802672416")</f>
        <v>https://earth.google.com/web/search/-30.9007562158458,-0.5553802672416</v>
      </c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  <c r="Z933" s="64"/>
    </row>
    <row r="934">
      <c r="A934" s="69" t="str">
        <f>IFERROR(__xludf.DUMMYFUNCTION("""COMPUTED_VALUE"""),"-30.9006977520202")</f>
        <v>-30.9006977520202</v>
      </c>
      <c r="B934" s="61" t="str">
        <f>IFERROR(__xludf.DUMMYFUNCTION("""COMPUTED_VALUE"""),"-55.5379833917985")</f>
        <v>-55.5379833917985</v>
      </c>
      <c r="C934" s="61">
        <f>IFERROR(__xludf.DUMMYFUNCTION("""COMPUTED_VALUE"""),1.0)</f>
        <v>1</v>
      </c>
      <c r="D934" s="61">
        <f>IFERROR(__xludf.DUMMYFUNCTION("""COMPUTED_VALUE"""),178.0)</f>
        <v>178</v>
      </c>
      <c r="E934" s="61">
        <f>IFERROR(__xludf.DUMMYFUNCTION("""COMPUTED_VALUE"""),6.0)</f>
        <v>6</v>
      </c>
      <c r="F934" s="62" t="str">
        <f>IFERROR(__xludf.DUMMYFUNCTION("""COMPUTED_VALUE"""),"https://www.google.com/maps/search/?api=1&amp;query=-30.9006977520202,-55.5379833917985")</f>
        <v>https://www.google.com/maps/search/?api=1&amp;query=-30.9006977520202,-55.5379833917985</v>
      </c>
      <c r="G934" s="63" t="str">
        <f>IFERROR(__xludf.DUMMYFUNCTION("""COMPUTED_VALUE"""),"https://earth.google.com/web/search/-30.9006977520202,-55.5379833917985")</f>
        <v>https://earth.google.com/web/search/-30.9006977520202,-55.5379833917985</v>
      </c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64"/>
      <c r="Z934" s="64"/>
    </row>
    <row r="935">
      <c r="A935" s="65" t="str">
        <f>IFERROR(__xludf.DUMMYFUNCTION("""COMPUTED_VALUE"""),"-30.9006572770824")</f>
        <v>-30.9006572770824</v>
      </c>
      <c r="B935" s="66" t="str">
        <f>IFERROR(__xludf.DUMMYFUNCTION("""COMPUTED_VALUE"""),"-55.5379484395831")</f>
        <v>-55.5379484395831</v>
      </c>
      <c r="C935" s="66">
        <f>IFERROR(__xludf.DUMMYFUNCTION("""COMPUTED_VALUE"""),1.0)</f>
        <v>1</v>
      </c>
      <c r="D935" s="66">
        <f>IFERROR(__xludf.DUMMYFUNCTION("""COMPUTED_VALUE"""),178.0)</f>
        <v>178</v>
      </c>
      <c r="E935" s="66">
        <f>IFERROR(__xludf.DUMMYFUNCTION("""COMPUTED_VALUE"""),7.0)</f>
        <v>7</v>
      </c>
      <c r="F935" s="67" t="str">
        <f>IFERROR(__xludf.DUMMYFUNCTION("""COMPUTED_VALUE"""),"https://www.google.com/maps/search/?api=1&amp;query=-30.9006572770824,-55.5379484395831")</f>
        <v>https://www.google.com/maps/search/?api=1&amp;query=-30.9006572770824,-55.5379484395831</v>
      </c>
      <c r="G935" s="68" t="str">
        <f>IFERROR(__xludf.DUMMYFUNCTION("""COMPUTED_VALUE"""),"https://earth.google.com/web/search/-30.9006572770824,-55.5379484395831")</f>
        <v>https://earth.google.com/web/search/-30.9006572770824,-55.5379484395831</v>
      </c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64"/>
      <c r="Z935" s="64"/>
    </row>
    <row r="936">
      <c r="A936" s="69" t="str">
        <f>IFERROR(__xludf.DUMMYFUNCTION("""COMPUTED_VALUE"""),"-30.9005955331456")</f>
        <v>-30.9005955331456</v>
      </c>
      <c r="B936" s="61" t="str">
        <f>IFERROR(__xludf.DUMMYFUNCTION("""COMPUTED_VALUE"""),"-55.5379112472073")</f>
        <v>-55.5379112472073</v>
      </c>
      <c r="C936" s="61">
        <f>IFERROR(__xludf.DUMMYFUNCTION("""COMPUTED_VALUE"""),1.0)</f>
        <v>1</v>
      </c>
      <c r="D936" s="61">
        <f>IFERROR(__xludf.DUMMYFUNCTION("""COMPUTED_VALUE"""),178.0)</f>
        <v>178</v>
      </c>
      <c r="E936" s="61">
        <f>IFERROR(__xludf.DUMMYFUNCTION("""COMPUTED_VALUE"""),8.0)</f>
        <v>8</v>
      </c>
      <c r="F936" s="62" t="str">
        <f>IFERROR(__xludf.DUMMYFUNCTION("""COMPUTED_VALUE"""),"https://www.google.com/maps/search/?api=1&amp;query=-30.9005955331456,-55.5379112472073")</f>
        <v>https://www.google.com/maps/search/?api=1&amp;query=-30.9005955331456,-55.5379112472073</v>
      </c>
      <c r="G936" s="63" t="str">
        <f>IFERROR(__xludf.DUMMYFUNCTION("""COMPUTED_VALUE"""),"https://earth.google.com/web/search/-30.9005955331456,-55.5379112472073")</f>
        <v>https://earth.google.com/web/search/-30.9005955331456,-55.5379112472073</v>
      </c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  <c r="Y936" s="64"/>
      <c r="Z936" s="64"/>
    </row>
    <row r="937">
      <c r="A937" s="65" t="str">
        <f>IFERROR(__xludf.DUMMYFUNCTION("""COMPUTED_VALUE"""),"-30.9005277084808")</f>
        <v>-30.9005277084808</v>
      </c>
      <c r="B937" s="66" t="str">
        <f>IFERROR(__xludf.DUMMYFUNCTION("""COMPUTED_VALUE"""),"-55.5378610656793")</f>
        <v>-55.5378610656793</v>
      </c>
      <c r="C937" s="66">
        <f>IFERROR(__xludf.DUMMYFUNCTION("""COMPUTED_VALUE"""),1.0)</f>
        <v>1</v>
      </c>
      <c r="D937" s="66">
        <f>IFERROR(__xludf.DUMMYFUNCTION("""COMPUTED_VALUE"""),178.0)</f>
        <v>178</v>
      </c>
      <c r="E937" s="66">
        <f>IFERROR(__xludf.DUMMYFUNCTION("""COMPUTED_VALUE"""),9.0)</f>
        <v>9</v>
      </c>
      <c r="F937" s="67" t="str">
        <f>IFERROR(__xludf.DUMMYFUNCTION("""COMPUTED_VALUE"""),"https://www.google.com/maps/search/?api=1&amp;query=-30.9005277084808,-55.5378610656793")</f>
        <v>https://www.google.com/maps/search/?api=1&amp;query=-30.9005277084808,-55.5378610656793</v>
      </c>
      <c r="G937" s="68" t="str">
        <f>IFERROR(__xludf.DUMMYFUNCTION("""COMPUTED_VALUE"""),"https://earth.google.com/web/search/-30.9005277084808,-55.5378610656793")</f>
        <v>https://earth.google.com/web/search/-30.9005277084808,-55.5378610656793</v>
      </c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  <c r="Y937" s="64"/>
      <c r="Z937" s="64"/>
    </row>
    <row r="938">
      <c r="A938" s="69" t="str">
        <f>IFERROR(__xludf.DUMMYFUNCTION("""COMPUTED_VALUE"""),"-3.0900442276238")</f>
        <v>-3.0900442276238</v>
      </c>
      <c r="B938" s="61" t="str">
        <f>IFERROR(__xludf.DUMMYFUNCTION("""COMPUTED_VALUE"""),"-55.5377995087028")</f>
        <v>-55.5377995087028</v>
      </c>
      <c r="C938" s="61">
        <f>IFERROR(__xludf.DUMMYFUNCTION("""COMPUTED_VALUE"""),1.0)</f>
        <v>1</v>
      </c>
      <c r="D938" s="61">
        <f>IFERROR(__xludf.DUMMYFUNCTION("""COMPUTED_VALUE"""),178.0)</f>
        <v>178</v>
      </c>
      <c r="E938" s="61">
        <f>IFERROR(__xludf.DUMMYFUNCTION("""COMPUTED_VALUE"""),10.0)</f>
        <v>10</v>
      </c>
      <c r="F938" s="62" t="str">
        <f>IFERROR(__xludf.DUMMYFUNCTION("""COMPUTED_VALUE"""),"https://www.google.com/maps/search/?api=1&amp;query=-3.0900442276238,-55.5377995087028")</f>
        <v>https://www.google.com/maps/search/?api=1&amp;query=-3.0900442276238,-55.5377995087028</v>
      </c>
      <c r="G938" s="63" t="str">
        <f>IFERROR(__xludf.DUMMYFUNCTION("""COMPUTED_VALUE"""),"https://earth.google.com/web/search/-3.0900442276238,-55.5377995087028")</f>
        <v>https://earth.google.com/web/search/-3.0900442276238,-55.5377995087028</v>
      </c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  <c r="Z938" s="64"/>
    </row>
    <row r="939">
      <c r="A939" s="65" t="str">
        <f>IFERROR(__xludf.DUMMYFUNCTION("""COMPUTED_VALUE"""),"-30.9003455097264")</f>
        <v>-30.9003455097264</v>
      </c>
      <c r="B939" s="66" t="str">
        <f>IFERROR(__xludf.DUMMYFUNCTION("""COMPUTED_VALUE"""),"-55.5377287227599")</f>
        <v>-55.5377287227599</v>
      </c>
      <c r="C939" s="66">
        <f>IFERROR(__xludf.DUMMYFUNCTION("""COMPUTED_VALUE"""),1.0)</f>
        <v>1</v>
      </c>
      <c r="D939" s="66">
        <f>IFERROR(__xludf.DUMMYFUNCTION("""COMPUTED_VALUE"""),178.0)</f>
        <v>178</v>
      </c>
      <c r="E939" s="66">
        <f>IFERROR(__xludf.DUMMYFUNCTION("""COMPUTED_VALUE"""),11.0)</f>
        <v>11</v>
      </c>
      <c r="F939" s="67" t="str">
        <f>IFERROR(__xludf.DUMMYFUNCTION("""COMPUTED_VALUE"""),"https://www.google.com/maps/search/?api=1&amp;query=-30.9003455097264,-55.5377287227599")</f>
        <v>https://www.google.com/maps/search/?api=1&amp;query=-30.9003455097264,-55.5377287227599</v>
      </c>
      <c r="G939" s="68" t="str">
        <f>IFERROR(__xludf.DUMMYFUNCTION("""COMPUTED_VALUE"""),"https://earth.google.com/web/search/-30.9003455097264,-55.5377287227599")</f>
        <v>https://earth.google.com/web/search/-30.9003455097264,-55.5377287227599</v>
      </c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64"/>
      <c r="Z939" s="64"/>
    </row>
    <row r="940">
      <c r="A940" s="69" t="str">
        <f>IFERROR(__xludf.DUMMYFUNCTION("""COMPUTED_VALUE"""),"-30.9001023211415")</f>
        <v>-30.9001023211415</v>
      </c>
      <c r="B940" s="61" t="str">
        <f>IFERROR(__xludf.DUMMYFUNCTION("""COMPUTED_VALUE"""),"-55.5376119293821")</f>
        <v>-55.5376119293821</v>
      </c>
      <c r="C940" s="61">
        <f>IFERROR(__xludf.DUMMYFUNCTION("""COMPUTED_VALUE"""),1.0)</f>
        <v>1</v>
      </c>
      <c r="D940" s="61">
        <f>IFERROR(__xludf.DUMMYFUNCTION("""COMPUTED_VALUE"""),178.0)</f>
        <v>178</v>
      </c>
      <c r="E940" s="61">
        <f>IFERROR(__xludf.DUMMYFUNCTION("""COMPUTED_VALUE"""),12.0)</f>
        <v>12</v>
      </c>
      <c r="F940" s="62" t="str">
        <f>IFERROR(__xludf.DUMMYFUNCTION("""COMPUTED_VALUE"""),"https://www.google.com/maps/search/?api=1&amp;query=-30.9001023211415,-55.5376119293821")</f>
        <v>https://www.google.com/maps/search/?api=1&amp;query=-30.9001023211415,-55.5376119293821</v>
      </c>
      <c r="G940" s="63" t="str">
        <f>IFERROR(__xludf.DUMMYFUNCTION("""COMPUTED_VALUE"""),"https://earth.google.com/web/search/-30.9001023211415,-55.5376119293821")</f>
        <v>https://earth.google.com/web/search/-30.9001023211415,-55.5376119293821</v>
      </c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  <c r="Y940" s="64"/>
      <c r="Z940" s="64"/>
    </row>
    <row r="941">
      <c r="A941" s="65" t="str">
        <f>IFERROR(__xludf.DUMMYFUNCTION("""COMPUTED_VALUE"""),"-30.9000169282832")</f>
        <v>-30.9000169282832</v>
      </c>
      <c r="B941" s="66" t="str">
        <f>IFERROR(__xludf.DUMMYFUNCTION("""COMPUTED_VALUE"""),"-55.5377873484812")</f>
        <v>-55.5377873484812</v>
      </c>
      <c r="C941" s="66">
        <f>IFERROR(__xludf.DUMMYFUNCTION("""COMPUTED_VALUE"""),1.0)</f>
        <v>1</v>
      </c>
      <c r="D941" s="66">
        <f>IFERROR(__xludf.DUMMYFUNCTION("""COMPUTED_VALUE"""),178.0)</f>
        <v>178</v>
      </c>
      <c r="E941" s="66">
        <f>IFERROR(__xludf.DUMMYFUNCTION("""COMPUTED_VALUE"""),13.0)</f>
        <v>13</v>
      </c>
      <c r="F941" s="67" t="str">
        <f>IFERROR(__xludf.DUMMYFUNCTION("""COMPUTED_VALUE"""),"https://www.google.com/maps/search/?api=1&amp;query=-30.9000169282832,-55.5377873484812")</f>
        <v>https://www.google.com/maps/search/?api=1&amp;query=-30.9000169282832,-55.5377873484812</v>
      </c>
      <c r="G941" s="68" t="str">
        <f>IFERROR(__xludf.DUMMYFUNCTION("""COMPUTED_VALUE"""),"https://earth.google.com/web/search/-30.9000169282832,-55.5377873484812")</f>
        <v>https://earth.google.com/web/search/-30.9000169282832,-55.5377873484812</v>
      </c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  <c r="Y941" s="64"/>
      <c r="Z941" s="64"/>
    </row>
    <row r="942">
      <c r="A942" s="69" t="str">
        <f>IFERROR(__xludf.DUMMYFUNCTION("""COMPUTED_VALUE"""),"-30.8999251335378")</f>
        <v>-30.8999251335378</v>
      </c>
      <c r="B942" s="61" t="str">
        <f>IFERROR(__xludf.DUMMYFUNCTION("""COMPUTED_VALUE"""),"-55.5379489329881")</f>
        <v>-55.5379489329881</v>
      </c>
      <c r="C942" s="61">
        <f>IFERROR(__xludf.DUMMYFUNCTION("""COMPUTED_VALUE"""),1.0)</f>
        <v>1</v>
      </c>
      <c r="D942" s="61">
        <f>IFERROR(__xludf.DUMMYFUNCTION("""COMPUTED_VALUE"""),178.0)</f>
        <v>178</v>
      </c>
      <c r="E942" s="61">
        <f>IFERROR(__xludf.DUMMYFUNCTION("""COMPUTED_VALUE"""),14.0)</f>
        <v>14</v>
      </c>
      <c r="F942" s="62" t="str">
        <f>IFERROR(__xludf.DUMMYFUNCTION("""COMPUTED_VALUE"""),"https://www.google.com/maps/search/?api=1&amp;query=-30.8999251335378,-55.5379489329881")</f>
        <v>https://www.google.com/maps/search/?api=1&amp;query=-30.8999251335378,-55.5379489329881</v>
      </c>
      <c r="G942" s="63" t="str">
        <f>IFERROR(__xludf.DUMMYFUNCTION("""COMPUTED_VALUE"""),"https://earth.google.com/web/search/-30.8999251335378,-55.5379489329881")</f>
        <v>https://earth.google.com/web/search/-30.8999251335378,-55.5379489329881</v>
      </c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  <c r="Y942" s="64"/>
      <c r="Z942" s="64"/>
    </row>
    <row r="943">
      <c r="A943" s="65" t="str">
        <f>IFERROR(__xludf.DUMMYFUNCTION("""COMPUTED_VALUE"""),"-30.8998420621342")</f>
        <v>-30.8998420621342</v>
      </c>
      <c r="B943" s="66" t="str">
        <f>IFERROR(__xludf.DUMMYFUNCTION("""COMPUTED_VALUE"""),"-55.5381027416182")</f>
        <v>-55.5381027416182</v>
      </c>
      <c r="C943" s="66">
        <f>IFERROR(__xludf.DUMMYFUNCTION("""COMPUTED_VALUE"""),1.0)</f>
        <v>1</v>
      </c>
      <c r="D943" s="66">
        <f>IFERROR(__xludf.DUMMYFUNCTION("""COMPUTED_VALUE"""),178.0)</f>
        <v>178</v>
      </c>
      <c r="E943" s="66">
        <f>IFERROR(__xludf.DUMMYFUNCTION("""COMPUTED_VALUE"""),15.0)</f>
        <v>15</v>
      </c>
      <c r="F943" s="67" t="str">
        <f>IFERROR(__xludf.DUMMYFUNCTION("""COMPUTED_VALUE"""),"https://www.google.com/maps/search/?api=1&amp;query=-30.8998420621342,-55.5381027416182")</f>
        <v>https://www.google.com/maps/search/?api=1&amp;query=-30.8998420621342,-55.5381027416182</v>
      </c>
      <c r="G943" s="68" t="str">
        <f>IFERROR(__xludf.DUMMYFUNCTION("""COMPUTED_VALUE"""),"https://earth.google.com/web/search/-30.8998420621342,-55.5381027416182")</f>
        <v>https://earth.google.com/web/search/-30.8998420621342,-55.5381027416182</v>
      </c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  <c r="Y943" s="64"/>
      <c r="Z943" s="64"/>
    </row>
    <row r="944">
      <c r="A944" s="69" t="str">
        <f>IFERROR(__xludf.DUMMYFUNCTION("""COMPUTED_VALUE"""),"-30.8997220013523")</f>
        <v>-30.8997220013523</v>
      </c>
      <c r="B944" s="61" t="str">
        <f>IFERROR(__xludf.DUMMYFUNCTION("""COMPUTED_VALUE"""),"-55.5383236330599")</f>
        <v>-55.5383236330599</v>
      </c>
      <c r="C944" s="61">
        <f>IFERROR(__xludf.DUMMYFUNCTION("""COMPUTED_VALUE"""),1.0)</f>
        <v>1</v>
      </c>
      <c r="D944" s="61">
        <f>IFERROR(__xludf.DUMMYFUNCTION("""COMPUTED_VALUE"""),178.0)</f>
        <v>178</v>
      </c>
      <c r="E944" s="61">
        <f>IFERROR(__xludf.DUMMYFUNCTION("""COMPUTED_VALUE"""),16.0)</f>
        <v>16</v>
      </c>
      <c r="F944" s="62" t="str">
        <f>IFERROR(__xludf.DUMMYFUNCTION("""COMPUTED_VALUE"""),"https://www.google.com/maps/search/?api=1&amp;query=-30.8997220013523,-55.5383236330599")</f>
        <v>https://www.google.com/maps/search/?api=1&amp;query=-30.8997220013523,-55.5383236330599</v>
      </c>
      <c r="G944" s="63" t="str">
        <f>IFERROR(__xludf.DUMMYFUNCTION("""COMPUTED_VALUE"""),"https://earth.google.com/web/search/-30.8997220013523,-55.5383236330599")</f>
        <v>https://earth.google.com/web/search/-30.8997220013523,-55.5383236330599</v>
      </c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  <c r="Y944" s="64"/>
      <c r="Z944" s="64"/>
    </row>
    <row r="945">
      <c r="A945" s="65" t="str">
        <f>IFERROR(__xludf.DUMMYFUNCTION("""COMPUTED_VALUE"""),"-30.8998290904766")</f>
        <v>-30.8998290904766</v>
      </c>
      <c r="B945" s="66" t="str">
        <f>IFERROR(__xludf.DUMMYFUNCTION("""COMPUTED_VALUE"""),"-55.5384856835822")</f>
        <v>-55.5384856835822</v>
      </c>
      <c r="C945" s="66">
        <f>IFERROR(__xludf.DUMMYFUNCTION("""COMPUTED_VALUE"""),1.0)</f>
        <v>1</v>
      </c>
      <c r="D945" s="66">
        <f>IFERROR(__xludf.DUMMYFUNCTION("""COMPUTED_VALUE"""),178.0)</f>
        <v>178</v>
      </c>
      <c r="E945" s="66">
        <f>IFERROR(__xludf.DUMMYFUNCTION("""COMPUTED_VALUE"""),17.0)</f>
        <v>17</v>
      </c>
      <c r="F945" s="67" t="str">
        <f>IFERROR(__xludf.DUMMYFUNCTION("""COMPUTED_VALUE"""),"https://www.google.com/maps/search/?api=1&amp;query=-30.8998290904766,-55.5384856835822")</f>
        <v>https://www.google.com/maps/search/?api=1&amp;query=-30.8998290904766,-55.5384856835822</v>
      </c>
      <c r="G945" s="68" t="str">
        <f>IFERROR(__xludf.DUMMYFUNCTION("""COMPUTED_VALUE"""),"https://earth.google.com/web/search/-30.8998290904766,-55.5384856835822")</f>
        <v>https://earth.google.com/web/search/-30.8998290904766,-55.5384856835822</v>
      </c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  <c r="Y945" s="64"/>
      <c r="Z945" s="64"/>
    </row>
    <row r="946">
      <c r="A946" s="69" t="str">
        <f>IFERROR(__xludf.DUMMYFUNCTION("""COMPUTED_VALUE"""),"-30.8998900272877")</f>
        <v>-30.8998900272877</v>
      </c>
      <c r="B946" s="61" t="str">
        <f>IFERROR(__xludf.DUMMYFUNCTION("""COMPUTED_VALUE"""),"-55.5385360657719")</f>
        <v>-55.5385360657719</v>
      </c>
      <c r="C946" s="61">
        <f>IFERROR(__xludf.DUMMYFUNCTION("""COMPUTED_VALUE"""),1.0)</f>
        <v>1</v>
      </c>
      <c r="D946" s="61">
        <f>IFERROR(__xludf.DUMMYFUNCTION("""COMPUTED_VALUE"""),178.0)</f>
        <v>178</v>
      </c>
      <c r="E946" s="61">
        <f>IFERROR(__xludf.DUMMYFUNCTION("""COMPUTED_VALUE"""),18.0)</f>
        <v>18</v>
      </c>
      <c r="F946" s="62" t="str">
        <f>IFERROR(__xludf.DUMMYFUNCTION("""COMPUTED_VALUE"""),"https://www.google.com/maps/search/?api=1&amp;query=-30.8998900272877,-55.5385360657719")</f>
        <v>https://www.google.com/maps/search/?api=1&amp;query=-30.8998900272877,-55.5385360657719</v>
      </c>
      <c r="G946" s="63" t="str">
        <f>IFERROR(__xludf.DUMMYFUNCTION("""COMPUTED_VALUE"""),"https://earth.google.com/web/search/-30.8998900272877,-55.5385360657719")</f>
        <v>https://earth.google.com/web/search/-30.8998900272877,-55.5385360657719</v>
      </c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  <c r="X946" s="64"/>
      <c r="Y946" s="64"/>
      <c r="Z946" s="64"/>
    </row>
    <row r="947">
      <c r="A947" s="65" t="str">
        <f>IFERROR(__xludf.DUMMYFUNCTION("""COMPUTED_VALUE"""),"-30.9001343877392")</f>
        <v>-30.9001343877392</v>
      </c>
      <c r="B947" s="66" t="str">
        <f>IFERROR(__xludf.DUMMYFUNCTION("""COMPUTED_VALUE"""),"-55.5387103302341")</f>
        <v>-55.5387103302341</v>
      </c>
      <c r="C947" s="66">
        <f>IFERROR(__xludf.DUMMYFUNCTION("""COMPUTED_VALUE"""),1.0)</f>
        <v>1</v>
      </c>
      <c r="D947" s="66">
        <f>IFERROR(__xludf.DUMMYFUNCTION("""COMPUTED_VALUE"""),178.0)</f>
        <v>178</v>
      </c>
      <c r="E947" s="66">
        <f>IFERROR(__xludf.DUMMYFUNCTION("""COMPUTED_VALUE"""),19.0)</f>
        <v>19</v>
      </c>
      <c r="F947" s="67" t="str">
        <f>IFERROR(__xludf.DUMMYFUNCTION("""COMPUTED_VALUE"""),"https://www.google.com/maps/search/?api=1&amp;query=-30.9001343877392,-55.5387103302341")</f>
        <v>https://www.google.com/maps/search/?api=1&amp;query=-30.9001343877392,-55.5387103302341</v>
      </c>
      <c r="G947" s="68" t="str">
        <f>IFERROR(__xludf.DUMMYFUNCTION("""COMPUTED_VALUE"""),"https://earth.google.com/web/search/-30.9001343877392,-55.5387103302341")</f>
        <v>https://earth.google.com/web/search/-30.9001343877392,-55.5387103302341</v>
      </c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  <c r="Y947" s="64"/>
      <c r="Z947" s="64"/>
    </row>
    <row r="948">
      <c r="A948" s="69" t="str">
        <f>IFERROR(__xludf.DUMMYFUNCTION("""COMPUTED_VALUE"""),"-30.9001525032218")</f>
        <v>-30.9001525032218</v>
      </c>
      <c r="B948" s="61" t="str">
        <f>IFERROR(__xludf.DUMMYFUNCTION("""COMPUTED_VALUE"""),"-55.5393652745115")</f>
        <v>-55.5393652745115</v>
      </c>
      <c r="C948" s="61">
        <f>IFERROR(__xludf.DUMMYFUNCTION("""COMPUTED_VALUE"""),1.0)</f>
        <v>1</v>
      </c>
      <c r="D948" s="61">
        <f>IFERROR(__xludf.DUMMYFUNCTION("""COMPUTED_VALUE"""),177.0)</f>
        <v>177</v>
      </c>
      <c r="E948" s="61">
        <f>IFERROR(__xludf.DUMMYFUNCTION("""COMPUTED_VALUE"""),1.0)</f>
        <v>1</v>
      </c>
      <c r="F948" s="62" t="str">
        <f>IFERROR(__xludf.DUMMYFUNCTION("""COMPUTED_VALUE"""),"https://www.google.com/maps/search/?api=1&amp;query=-30.9001525032218,-55.5393652745115")</f>
        <v>https://www.google.com/maps/search/?api=1&amp;query=-30.9001525032218,-55.5393652745115</v>
      </c>
      <c r="G948" s="63" t="str">
        <f>IFERROR(__xludf.DUMMYFUNCTION("""COMPUTED_VALUE"""),"https://earth.google.com/web/search/-30.9001525032218,-55.5393652745115")</f>
        <v>https://earth.google.com/web/search/-30.9001525032218,-55.5393652745115</v>
      </c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  <c r="X948" s="64"/>
      <c r="Y948" s="64"/>
      <c r="Z948" s="64"/>
    </row>
    <row r="949">
      <c r="A949" s="65" t="str">
        <f>IFERROR(__xludf.DUMMYFUNCTION("""COMPUTED_VALUE"""),"-30.9002894677535")</f>
        <v>-30.9002894677535</v>
      </c>
      <c r="B949" s="66" t="str">
        <f>IFERROR(__xludf.DUMMYFUNCTION("""COMPUTED_VALUE"""),"-55.5390964914278")</f>
        <v>-55.5390964914278</v>
      </c>
      <c r="C949" s="66">
        <f>IFERROR(__xludf.DUMMYFUNCTION("""COMPUTED_VALUE"""),1.0)</f>
        <v>1</v>
      </c>
      <c r="D949" s="66">
        <f>IFERROR(__xludf.DUMMYFUNCTION("""COMPUTED_VALUE"""),177.0)</f>
        <v>177</v>
      </c>
      <c r="E949" s="66">
        <f>IFERROR(__xludf.DUMMYFUNCTION("""COMPUTED_VALUE"""),2.0)</f>
        <v>2</v>
      </c>
      <c r="F949" s="67" t="str">
        <f>IFERROR(__xludf.DUMMYFUNCTION("""COMPUTED_VALUE"""),"https://www.google.com/maps/search/?api=1&amp;query=-30.9002894677535,-55.5390964914278")</f>
        <v>https://www.google.com/maps/search/?api=1&amp;query=-30.9002894677535,-55.5390964914278</v>
      </c>
      <c r="G949" s="68" t="str">
        <f>IFERROR(__xludf.DUMMYFUNCTION("""COMPUTED_VALUE"""),"https://earth.google.com/web/search/-30.9002894677535,-55.5390964914278")</f>
        <v>https://earth.google.com/web/search/-30.9002894677535,-55.5390964914278</v>
      </c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  <c r="X949" s="64"/>
      <c r="Y949" s="64"/>
      <c r="Z949" s="64"/>
    </row>
    <row r="950">
      <c r="A950" s="69" t="str">
        <f>IFERROR(__xludf.DUMMYFUNCTION("""COMPUTED_VALUE"""),"-30.9001834697374")</f>
        <v>-30.9001834697374</v>
      </c>
      <c r="B950" s="61" t="str">
        <f>IFERROR(__xludf.DUMMYFUNCTION("""COMPUTED_VALUE"""),"-55.5388765596125")</f>
        <v>-55.5388765596125</v>
      </c>
      <c r="C950" s="61">
        <f>IFERROR(__xludf.DUMMYFUNCTION("""COMPUTED_VALUE"""),1.0)</f>
        <v>1</v>
      </c>
      <c r="D950" s="61">
        <f>IFERROR(__xludf.DUMMYFUNCTION("""COMPUTED_VALUE"""),177.0)</f>
        <v>177</v>
      </c>
      <c r="E950" s="61">
        <f>IFERROR(__xludf.DUMMYFUNCTION("""COMPUTED_VALUE"""),3.0)</f>
        <v>3</v>
      </c>
      <c r="F950" s="62" t="str">
        <f>IFERROR(__xludf.DUMMYFUNCTION("""COMPUTED_VALUE"""),"https://www.google.com/maps/search/?api=1&amp;query=-30.9001834697374,-55.5388765596125")</f>
        <v>https://www.google.com/maps/search/?api=1&amp;query=-30.9001834697374,-55.5388765596125</v>
      </c>
      <c r="G950" s="63" t="str">
        <f>IFERROR(__xludf.DUMMYFUNCTION("""COMPUTED_VALUE"""),"https://earth.google.com/web/search/-30.9001834697374,-55.5388765596125")</f>
        <v>https://earth.google.com/web/search/-30.9001834697374,-55.5388765596125</v>
      </c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  <c r="Y950" s="64"/>
      <c r="Z950" s="64"/>
    </row>
    <row r="951">
      <c r="A951" s="65" t="str">
        <f>IFERROR(__xludf.DUMMYFUNCTION("""COMPUTED_VALUE"""),"-30.9000775505214")</f>
        <v>-30.9000775505214</v>
      </c>
      <c r="B951" s="66" t="str">
        <f>IFERROR(__xludf.DUMMYFUNCTION("""COMPUTED_VALUE"""),"-55.5387884997875")</f>
        <v>-55.5387884997875</v>
      </c>
      <c r="C951" s="66">
        <f>IFERROR(__xludf.DUMMYFUNCTION("""COMPUTED_VALUE"""),1.0)</f>
        <v>1</v>
      </c>
      <c r="D951" s="66">
        <f>IFERROR(__xludf.DUMMYFUNCTION("""COMPUTED_VALUE"""),177.0)</f>
        <v>177</v>
      </c>
      <c r="E951" s="66">
        <f>IFERROR(__xludf.DUMMYFUNCTION("""COMPUTED_VALUE"""),4.0)</f>
        <v>4</v>
      </c>
      <c r="F951" s="67" t="str">
        <f>IFERROR(__xludf.DUMMYFUNCTION("""COMPUTED_VALUE"""),"https://www.google.com/maps/search/?api=1&amp;query=-30.9000775505214,-55.5387884997875")</f>
        <v>https://www.google.com/maps/search/?api=1&amp;query=-30.9000775505214,-55.5387884997875</v>
      </c>
      <c r="G951" s="68" t="str">
        <f>IFERROR(__xludf.DUMMYFUNCTION("""COMPUTED_VALUE"""),"https://earth.google.com/web/search/-30.9000775505214,-55.5387884997875")</f>
        <v>https://earth.google.com/web/search/-30.9000775505214,-55.5387884997875</v>
      </c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  <c r="Y951" s="64"/>
      <c r="Z951" s="64"/>
    </row>
    <row r="952">
      <c r="A952" s="69" t="str">
        <f>IFERROR(__xludf.DUMMYFUNCTION("""COMPUTED_VALUE"""),"-30.8998374180654")</f>
        <v>-30.8998374180654</v>
      </c>
      <c r="B952" s="61" t="str">
        <f>IFERROR(__xludf.DUMMYFUNCTION("""COMPUTED_VALUE"""),"-55.5386262358135")</f>
        <v>-55.5386262358135</v>
      </c>
      <c r="C952" s="61">
        <f>IFERROR(__xludf.DUMMYFUNCTION("""COMPUTED_VALUE"""),1.0)</f>
        <v>1</v>
      </c>
      <c r="D952" s="61">
        <f>IFERROR(__xludf.DUMMYFUNCTION("""COMPUTED_VALUE"""),177.0)</f>
        <v>177</v>
      </c>
      <c r="E952" s="61">
        <f>IFERROR(__xludf.DUMMYFUNCTION("""COMPUTED_VALUE"""),5.0)</f>
        <v>5</v>
      </c>
      <c r="F952" s="62" t="str">
        <f>IFERROR(__xludf.DUMMYFUNCTION("""COMPUTED_VALUE"""),"https://www.google.com/maps/search/?api=1&amp;query=-30.8998374180654,-55.5386262358135")</f>
        <v>https://www.google.com/maps/search/?api=1&amp;query=-30.8998374180654,-55.5386262358135</v>
      </c>
      <c r="G952" s="63" t="str">
        <f>IFERROR(__xludf.DUMMYFUNCTION("""COMPUTED_VALUE"""),"https://earth.google.com/web/search/-30.8998374180654,-55.5386262358135")</f>
        <v>https://earth.google.com/web/search/-30.8998374180654,-55.5386262358135</v>
      </c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  <c r="Y952" s="64"/>
      <c r="Z952" s="64"/>
    </row>
    <row r="953">
      <c r="A953" s="65" t="str">
        <f>IFERROR(__xludf.DUMMYFUNCTION("""COMPUTED_VALUE"""),"-30.8997642775274")</f>
        <v>-30.8997642775274</v>
      </c>
      <c r="B953" s="66" t="str">
        <f>IFERROR(__xludf.DUMMYFUNCTION("""COMPUTED_VALUE"""),"-55.5385667532391")</f>
        <v>-55.5385667532391</v>
      </c>
      <c r="C953" s="66">
        <f>IFERROR(__xludf.DUMMYFUNCTION("""COMPUTED_VALUE"""),1.0)</f>
        <v>1</v>
      </c>
      <c r="D953" s="66">
        <f>IFERROR(__xludf.DUMMYFUNCTION("""COMPUTED_VALUE"""),177.0)</f>
        <v>177</v>
      </c>
      <c r="E953" s="66">
        <f>IFERROR(__xludf.DUMMYFUNCTION("""COMPUTED_VALUE"""),6.0)</f>
        <v>6</v>
      </c>
      <c r="F953" s="67" t="str">
        <f>IFERROR(__xludf.DUMMYFUNCTION("""COMPUTED_VALUE"""),"https://www.google.com/maps/search/?api=1&amp;query=-30.8997642775274,-55.5385667532391")</f>
        <v>https://www.google.com/maps/search/?api=1&amp;query=-30.8997642775274,-55.5385667532391</v>
      </c>
      <c r="G953" s="68" t="str">
        <f>IFERROR(__xludf.DUMMYFUNCTION("""COMPUTED_VALUE"""),"https://earth.google.com/web/search/-30.8997642775274,-55.5385667532391")</f>
        <v>https://earth.google.com/web/search/-30.8997642775274,-55.5385667532391</v>
      </c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  <c r="Y953" s="64"/>
      <c r="Z953" s="64"/>
    </row>
    <row r="954">
      <c r="A954" s="69" t="str">
        <f>IFERROR(__xludf.DUMMYFUNCTION("""COMPUTED_VALUE"""),"-30.8995105963195")</f>
        <v>-30.8995105963195</v>
      </c>
      <c r="B954" s="61" t="str">
        <f>IFERROR(__xludf.DUMMYFUNCTION("""COMPUTED_VALUE"""),"-55.5387440307554")</f>
        <v>-55.5387440307554</v>
      </c>
      <c r="C954" s="61">
        <f>IFERROR(__xludf.DUMMYFUNCTION("""COMPUTED_VALUE"""),1.0)</f>
        <v>1</v>
      </c>
      <c r="D954" s="61">
        <f>IFERROR(__xludf.DUMMYFUNCTION("""COMPUTED_VALUE"""),177.0)</f>
        <v>177</v>
      </c>
      <c r="E954" s="61">
        <f>IFERROR(__xludf.DUMMYFUNCTION("""COMPUTED_VALUE"""),7.0)</f>
        <v>7</v>
      </c>
      <c r="F954" s="62" t="str">
        <f>IFERROR(__xludf.DUMMYFUNCTION("""COMPUTED_VALUE"""),"https://www.google.com/maps/search/?api=1&amp;query=-30.8995105963195,-55.5387440307554")</f>
        <v>https://www.google.com/maps/search/?api=1&amp;query=-30.8995105963195,-55.5387440307554</v>
      </c>
      <c r="G954" s="63" t="str">
        <f>IFERROR(__xludf.DUMMYFUNCTION("""COMPUTED_VALUE"""),"https://earth.google.com/web/search/-30.8995105963195,-55.5387440307554")</f>
        <v>https://earth.google.com/web/search/-30.8995105963195,-55.5387440307554</v>
      </c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  <c r="X954" s="64"/>
      <c r="Y954" s="64"/>
      <c r="Z954" s="64"/>
    </row>
    <row r="955">
      <c r="A955" s="65" t="str">
        <f>IFERROR(__xludf.DUMMYFUNCTION("""COMPUTED_VALUE"""),"-30.8992647726406")</f>
        <v>-30.8992647726406</v>
      </c>
      <c r="B955" s="66" t="str">
        <f>IFERROR(__xludf.DUMMYFUNCTION("""COMPUTED_VALUE"""),"-5.5539169601898")</f>
        <v>-5.5539169601898</v>
      </c>
      <c r="C955" s="66">
        <f>IFERROR(__xludf.DUMMYFUNCTION("""COMPUTED_VALUE"""),1.0)</f>
        <v>1</v>
      </c>
      <c r="D955" s="66">
        <f>IFERROR(__xludf.DUMMYFUNCTION("""COMPUTED_VALUE"""),177.0)</f>
        <v>177</v>
      </c>
      <c r="E955" s="66">
        <f>IFERROR(__xludf.DUMMYFUNCTION("""COMPUTED_VALUE"""),8.0)</f>
        <v>8</v>
      </c>
      <c r="F955" s="67" t="str">
        <f>IFERROR(__xludf.DUMMYFUNCTION("""COMPUTED_VALUE"""),"https://www.google.com/maps/search/?api=1&amp;query=-30.8992647726406,-5.5539169601898")</f>
        <v>https://www.google.com/maps/search/?api=1&amp;query=-30.8992647726406,-5.5539169601898</v>
      </c>
      <c r="G955" s="68" t="str">
        <f>IFERROR(__xludf.DUMMYFUNCTION("""COMPUTED_VALUE"""),"https://earth.google.com/web/search/-30.8992647726406,-5.5539169601898")</f>
        <v>https://earth.google.com/web/search/-30.8992647726406,-5.5539169601898</v>
      </c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  <c r="Y955" s="64"/>
      <c r="Z955" s="64"/>
    </row>
    <row r="956">
      <c r="A956" s="69" t="str">
        <f>IFERROR(__xludf.DUMMYFUNCTION("""COMPUTED_VALUE"""),"-30.8992562033563")</f>
        <v>-30.8992562033563</v>
      </c>
      <c r="B956" s="61" t="str">
        <f>IFERROR(__xludf.DUMMYFUNCTION("""COMPUTED_VALUE"""),"-55.5393254681837")</f>
        <v>-55.5393254681837</v>
      </c>
      <c r="C956" s="61">
        <f>IFERROR(__xludf.DUMMYFUNCTION("""COMPUTED_VALUE"""),1.0)</f>
        <v>1</v>
      </c>
      <c r="D956" s="61">
        <f>IFERROR(__xludf.DUMMYFUNCTION("""COMPUTED_VALUE"""),177.0)</f>
        <v>177</v>
      </c>
      <c r="E956" s="61">
        <f>IFERROR(__xludf.DUMMYFUNCTION("""COMPUTED_VALUE"""),9.0)</f>
        <v>9</v>
      </c>
      <c r="F956" s="62" t="str">
        <f>IFERROR(__xludf.DUMMYFUNCTION("""COMPUTED_VALUE"""),"https://www.google.com/maps/search/?api=1&amp;query=-30.8992562033563,-55.5393254681837")</f>
        <v>https://www.google.com/maps/search/?api=1&amp;query=-30.8992562033563,-55.5393254681837</v>
      </c>
      <c r="G956" s="63" t="str">
        <f>IFERROR(__xludf.DUMMYFUNCTION("""COMPUTED_VALUE"""),"https://earth.google.com/web/search/-30.8992562033563,-55.5393254681837")</f>
        <v>https://earth.google.com/web/search/-30.8992562033563,-55.5393254681837</v>
      </c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  <c r="Y956" s="64"/>
      <c r="Z956" s="64"/>
    </row>
    <row r="957">
      <c r="A957" s="65" t="str">
        <f>IFERROR(__xludf.DUMMYFUNCTION("""COMPUTED_VALUE"""),"-30.8995858054087")</f>
        <v>-30.8995858054087</v>
      </c>
      <c r="B957" s="66" t="str">
        <f>IFERROR(__xludf.DUMMYFUNCTION("""COMPUTED_VALUE"""),"-55.5395644721655")</f>
        <v>-55.5395644721655</v>
      </c>
      <c r="C957" s="66">
        <f>IFERROR(__xludf.DUMMYFUNCTION("""COMPUTED_VALUE"""),1.0)</f>
        <v>1</v>
      </c>
      <c r="D957" s="66">
        <f>IFERROR(__xludf.DUMMYFUNCTION("""COMPUTED_VALUE"""),177.0)</f>
        <v>177</v>
      </c>
      <c r="E957" s="66">
        <f>IFERROR(__xludf.DUMMYFUNCTION("""COMPUTED_VALUE"""),10.0)</f>
        <v>10</v>
      </c>
      <c r="F957" s="67" t="str">
        <f>IFERROR(__xludf.DUMMYFUNCTION("""COMPUTED_VALUE"""),"https://www.google.com/maps/search/?api=1&amp;query=-30.8995858054087,-55.5395644721655")</f>
        <v>https://www.google.com/maps/search/?api=1&amp;query=-30.8995858054087,-55.5395644721655</v>
      </c>
      <c r="G957" s="68" t="str">
        <f>IFERROR(__xludf.DUMMYFUNCTION("""COMPUTED_VALUE"""),"https://earth.google.com/web/search/-30.8995858054087,-55.5395644721655")</f>
        <v>https://earth.google.com/web/search/-30.8995858054087,-55.5395644721655</v>
      </c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  <c r="X957" s="64"/>
      <c r="Y957" s="64"/>
      <c r="Z957" s="64"/>
    </row>
    <row r="958">
      <c r="A958" s="69" t="str">
        <f>IFERROR(__xludf.DUMMYFUNCTION("""COMPUTED_VALUE"""),"-30.8994687083075")</f>
        <v>-30.8994687083075</v>
      </c>
      <c r="B958" s="61" t="str">
        <f>IFERROR(__xludf.DUMMYFUNCTION("""COMPUTED_VALUE"""),"-55.5406272251591")</f>
        <v>-55.5406272251591</v>
      </c>
      <c r="C958" s="61">
        <f>IFERROR(__xludf.DUMMYFUNCTION("""COMPUTED_VALUE"""),1.0)</f>
        <v>1</v>
      </c>
      <c r="D958" s="61">
        <f>IFERROR(__xludf.DUMMYFUNCTION("""COMPUTED_VALUE"""),176.0)</f>
        <v>176</v>
      </c>
      <c r="E958" s="61">
        <f>IFERROR(__xludf.DUMMYFUNCTION("""COMPUTED_VALUE"""),1.0)</f>
        <v>1</v>
      </c>
      <c r="F958" s="62" t="str">
        <f>IFERROR(__xludf.DUMMYFUNCTION("""COMPUTED_VALUE"""),"https://www.google.com/maps/search/?api=1&amp;query=-30.8994687083075,-55.5406272251591")</f>
        <v>https://www.google.com/maps/search/?api=1&amp;query=-30.8994687083075,-55.5406272251591</v>
      </c>
      <c r="G958" s="63" t="str">
        <f>IFERROR(__xludf.DUMMYFUNCTION("""COMPUTED_VALUE"""),"https://earth.google.com/web/search/-30.8994687083075,-55.5406272251591")</f>
        <v>https://earth.google.com/web/search/-30.8994687083075,-55.5406272251591</v>
      </c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  <c r="X958" s="64"/>
      <c r="Y958" s="64"/>
      <c r="Z958" s="64"/>
    </row>
    <row r="959">
      <c r="A959" s="65" t="str">
        <f>IFERROR(__xludf.DUMMYFUNCTION("""COMPUTED_VALUE"""),"-30.8993224358535")</f>
        <v>-30.8993224358535</v>
      </c>
      <c r="B959" s="66" t="str">
        <f>IFERROR(__xludf.DUMMYFUNCTION("""COMPUTED_VALUE"""),"-55.5395477368057")</f>
        <v>-55.5395477368057</v>
      </c>
      <c r="C959" s="66">
        <f>IFERROR(__xludf.DUMMYFUNCTION("""COMPUTED_VALUE"""),1.0)</f>
        <v>1</v>
      </c>
      <c r="D959" s="66">
        <f>IFERROR(__xludf.DUMMYFUNCTION("""COMPUTED_VALUE"""),176.0)</f>
        <v>176</v>
      </c>
      <c r="E959" s="66">
        <f>IFERROR(__xludf.DUMMYFUNCTION("""COMPUTED_VALUE"""),2.0)</f>
        <v>2</v>
      </c>
      <c r="F959" s="67" t="str">
        <f>IFERROR(__xludf.DUMMYFUNCTION("""COMPUTED_VALUE"""),"https://www.google.com/maps/search/?api=1&amp;query=-30.8993224358535,-55.5395477368057")</f>
        <v>https://www.google.com/maps/search/?api=1&amp;query=-30.8993224358535,-55.5395477368057</v>
      </c>
      <c r="G959" s="68" t="str">
        <f>IFERROR(__xludf.DUMMYFUNCTION("""COMPUTED_VALUE"""),"https://earth.google.com/web/search/-30.8993224358535,-55.5395477368057")</f>
        <v>https://earth.google.com/web/search/-30.8993224358535,-55.5395477368057</v>
      </c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  <c r="X959" s="64"/>
      <c r="Y959" s="64"/>
      <c r="Z959" s="64"/>
    </row>
    <row r="960">
      <c r="A960" s="69" t="str">
        <f>IFERROR(__xludf.DUMMYFUNCTION("""COMPUTED_VALUE"""),"-30.8989160195171")</f>
        <v>-30.8989160195171</v>
      </c>
      <c r="B960" s="61" t="str">
        <f>IFERROR(__xludf.DUMMYFUNCTION("""COMPUTED_VALUE"""),"-55.5398399834184")</f>
        <v>-55.5398399834184</v>
      </c>
      <c r="C960" s="61">
        <f>IFERROR(__xludf.DUMMYFUNCTION("""COMPUTED_VALUE"""),1.0)</f>
        <v>1</v>
      </c>
      <c r="D960" s="61">
        <f>IFERROR(__xludf.DUMMYFUNCTION("""COMPUTED_VALUE"""),176.0)</f>
        <v>176</v>
      </c>
      <c r="E960" s="61">
        <f>IFERROR(__xludf.DUMMYFUNCTION("""COMPUTED_VALUE"""),3.0)</f>
        <v>3</v>
      </c>
      <c r="F960" s="62" t="str">
        <f>IFERROR(__xludf.DUMMYFUNCTION("""COMPUTED_VALUE"""),"https://www.google.com/maps/search/?api=1&amp;query=-30.8989160195171,-55.5398399834184")</f>
        <v>https://www.google.com/maps/search/?api=1&amp;query=-30.8989160195171,-55.5398399834184</v>
      </c>
      <c r="G960" s="63" t="str">
        <f>IFERROR(__xludf.DUMMYFUNCTION("""COMPUTED_VALUE"""),"https://earth.google.com/web/search/-30.8989160195171,-55.5398399834184")</f>
        <v>https://earth.google.com/web/search/-30.8989160195171,-55.5398399834184</v>
      </c>
      <c r="H960" s="64"/>
      <c r="I960" s="64"/>
      <c r="J960" s="64"/>
      <c r="K960" s="64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  <c r="X960" s="64"/>
      <c r="Y960" s="64"/>
      <c r="Z960" s="64"/>
    </row>
    <row r="961">
      <c r="A961" s="65" t="str">
        <f>IFERROR(__xludf.DUMMYFUNCTION("""COMPUTED_VALUE"""),"-30.8987652368054")</f>
        <v>-30.8987652368054</v>
      </c>
      <c r="B961" s="66" t="str">
        <f>IFERROR(__xludf.DUMMYFUNCTION("""COMPUTED_VALUE"""),"-55.5401106629414")</f>
        <v>-55.5401106629414</v>
      </c>
      <c r="C961" s="66">
        <f>IFERROR(__xludf.DUMMYFUNCTION("""COMPUTED_VALUE"""),1.0)</f>
        <v>1</v>
      </c>
      <c r="D961" s="66">
        <f>IFERROR(__xludf.DUMMYFUNCTION("""COMPUTED_VALUE"""),176.0)</f>
        <v>176</v>
      </c>
      <c r="E961" s="66">
        <f>IFERROR(__xludf.DUMMYFUNCTION("""COMPUTED_VALUE"""),4.0)</f>
        <v>4</v>
      </c>
      <c r="F961" s="67" t="str">
        <f>IFERROR(__xludf.DUMMYFUNCTION("""COMPUTED_VALUE"""),"https://www.google.com/maps/search/?api=1&amp;query=-30.8987652368054,-55.5401106629414")</f>
        <v>https://www.google.com/maps/search/?api=1&amp;query=-30.8987652368054,-55.5401106629414</v>
      </c>
      <c r="G961" s="68" t="str">
        <f>IFERROR(__xludf.DUMMYFUNCTION("""COMPUTED_VALUE"""),"https://earth.google.com/web/search/-30.8987652368054,-55.5401106629414")</f>
        <v>https://earth.google.com/web/search/-30.8987652368054,-55.5401106629414</v>
      </c>
      <c r="H961" s="64"/>
      <c r="I961" s="64"/>
      <c r="J961" s="64"/>
      <c r="K961" s="64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  <c r="X961" s="64"/>
      <c r="Y961" s="64"/>
      <c r="Z961" s="64"/>
    </row>
    <row r="962">
      <c r="A962" s="69" t="str">
        <f>IFERROR(__xludf.DUMMYFUNCTION("""COMPUTED_VALUE"""),"-30.8991723118289")</f>
        <v>-30.8991723118289</v>
      </c>
      <c r="B962" s="61" t="str">
        <f>IFERROR(__xludf.DUMMYFUNCTION("""COMPUTED_VALUE"""),"-55.5405712893108")</f>
        <v>-55.5405712893108</v>
      </c>
      <c r="C962" s="61">
        <f>IFERROR(__xludf.DUMMYFUNCTION("""COMPUTED_VALUE"""),1.0)</f>
        <v>1</v>
      </c>
      <c r="D962" s="61">
        <f>IFERROR(__xludf.DUMMYFUNCTION("""COMPUTED_VALUE"""),176.0)</f>
        <v>176</v>
      </c>
      <c r="E962" s="61">
        <f>IFERROR(__xludf.DUMMYFUNCTION("""COMPUTED_VALUE"""),5.0)</f>
        <v>5</v>
      </c>
      <c r="F962" s="62" t="str">
        <f>IFERROR(__xludf.DUMMYFUNCTION("""COMPUTED_VALUE"""),"https://www.google.com/maps/search/?api=1&amp;query=-30.8991723118289,-55.5405712893108")</f>
        <v>https://www.google.com/maps/search/?api=1&amp;query=-30.8991723118289,-55.5405712893108</v>
      </c>
      <c r="G962" s="63" t="str">
        <f>IFERROR(__xludf.DUMMYFUNCTION("""COMPUTED_VALUE"""),"https://earth.google.com/web/search/-30.8991723118289,-55.5405712893108")</f>
        <v>https://earth.google.com/web/search/-30.8991723118289,-55.5405712893108</v>
      </c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4"/>
      <c r="Y962" s="64"/>
      <c r="Z962" s="64"/>
    </row>
    <row r="963">
      <c r="A963" s="65" t="str">
        <f>IFERROR(__xludf.DUMMYFUNCTION("""COMPUTED_VALUE"""),"-30.8989800127958")</f>
        <v>-30.8989800127958</v>
      </c>
      <c r="B963" s="66" t="str">
        <f>IFERROR(__xludf.DUMMYFUNCTION("""COMPUTED_VALUE"""),"-55.5415821211935")</f>
        <v>-55.5415821211935</v>
      </c>
      <c r="C963" s="66">
        <f>IFERROR(__xludf.DUMMYFUNCTION("""COMPUTED_VALUE"""),1.0)</f>
        <v>1</v>
      </c>
      <c r="D963" s="66">
        <f>IFERROR(__xludf.DUMMYFUNCTION("""COMPUTED_VALUE"""),175.0)</f>
        <v>175</v>
      </c>
      <c r="E963" s="66">
        <f>IFERROR(__xludf.DUMMYFUNCTION("""COMPUTED_VALUE"""),1.0)</f>
        <v>1</v>
      </c>
      <c r="F963" s="67" t="str">
        <f>IFERROR(__xludf.DUMMYFUNCTION("""COMPUTED_VALUE"""),"https://www.google.com/maps/search/?api=1&amp;query=-30.8989800127958,-55.5415821211935")</f>
        <v>https://www.google.com/maps/search/?api=1&amp;query=-30.8989800127958,-55.5415821211935</v>
      </c>
      <c r="G963" s="68" t="str">
        <f>IFERROR(__xludf.DUMMYFUNCTION("""COMPUTED_VALUE"""),"https://earth.google.com/web/search/-30.8989800127958,-55.5415821211935")</f>
        <v>https://earth.google.com/web/search/-30.8989800127958,-55.5415821211935</v>
      </c>
      <c r="H963" s="64"/>
      <c r="I963" s="64"/>
      <c r="J963" s="64"/>
      <c r="K963" s="64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  <c r="X963" s="64"/>
      <c r="Y963" s="64"/>
      <c r="Z963" s="64"/>
    </row>
    <row r="964">
      <c r="A964" s="69" t="str">
        <f>IFERROR(__xludf.DUMMYFUNCTION("""COMPUTED_VALUE"""),"-30.8991211148638")</f>
        <v>-30.8991211148638</v>
      </c>
      <c r="B964" s="61" t="str">
        <f>IFERROR(__xludf.DUMMYFUNCTION("""COMPUTED_VALUE"""),"-55.5412836418502")</f>
        <v>-55.5412836418502</v>
      </c>
      <c r="C964" s="61">
        <f>IFERROR(__xludf.DUMMYFUNCTION("""COMPUTED_VALUE"""),1.0)</f>
        <v>1</v>
      </c>
      <c r="D964" s="61">
        <f>IFERROR(__xludf.DUMMYFUNCTION("""COMPUTED_VALUE"""),175.0)</f>
        <v>175</v>
      </c>
      <c r="E964" s="61">
        <f>IFERROR(__xludf.DUMMYFUNCTION("""COMPUTED_VALUE"""),2.0)</f>
        <v>2</v>
      </c>
      <c r="F964" s="62" t="str">
        <f>IFERROR(__xludf.DUMMYFUNCTION("""COMPUTED_VALUE"""),"https://www.google.com/maps/search/?api=1&amp;query=-30.8991211148638,-55.5412836418502")</f>
        <v>https://www.google.com/maps/search/?api=1&amp;query=-30.8991211148638,-55.5412836418502</v>
      </c>
      <c r="G964" s="63" t="str">
        <f>IFERROR(__xludf.DUMMYFUNCTION("""COMPUTED_VALUE"""),"https://earth.google.com/web/search/-30.8991211148638,-55.5412836418502")</f>
        <v>https://earth.google.com/web/search/-30.8991211148638,-55.5412836418502</v>
      </c>
      <c r="H964" s="64"/>
      <c r="I964" s="64"/>
      <c r="J964" s="64"/>
      <c r="K964" s="64"/>
      <c r="L964" s="64"/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  <c r="X964" s="64"/>
      <c r="Y964" s="64"/>
      <c r="Z964" s="64"/>
    </row>
    <row r="965">
      <c r="A965" s="65" t="str">
        <f>IFERROR(__xludf.DUMMYFUNCTION("""COMPUTED_VALUE"""),"-3.0899184718355")</f>
        <v>-3.0899184718355</v>
      </c>
      <c r="B965" s="66" t="str">
        <f>IFERROR(__xludf.DUMMYFUNCTION("""COMPUTED_VALUE"""),"-55.5411783641668")</f>
        <v>-55.5411783641668</v>
      </c>
      <c r="C965" s="66">
        <f>IFERROR(__xludf.DUMMYFUNCTION("""COMPUTED_VALUE"""),1.0)</f>
        <v>1</v>
      </c>
      <c r="D965" s="66">
        <f>IFERROR(__xludf.DUMMYFUNCTION("""COMPUTED_VALUE"""),175.0)</f>
        <v>175</v>
      </c>
      <c r="E965" s="66">
        <f>IFERROR(__xludf.DUMMYFUNCTION("""COMPUTED_VALUE"""),3.0)</f>
        <v>3</v>
      </c>
      <c r="F965" s="67" t="str">
        <f>IFERROR(__xludf.DUMMYFUNCTION("""COMPUTED_VALUE"""),"https://www.google.com/maps/search/?api=1&amp;query=-3.0899184718355,-55.5411783641668")</f>
        <v>https://www.google.com/maps/search/?api=1&amp;query=-3.0899184718355,-55.5411783641668</v>
      </c>
      <c r="G965" s="68" t="str">
        <f>IFERROR(__xludf.DUMMYFUNCTION("""COMPUTED_VALUE"""),"https://earth.google.com/web/search/-3.0899184718355,-55.5411783641668")</f>
        <v>https://earth.google.com/web/search/-3.0899184718355,-55.5411783641668</v>
      </c>
      <c r="H965" s="64"/>
      <c r="I965" s="64"/>
      <c r="J965" s="64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  <c r="X965" s="64"/>
      <c r="Y965" s="64"/>
      <c r="Z965" s="64"/>
    </row>
    <row r="966">
      <c r="A966" s="69" t="str">
        <f>IFERROR(__xludf.DUMMYFUNCTION("""COMPUTED_VALUE"""),"-30.8992947044136")</f>
        <v>-30.8992947044136</v>
      </c>
      <c r="B966" s="61" t="str">
        <f>IFERROR(__xludf.DUMMYFUNCTION("""COMPUTED_VALUE"""),"-55.5409709121789")</f>
        <v>-55.5409709121789</v>
      </c>
      <c r="C966" s="61">
        <f>IFERROR(__xludf.DUMMYFUNCTION("""COMPUTED_VALUE"""),1.0)</f>
        <v>1</v>
      </c>
      <c r="D966" s="61">
        <f>IFERROR(__xludf.DUMMYFUNCTION("""COMPUTED_VALUE"""),175.0)</f>
        <v>175</v>
      </c>
      <c r="E966" s="61">
        <f>IFERROR(__xludf.DUMMYFUNCTION("""COMPUTED_VALUE"""),3.0)</f>
        <v>3</v>
      </c>
      <c r="F966" s="62" t="str">
        <f>IFERROR(__xludf.DUMMYFUNCTION("""COMPUTED_VALUE"""),"https://www.google.com/maps/search/?api=1&amp;query=-30.8992947044136,-55.5409709121789")</f>
        <v>https://www.google.com/maps/search/?api=1&amp;query=-30.8992947044136,-55.5409709121789</v>
      </c>
      <c r="G966" s="63" t="str">
        <f>IFERROR(__xludf.DUMMYFUNCTION("""COMPUTED_VALUE"""),"https://earth.google.com/web/search/-30.8992947044136,-55.5409709121789")</f>
        <v>https://earth.google.com/web/search/-30.8992947044136,-55.5409709121789</v>
      </c>
      <c r="H966" s="64"/>
      <c r="I966" s="64"/>
      <c r="J966" s="64"/>
      <c r="K966" s="64"/>
      <c r="L966" s="64"/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  <c r="X966" s="64"/>
      <c r="Y966" s="64"/>
      <c r="Z966" s="64"/>
    </row>
    <row r="967">
      <c r="A967" s="65" t="str">
        <f>IFERROR(__xludf.DUMMYFUNCTION("""COMPUTED_VALUE"""),"-30.8992879907925")</f>
        <v>-30.8992879907925</v>
      </c>
      <c r="B967" s="66" t="str">
        <f>IFERROR(__xludf.DUMMYFUNCTION("""COMPUTED_VALUE"""),"-55.5407662905886")</f>
        <v>-55.5407662905886</v>
      </c>
      <c r="C967" s="66">
        <f>IFERROR(__xludf.DUMMYFUNCTION("""COMPUTED_VALUE"""),1.0)</f>
        <v>1</v>
      </c>
      <c r="D967" s="66">
        <f>IFERROR(__xludf.DUMMYFUNCTION("""COMPUTED_VALUE"""),175.0)</f>
        <v>175</v>
      </c>
      <c r="E967" s="66">
        <f>IFERROR(__xludf.DUMMYFUNCTION("""COMPUTED_VALUE"""),4.0)</f>
        <v>4</v>
      </c>
      <c r="F967" s="67" t="str">
        <f>IFERROR(__xludf.DUMMYFUNCTION("""COMPUTED_VALUE"""),"https://www.google.com/maps/search/?api=1&amp;query=-30.8992879907925,-55.5407662905886")</f>
        <v>https://www.google.com/maps/search/?api=1&amp;query=-30.8992879907925,-55.5407662905886</v>
      </c>
      <c r="G967" s="68" t="str">
        <f>IFERROR(__xludf.DUMMYFUNCTION("""COMPUTED_VALUE"""),"https://earth.google.com/web/search/-30.8992879907925,-55.5407662905886")</f>
        <v>https://earth.google.com/web/search/-30.8992879907925,-55.5407662905886</v>
      </c>
      <c r="H967" s="64"/>
      <c r="I967" s="64"/>
      <c r="J967" s="64"/>
      <c r="K967" s="64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  <c r="X967" s="64"/>
      <c r="Y967" s="64"/>
      <c r="Z967" s="64"/>
    </row>
    <row r="968">
      <c r="A968" s="69" t="str">
        <f>IFERROR(__xludf.DUMMYFUNCTION("""COMPUTED_VALUE"""),"-30.8992022615502")</f>
        <v>-30.8992022615502</v>
      </c>
      <c r="B968" s="61" t="str">
        <f>IFERROR(__xludf.DUMMYFUNCTION("""COMPUTED_VALUE"""),"-55.5407199892122")</f>
        <v>-55.5407199892122</v>
      </c>
      <c r="C968" s="61">
        <f>IFERROR(__xludf.DUMMYFUNCTION("""COMPUTED_VALUE"""),1.0)</f>
        <v>1</v>
      </c>
      <c r="D968" s="61">
        <f>IFERROR(__xludf.DUMMYFUNCTION("""COMPUTED_VALUE"""),175.0)</f>
        <v>175</v>
      </c>
      <c r="E968" s="61">
        <f>IFERROR(__xludf.DUMMYFUNCTION("""COMPUTED_VALUE"""),5.0)</f>
        <v>5</v>
      </c>
      <c r="F968" s="62" t="str">
        <f>IFERROR(__xludf.DUMMYFUNCTION("""COMPUTED_VALUE"""),"https://www.google.com/maps/search/?api=1&amp;query=-30.8992022615502,-55.5407199892122")</f>
        <v>https://www.google.com/maps/search/?api=1&amp;query=-30.8992022615502,-55.5407199892122</v>
      </c>
      <c r="G968" s="63" t="str">
        <f>IFERROR(__xludf.DUMMYFUNCTION("""COMPUTED_VALUE"""),"https://earth.google.com/web/search/-30.8992022615502,-55.5407199892122")</f>
        <v>https://earth.google.com/web/search/-30.8992022615502,-55.5407199892122</v>
      </c>
      <c r="H968" s="64"/>
      <c r="I968" s="64"/>
      <c r="J968" s="64"/>
      <c r="K968" s="64"/>
      <c r="L968" s="64"/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  <c r="X968" s="64"/>
      <c r="Y968" s="64"/>
      <c r="Z968" s="64"/>
    </row>
    <row r="969">
      <c r="A969" s="65" t="str">
        <f>IFERROR(__xludf.DUMMYFUNCTION("""COMPUTED_VALUE"""),"-30.8990398746707")</f>
        <v>-30.8990398746707</v>
      </c>
      <c r="B969" s="66" t="str">
        <f>IFERROR(__xludf.DUMMYFUNCTION("""COMPUTED_VALUE"""),"-55.5406070945383")</f>
        <v>-55.5406070945383</v>
      </c>
      <c r="C969" s="66">
        <f>IFERROR(__xludf.DUMMYFUNCTION("""COMPUTED_VALUE"""),1.0)</f>
        <v>1</v>
      </c>
      <c r="D969" s="66">
        <f>IFERROR(__xludf.DUMMYFUNCTION("""COMPUTED_VALUE"""),175.0)</f>
        <v>175</v>
      </c>
      <c r="E969" s="66">
        <f>IFERROR(__xludf.DUMMYFUNCTION("""COMPUTED_VALUE"""),6.0)</f>
        <v>6</v>
      </c>
      <c r="F969" s="67" t="str">
        <f>IFERROR(__xludf.DUMMYFUNCTION("""COMPUTED_VALUE"""),"https://www.google.com/maps/search/?api=1&amp;query=-30.8990398746707,-55.5406070945383")</f>
        <v>https://www.google.com/maps/search/?api=1&amp;query=-30.8990398746707,-55.5406070945383</v>
      </c>
      <c r="G969" s="68" t="str">
        <f>IFERROR(__xludf.DUMMYFUNCTION("""COMPUTED_VALUE"""),"https://earth.google.com/web/search/-30.8990398746707,-55.5406070945383")</f>
        <v>https://earth.google.com/web/search/-30.8990398746707,-55.5406070945383</v>
      </c>
      <c r="H969" s="64"/>
      <c r="I969" s="64"/>
      <c r="J969" s="64"/>
      <c r="K969" s="64"/>
      <c r="L969" s="64"/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  <c r="X969" s="64"/>
      <c r="Y969" s="64"/>
      <c r="Z969" s="64"/>
    </row>
    <row r="970">
      <c r="A970" s="69" t="str">
        <f>IFERROR(__xludf.DUMMYFUNCTION("""COMPUTED_VALUE"""),"-30.8983712514167")</f>
        <v>-30.8983712514167</v>
      </c>
      <c r="B970" s="61" t="str">
        <f>IFERROR(__xludf.DUMMYFUNCTION("""COMPUTED_VALUE"""),"-55.5408726624898")</f>
        <v>-55.5408726624898</v>
      </c>
      <c r="C970" s="61">
        <f>IFERROR(__xludf.DUMMYFUNCTION("""COMPUTED_VALUE"""),1.0)</f>
        <v>1</v>
      </c>
      <c r="D970" s="61">
        <f>IFERROR(__xludf.DUMMYFUNCTION("""COMPUTED_VALUE"""),175.0)</f>
        <v>175</v>
      </c>
      <c r="E970" s="61">
        <f>IFERROR(__xludf.DUMMYFUNCTION("""COMPUTED_VALUE"""),7.0)</f>
        <v>7</v>
      </c>
      <c r="F970" s="62" t="str">
        <f>IFERROR(__xludf.DUMMYFUNCTION("""COMPUTED_VALUE"""),"https://www.google.com/maps/search/?api=1&amp;query=-30.8983712514167,-55.5408726624898")</f>
        <v>https://www.google.com/maps/search/?api=1&amp;query=-30.8983712514167,-55.5408726624898</v>
      </c>
      <c r="G970" s="63" t="str">
        <f>IFERROR(__xludf.DUMMYFUNCTION("""COMPUTED_VALUE"""),"https://earth.google.com/web/search/-30.8983712514167,-55.5408726624898")</f>
        <v>https://earth.google.com/web/search/-30.8983712514167,-55.5408726624898</v>
      </c>
      <c r="H970" s="64"/>
      <c r="I970" s="64"/>
      <c r="J970" s="64"/>
      <c r="K970" s="64"/>
      <c r="L970" s="64"/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  <c r="X970" s="64"/>
      <c r="Y970" s="64"/>
      <c r="Z970" s="64"/>
    </row>
    <row r="971">
      <c r="A971" s="65" t="str">
        <f>IFERROR(__xludf.DUMMYFUNCTION("""COMPUTED_VALUE"""),"-30.8983380365911")</f>
        <v>-30.8983380365911</v>
      </c>
      <c r="B971" s="66" t="str">
        <f>IFERROR(__xludf.DUMMYFUNCTION("""COMPUTED_VALUE"""),"-55.5409390658516")</f>
        <v>-55.5409390658516</v>
      </c>
      <c r="C971" s="66">
        <f>IFERROR(__xludf.DUMMYFUNCTION("""COMPUTED_VALUE"""),1.0)</f>
        <v>1</v>
      </c>
      <c r="D971" s="66">
        <f>IFERROR(__xludf.DUMMYFUNCTION("""COMPUTED_VALUE"""),175.0)</f>
        <v>175</v>
      </c>
      <c r="E971" s="66">
        <f>IFERROR(__xludf.DUMMYFUNCTION("""COMPUTED_VALUE"""),8.0)</f>
        <v>8</v>
      </c>
      <c r="F971" s="67" t="str">
        <f>IFERROR(__xludf.DUMMYFUNCTION("""COMPUTED_VALUE"""),"https://www.google.com/maps/search/?api=1&amp;query=-30.8983380365911,-55.5409390658516")</f>
        <v>https://www.google.com/maps/search/?api=1&amp;query=-30.8983380365911,-55.5409390658516</v>
      </c>
      <c r="G971" s="68" t="str">
        <f>IFERROR(__xludf.DUMMYFUNCTION("""COMPUTED_VALUE"""),"https://earth.google.com/web/search/-30.8983380365911,-55.5409390658516")</f>
        <v>https://earth.google.com/web/search/-30.8983380365911,-55.5409390658516</v>
      </c>
      <c r="H971" s="64"/>
      <c r="I971" s="64"/>
      <c r="J971" s="64"/>
      <c r="K971" s="64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  <c r="X971" s="64"/>
      <c r="Y971" s="64"/>
      <c r="Z971" s="64"/>
    </row>
    <row r="972">
      <c r="A972" s="69" t="str">
        <f>IFERROR(__xludf.DUMMYFUNCTION("""COMPUTED_VALUE"""),"-30.8982592957036")</f>
        <v>-30.8982592957036</v>
      </c>
      <c r="B972" s="61" t="str">
        <f>IFERROR(__xludf.DUMMYFUNCTION("""COMPUTED_VALUE"""),"-55.5410928272012")</f>
        <v>-55.5410928272012</v>
      </c>
      <c r="C972" s="61">
        <f>IFERROR(__xludf.DUMMYFUNCTION("""COMPUTED_VALUE"""),1.0)</f>
        <v>1</v>
      </c>
      <c r="D972" s="61">
        <f>IFERROR(__xludf.DUMMYFUNCTION("""COMPUTED_VALUE"""),175.0)</f>
        <v>175</v>
      </c>
      <c r="E972" s="61">
        <f>IFERROR(__xludf.DUMMYFUNCTION("""COMPUTED_VALUE"""),9.0)</f>
        <v>9</v>
      </c>
      <c r="F972" s="62" t="str">
        <f>IFERROR(__xludf.DUMMYFUNCTION("""COMPUTED_VALUE"""),"https://www.google.com/maps/search/?api=1&amp;query=-30.8982592957036,-55.5410928272012")</f>
        <v>https://www.google.com/maps/search/?api=1&amp;query=-30.8982592957036,-55.5410928272012</v>
      </c>
      <c r="G972" s="63" t="str">
        <f>IFERROR(__xludf.DUMMYFUNCTION("""COMPUTED_VALUE"""),"https://earth.google.com/web/search/-30.8982592957036,-55.5410928272012")</f>
        <v>https://earth.google.com/web/search/-30.8982592957036,-55.5410928272012</v>
      </c>
      <c r="H972" s="64"/>
      <c r="I972" s="64"/>
      <c r="J972" s="64"/>
      <c r="K972" s="64"/>
      <c r="L972" s="64"/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  <c r="X972" s="64"/>
      <c r="Y972" s="64"/>
      <c r="Z972" s="64"/>
    </row>
    <row r="973">
      <c r="A973" s="65" t="str">
        <f>IFERROR(__xludf.DUMMYFUNCTION("""COMPUTED_VALUE"""),"-30.8982841984857")</f>
        <v>-30.8982841984857</v>
      </c>
      <c r="B973" s="66" t="str">
        <f>IFERROR(__xludf.DUMMYFUNCTION("""COMPUTED_VALUE"""),"-55.5412047278847")</f>
        <v>-55.5412047278847</v>
      </c>
      <c r="C973" s="66">
        <f>IFERROR(__xludf.DUMMYFUNCTION("""COMPUTED_VALUE"""),1.0)</f>
        <v>1</v>
      </c>
      <c r="D973" s="66">
        <f>IFERROR(__xludf.DUMMYFUNCTION("""COMPUTED_VALUE"""),175.0)</f>
        <v>175</v>
      </c>
      <c r="E973" s="66">
        <f>IFERROR(__xludf.DUMMYFUNCTION("""COMPUTED_VALUE"""),10.0)</f>
        <v>10</v>
      </c>
      <c r="F973" s="67" t="str">
        <f>IFERROR(__xludf.DUMMYFUNCTION("""COMPUTED_VALUE"""),"https://www.google.com/maps/search/?api=1&amp;query=-30.8982841984857,-55.5412047278847")</f>
        <v>https://www.google.com/maps/search/?api=1&amp;query=-30.8982841984857,-55.5412047278847</v>
      </c>
      <c r="G973" s="68" t="str">
        <f>IFERROR(__xludf.DUMMYFUNCTION("""COMPUTED_VALUE"""),"https://earth.google.com/web/search/-30.8982841984857,-55.5412047278847")</f>
        <v>https://earth.google.com/web/search/-30.8982841984857,-55.5412047278847</v>
      </c>
      <c r="H973" s="64"/>
      <c r="I973" s="64"/>
      <c r="J973" s="64"/>
      <c r="K973" s="64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  <c r="X973" s="64"/>
      <c r="Y973" s="64"/>
      <c r="Z973" s="64"/>
    </row>
    <row r="974">
      <c r="A974" s="69" t="str">
        <f>IFERROR(__xludf.DUMMYFUNCTION("""COMPUTED_VALUE"""),"-30.8985013959956")</f>
        <v>-30.8985013959956</v>
      </c>
      <c r="B974" s="61" t="str">
        <f>IFERROR(__xludf.DUMMYFUNCTION("""COMPUTED_VALUE"""),"-55.5413523935319")</f>
        <v>-55.5413523935319</v>
      </c>
      <c r="C974" s="61">
        <f>IFERROR(__xludf.DUMMYFUNCTION("""COMPUTED_VALUE"""),1.0)</f>
        <v>1</v>
      </c>
      <c r="D974" s="61">
        <f>IFERROR(__xludf.DUMMYFUNCTION("""COMPUTED_VALUE"""),175.0)</f>
        <v>175</v>
      </c>
      <c r="E974" s="61">
        <f>IFERROR(__xludf.DUMMYFUNCTION("""COMPUTED_VALUE"""),11.0)</f>
        <v>11</v>
      </c>
      <c r="F974" s="62" t="str">
        <f>IFERROR(__xludf.DUMMYFUNCTION("""COMPUTED_VALUE"""),"https://www.google.com/maps/search/?api=1&amp;query=-30.8985013959956,-55.5413523935319")</f>
        <v>https://www.google.com/maps/search/?api=1&amp;query=-30.8985013959956,-55.5413523935319</v>
      </c>
      <c r="G974" s="63" t="str">
        <f>IFERROR(__xludf.DUMMYFUNCTION("""COMPUTED_VALUE"""),"https://earth.google.com/web/search/-30.8985013959956,-55.5413523935319")</f>
        <v>https://earth.google.com/web/search/-30.8985013959956,-55.5413523935319</v>
      </c>
      <c r="H974" s="64"/>
      <c r="I974" s="64"/>
      <c r="J974" s="64"/>
      <c r="K974" s="64"/>
      <c r="L974" s="64"/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  <c r="X974" s="64"/>
      <c r="Y974" s="64"/>
      <c r="Z974" s="64"/>
    </row>
    <row r="975">
      <c r="A975" s="65" t="str">
        <f>IFERROR(__xludf.DUMMYFUNCTION("""COMPUTED_VALUE"""),"-30.8987722272045")</f>
        <v>-30.8987722272045</v>
      </c>
      <c r="B975" s="66" t="str">
        <f>IFERROR(__xludf.DUMMYFUNCTION("""COMPUTED_VALUE"""),"-55.5415441848993")</f>
        <v>-55.5415441848993</v>
      </c>
      <c r="C975" s="66">
        <f>IFERROR(__xludf.DUMMYFUNCTION("""COMPUTED_VALUE"""),1.0)</f>
        <v>1</v>
      </c>
      <c r="D975" s="66">
        <f>IFERROR(__xludf.DUMMYFUNCTION("""COMPUTED_VALUE"""),175.0)</f>
        <v>175</v>
      </c>
      <c r="E975" s="66">
        <f>IFERROR(__xludf.DUMMYFUNCTION("""COMPUTED_VALUE"""),12.0)</f>
        <v>12</v>
      </c>
      <c r="F975" s="67" t="str">
        <f>IFERROR(__xludf.DUMMYFUNCTION("""COMPUTED_VALUE"""),"https://www.google.com/maps/search/?api=1&amp;query=-30.8987722272045,-55.5415441848993")</f>
        <v>https://www.google.com/maps/search/?api=1&amp;query=-30.8987722272045,-55.5415441848993</v>
      </c>
      <c r="G975" s="68" t="str">
        <f>IFERROR(__xludf.DUMMYFUNCTION("""COMPUTED_VALUE"""),"https://earth.google.com/web/search/-30.8987722272045,-55.5415441848993")</f>
        <v>https://earth.google.com/web/search/-30.8987722272045,-55.5415441848993</v>
      </c>
      <c r="H975" s="64"/>
      <c r="I975" s="64"/>
      <c r="J975" s="64"/>
      <c r="K975" s="64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  <c r="X975" s="64"/>
      <c r="Y975" s="64"/>
      <c r="Z975" s="64"/>
    </row>
    <row r="976">
      <c r="A976" s="69" t="str">
        <f>IFERROR(__xludf.DUMMYFUNCTION("""COMPUTED_VALUE"""),"-30.8988417828387")</f>
        <v>-30.8988417828387</v>
      </c>
      <c r="B976" s="61" t="str">
        <f>IFERROR(__xludf.DUMMYFUNCTION("""COMPUTED_VALUE"""),"-55.5415912209923")</f>
        <v>-55.5415912209923</v>
      </c>
      <c r="C976" s="61">
        <f>IFERROR(__xludf.DUMMYFUNCTION("""COMPUTED_VALUE"""),1.0)</f>
        <v>1</v>
      </c>
      <c r="D976" s="61">
        <f>IFERROR(__xludf.DUMMYFUNCTION("""COMPUTED_VALUE"""),175.0)</f>
        <v>175</v>
      </c>
      <c r="E976" s="61">
        <f>IFERROR(__xludf.DUMMYFUNCTION("""COMPUTED_VALUE"""),13.0)</f>
        <v>13</v>
      </c>
      <c r="F976" s="62" t="str">
        <f>IFERROR(__xludf.DUMMYFUNCTION("""COMPUTED_VALUE"""),"https://www.google.com/maps/search/?api=1&amp;query=-30.8988417828387,-55.5415912209923")</f>
        <v>https://www.google.com/maps/search/?api=1&amp;query=-30.8988417828387,-55.5415912209923</v>
      </c>
      <c r="G976" s="63" t="str">
        <f>IFERROR(__xludf.DUMMYFUNCTION("""COMPUTED_VALUE"""),"https://earth.google.com/web/search/-30.8988417828387,-55.5415912209923")</f>
        <v>https://earth.google.com/web/search/-30.8988417828387,-55.5415912209923</v>
      </c>
      <c r="H976" s="64"/>
      <c r="I976" s="64"/>
      <c r="J976" s="64"/>
      <c r="K976" s="64"/>
      <c r="L976" s="64"/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  <c r="X976" s="64"/>
      <c r="Y976" s="64"/>
      <c r="Z976" s="64"/>
    </row>
    <row r="977">
      <c r="A977" s="65" t="str">
        <f>IFERROR(__xludf.DUMMYFUNCTION("""COMPUTED_VALUE"""),"-30.8978705455035")</f>
        <v>-30.8978705455035</v>
      </c>
      <c r="B977" s="66" t="str">
        <f>IFERROR(__xludf.DUMMYFUNCTION("""COMPUTED_VALUE"""),"-55.5421608286773")</f>
        <v>-55.5421608286773</v>
      </c>
      <c r="C977" s="66">
        <f>IFERROR(__xludf.DUMMYFUNCTION("""COMPUTED_VALUE"""),1.0)</f>
        <v>1</v>
      </c>
      <c r="D977" s="66">
        <f>IFERROR(__xludf.DUMMYFUNCTION("""COMPUTED_VALUE"""),174.0)</f>
        <v>174</v>
      </c>
      <c r="E977" s="66">
        <f>IFERROR(__xludf.DUMMYFUNCTION("""COMPUTED_VALUE"""),1.0)</f>
        <v>1</v>
      </c>
      <c r="F977" s="67" t="str">
        <f>IFERROR(__xludf.DUMMYFUNCTION("""COMPUTED_VALUE"""),"https://www.google.com/maps/search/?api=1&amp;query=-30.8978705455035,-55.5421608286773")</f>
        <v>https://www.google.com/maps/search/?api=1&amp;query=-30.8978705455035,-55.5421608286773</v>
      </c>
      <c r="G977" s="68" t="str">
        <f>IFERROR(__xludf.DUMMYFUNCTION("""COMPUTED_VALUE"""),"https://earth.google.com/web/search/-30.8978705455035,-55.5421608286773")</f>
        <v>https://earth.google.com/web/search/-30.8978705455035,-55.5421608286773</v>
      </c>
      <c r="H977" s="64"/>
      <c r="I977" s="64"/>
      <c r="J977" s="64"/>
      <c r="K977" s="64"/>
      <c r="L977" s="64"/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  <c r="X977" s="64"/>
      <c r="Y977" s="64"/>
      <c r="Z977" s="64"/>
    </row>
    <row r="978">
      <c r="A978" s="69" t="str">
        <f>IFERROR(__xludf.DUMMYFUNCTION("""COMPUTED_VALUE"""),"-30.8981726086042")</f>
        <v>-30.8981726086042</v>
      </c>
      <c r="B978" s="61" t="str">
        <f>IFERROR(__xludf.DUMMYFUNCTION("""COMPUTED_VALUE"""),"-55.5423702417183")</f>
        <v>-55.5423702417183</v>
      </c>
      <c r="C978" s="61">
        <f>IFERROR(__xludf.DUMMYFUNCTION("""COMPUTED_VALUE"""),1.0)</f>
        <v>1</v>
      </c>
      <c r="D978" s="61">
        <f>IFERROR(__xludf.DUMMYFUNCTION("""COMPUTED_VALUE"""),174.0)</f>
        <v>174</v>
      </c>
      <c r="E978" s="61">
        <f>IFERROR(__xludf.DUMMYFUNCTION("""COMPUTED_VALUE"""),2.0)</f>
        <v>2</v>
      </c>
      <c r="F978" s="62" t="str">
        <f>IFERROR(__xludf.DUMMYFUNCTION("""COMPUTED_VALUE"""),"https://www.google.com/maps/search/?api=1&amp;query=-30.8981726086042,-55.5423702417183")</f>
        <v>https://www.google.com/maps/search/?api=1&amp;query=-30.8981726086042,-55.5423702417183</v>
      </c>
      <c r="G978" s="63" t="str">
        <f>IFERROR(__xludf.DUMMYFUNCTION("""COMPUTED_VALUE"""),"https://earth.google.com/web/search/-30.8981726086042,-55.5423702417183")</f>
        <v>https://earth.google.com/web/search/-30.8981726086042,-55.5423702417183</v>
      </c>
      <c r="H978" s="64"/>
      <c r="I978" s="64"/>
      <c r="J978" s="64"/>
      <c r="K978" s="64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  <c r="X978" s="64"/>
      <c r="Y978" s="64"/>
      <c r="Z978" s="64"/>
    </row>
    <row r="979">
      <c r="A979" s="65" t="str">
        <f>IFERROR(__xludf.DUMMYFUNCTION("""COMPUTED_VALUE"""),"-30.8982548012276")</f>
        <v>-30.8982548012276</v>
      </c>
      <c r="B979" s="66" t="str">
        <f>IFERROR(__xludf.DUMMYFUNCTION("""COMPUTED_VALUE"""),"-55.5424155347397")</f>
        <v>-55.5424155347397</v>
      </c>
      <c r="C979" s="66">
        <f>IFERROR(__xludf.DUMMYFUNCTION("""COMPUTED_VALUE"""),1.0)</f>
        <v>1</v>
      </c>
      <c r="D979" s="66">
        <f>IFERROR(__xludf.DUMMYFUNCTION("""COMPUTED_VALUE"""),174.0)</f>
        <v>174</v>
      </c>
      <c r="E979" s="66">
        <f>IFERROR(__xludf.DUMMYFUNCTION("""COMPUTED_VALUE"""),3.0)</f>
        <v>3</v>
      </c>
      <c r="F979" s="67" t="str">
        <f>IFERROR(__xludf.DUMMYFUNCTION("""COMPUTED_VALUE"""),"https://www.google.com/maps/search/?api=1&amp;query=-30.8982548012276,-55.5424155347397")</f>
        <v>https://www.google.com/maps/search/?api=1&amp;query=-30.8982548012276,-55.5424155347397</v>
      </c>
      <c r="G979" s="68" t="str">
        <f>IFERROR(__xludf.DUMMYFUNCTION("""COMPUTED_VALUE"""),"https://earth.google.com/web/search/-30.8982548012276,-55.5424155347397")</f>
        <v>https://earth.google.com/web/search/-30.8982548012276,-55.5424155347397</v>
      </c>
      <c r="H979" s="64"/>
      <c r="I979" s="64"/>
      <c r="J979" s="64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  <c r="X979" s="64"/>
      <c r="Y979" s="64"/>
      <c r="Z979" s="64"/>
    </row>
    <row r="980">
      <c r="A980" s="69" t="str">
        <f>IFERROR(__xludf.DUMMYFUNCTION("""COMPUTED_VALUE"""),"-30.8984710249479")</f>
        <v>-30.8984710249479</v>
      </c>
      <c r="B980" s="61" t="str">
        <f>IFERROR(__xludf.DUMMYFUNCTION("""COMPUTED_VALUE"""),"-55.5425166848929")</f>
        <v>-55.5425166848929</v>
      </c>
      <c r="C980" s="61">
        <f>IFERROR(__xludf.DUMMYFUNCTION("""COMPUTED_VALUE"""),1.0)</f>
        <v>1</v>
      </c>
      <c r="D980" s="61">
        <f>IFERROR(__xludf.DUMMYFUNCTION("""COMPUTED_VALUE"""),174.0)</f>
        <v>174</v>
      </c>
      <c r="E980" s="61">
        <f>IFERROR(__xludf.DUMMYFUNCTION("""COMPUTED_VALUE"""),4.0)</f>
        <v>4</v>
      </c>
      <c r="F980" s="62" t="str">
        <f>IFERROR(__xludf.DUMMYFUNCTION("""COMPUTED_VALUE"""),"https://www.google.com/maps/search/?api=1&amp;query=-30.8984710249479,-55.5425166848929")</f>
        <v>https://www.google.com/maps/search/?api=1&amp;query=-30.8984710249479,-55.5425166848929</v>
      </c>
      <c r="G980" s="63" t="str">
        <f>IFERROR(__xludf.DUMMYFUNCTION("""COMPUTED_VALUE"""),"https://earth.google.com/web/search/-30.8984710249479,-55.5425166848929")</f>
        <v>https://earth.google.com/web/search/-30.8984710249479,-55.5425166848929</v>
      </c>
      <c r="H980" s="64"/>
      <c r="I980" s="64"/>
      <c r="J980" s="64"/>
      <c r="K980" s="64"/>
      <c r="L980" s="64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  <c r="X980" s="64"/>
      <c r="Y980" s="64"/>
      <c r="Z980" s="64"/>
    </row>
    <row r="981">
      <c r="A981" s="65" t="str">
        <f>IFERROR(__xludf.DUMMYFUNCTION("""COMPUTED_VALUE"""),"-30.8984955283851")</f>
        <v>-30.8984955283851</v>
      </c>
      <c r="B981" s="66" t="str">
        <f>IFERROR(__xludf.DUMMYFUNCTION("""COMPUTED_VALUE"""),"-55.5424455910643")</f>
        <v>-55.5424455910643</v>
      </c>
      <c r="C981" s="66">
        <f>IFERROR(__xludf.DUMMYFUNCTION("""COMPUTED_VALUE"""),1.0)</f>
        <v>1</v>
      </c>
      <c r="D981" s="66">
        <f>IFERROR(__xludf.DUMMYFUNCTION("""COMPUTED_VALUE"""),174.0)</f>
        <v>174</v>
      </c>
      <c r="E981" s="66">
        <f>IFERROR(__xludf.DUMMYFUNCTION("""COMPUTED_VALUE"""),5.0)</f>
        <v>5</v>
      </c>
      <c r="F981" s="67" t="str">
        <f>IFERROR(__xludf.DUMMYFUNCTION("""COMPUTED_VALUE"""),"https://www.google.com/maps/search/?api=1&amp;query=-30.8984955283851,-55.5424455910643")</f>
        <v>https://www.google.com/maps/search/?api=1&amp;query=-30.8984955283851,-55.5424455910643</v>
      </c>
      <c r="G981" s="68" t="str">
        <f>IFERROR(__xludf.DUMMYFUNCTION("""COMPUTED_VALUE"""),"https://earth.google.com/web/search/-30.8984955283851,-55.5424455910643")</f>
        <v>https://earth.google.com/web/search/-30.8984955283851,-55.5424455910643</v>
      </c>
      <c r="H981" s="64"/>
      <c r="I981" s="64"/>
      <c r="J981" s="64"/>
      <c r="K981" s="64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  <c r="X981" s="64"/>
      <c r="Y981" s="64"/>
      <c r="Z981" s="64"/>
    </row>
    <row r="982">
      <c r="A982" s="69" t="str">
        <f>IFERROR(__xludf.DUMMYFUNCTION("""COMPUTED_VALUE"""),"-30.8985469111315")</f>
        <v>-30.8985469111315</v>
      </c>
      <c r="B982" s="61" t="str">
        <f>IFERROR(__xludf.DUMMYFUNCTION("""COMPUTED_VALUE"""),"-55.5423976349703")</f>
        <v>-55.5423976349703</v>
      </c>
      <c r="C982" s="61">
        <f>IFERROR(__xludf.DUMMYFUNCTION("""COMPUTED_VALUE"""),1.0)</f>
        <v>1</v>
      </c>
      <c r="D982" s="61">
        <f>IFERROR(__xludf.DUMMYFUNCTION("""COMPUTED_VALUE"""),174.0)</f>
        <v>174</v>
      </c>
      <c r="E982" s="61">
        <f>IFERROR(__xludf.DUMMYFUNCTION("""COMPUTED_VALUE"""),6.0)</f>
        <v>6</v>
      </c>
      <c r="F982" s="62" t="str">
        <f>IFERROR(__xludf.DUMMYFUNCTION("""COMPUTED_VALUE"""),"https://www.google.com/maps/search/?api=1&amp;query=-30.8985469111315,-55.5423976349703")</f>
        <v>https://www.google.com/maps/search/?api=1&amp;query=-30.8985469111315,-55.5423976349703</v>
      </c>
      <c r="G982" s="63" t="str">
        <f>IFERROR(__xludf.DUMMYFUNCTION("""COMPUTED_VALUE"""),"https://earth.google.com/web/search/-30.8985469111315,-55.5423976349703")</f>
        <v>https://earth.google.com/web/search/-30.8985469111315,-55.5423976349703</v>
      </c>
      <c r="H982" s="64"/>
      <c r="I982" s="64"/>
      <c r="J982" s="64"/>
      <c r="K982" s="64"/>
      <c r="L982" s="64"/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  <c r="X982" s="64"/>
      <c r="Y982" s="64"/>
      <c r="Z982" s="64"/>
    </row>
    <row r="983">
      <c r="A983" s="65" t="str">
        <f>IFERROR(__xludf.DUMMYFUNCTION("""COMPUTED_VALUE"""),"-30.8985904581126")</f>
        <v>-30.8985904581126</v>
      </c>
      <c r="B983" s="66" t="str">
        <f>IFERROR(__xludf.DUMMYFUNCTION("""COMPUTED_VALUE"""),"-55.5422823215695")</f>
        <v>-55.5422823215695</v>
      </c>
      <c r="C983" s="66">
        <f>IFERROR(__xludf.DUMMYFUNCTION("""COMPUTED_VALUE"""),1.0)</f>
        <v>1</v>
      </c>
      <c r="D983" s="66">
        <f>IFERROR(__xludf.DUMMYFUNCTION("""COMPUTED_VALUE"""),174.0)</f>
        <v>174</v>
      </c>
      <c r="E983" s="66">
        <f>IFERROR(__xludf.DUMMYFUNCTION("""COMPUTED_VALUE"""),7.0)</f>
        <v>7</v>
      </c>
      <c r="F983" s="67" t="str">
        <f>IFERROR(__xludf.DUMMYFUNCTION("""COMPUTED_VALUE"""),"https://www.google.com/maps/search/?api=1&amp;query=-30.8985904581126,-55.5422823215695")</f>
        <v>https://www.google.com/maps/search/?api=1&amp;query=-30.8985904581126,-55.5422823215695</v>
      </c>
      <c r="G983" s="68" t="str">
        <f>IFERROR(__xludf.DUMMYFUNCTION("""COMPUTED_VALUE"""),"https://earth.google.com/web/search/-30.8985904581126,-55.5422823215695")</f>
        <v>https://earth.google.com/web/search/-30.8985904581126,-55.5422823215695</v>
      </c>
      <c r="H983" s="64"/>
      <c r="I983" s="64"/>
      <c r="J983" s="64"/>
      <c r="K983" s="64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  <c r="X983" s="64"/>
      <c r="Y983" s="64"/>
      <c r="Z983" s="64"/>
    </row>
    <row r="984">
      <c r="A984" s="69" t="str">
        <f>IFERROR(__xludf.DUMMYFUNCTION("""COMPUTED_VALUE"""),"-30.8986369391589")</f>
        <v>-30.8986369391589</v>
      </c>
      <c r="B984" s="61" t="str">
        <f>IFERROR(__xludf.DUMMYFUNCTION("""COMPUTED_VALUE"""),"-55.5421984870431")</f>
        <v>-55.5421984870431</v>
      </c>
      <c r="C984" s="61">
        <f>IFERROR(__xludf.DUMMYFUNCTION("""COMPUTED_VALUE"""),1.0)</f>
        <v>1</v>
      </c>
      <c r="D984" s="61">
        <f>IFERROR(__xludf.DUMMYFUNCTION("""COMPUTED_VALUE"""),174.0)</f>
        <v>174</v>
      </c>
      <c r="E984" s="61">
        <f>IFERROR(__xludf.DUMMYFUNCTION("""COMPUTED_VALUE"""),8.0)</f>
        <v>8</v>
      </c>
      <c r="F984" s="62" t="str">
        <f>IFERROR(__xludf.DUMMYFUNCTION("""COMPUTED_VALUE"""),"https://www.google.com/maps/search/?api=1&amp;query=-30.8986369391589,-55.5421984870431")</f>
        <v>https://www.google.com/maps/search/?api=1&amp;query=-30.8986369391589,-55.5421984870431</v>
      </c>
      <c r="G984" s="63" t="str">
        <f>IFERROR(__xludf.DUMMYFUNCTION("""COMPUTED_VALUE"""),"https://earth.google.com/web/search/-30.8986369391589,-55.5421984870431")</f>
        <v>https://earth.google.com/web/search/-30.8986369391589,-55.5421984870431</v>
      </c>
      <c r="H984" s="64"/>
      <c r="I984" s="64"/>
      <c r="J984" s="64"/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  <c r="X984" s="64"/>
      <c r="Y984" s="64"/>
      <c r="Z984" s="64"/>
    </row>
    <row r="985">
      <c r="A985" s="65" t="str">
        <f>IFERROR(__xludf.DUMMYFUNCTION("""COMPUTED_VALUE"""),"-30.8987859025406")</f>
        <v>-30.8987859025406</v>
      </c>
      <c r="B985" s="66" t="str">
        <f>IFERROR(__xludf.DUMMYFUNCTION("""COMPUTED_VALUE"""),"-55.5419173595468")</f>
        <v>-55.5419173595468</v>
      </c>
      <c r="C985" s="66">
        <f>IFERROR(__xludf.DUMMYFUNCTION("""COMPUTED_VALUE"""),1.0)</f>
        <v>1</v>
      </c>
      <c r="D985" s="66">
        <f>IFERROR(__xludf.DUMMYFUNCTION("""COMPUTED_VALUE"""),174.0)</f>
        <v>174</v>
      </c>
      <c r="E985" s="66">
        <f>IFERROR(__xludf.DUMMYFUNCTION("""COMPUTED_VALUE"""),9.0)</f>
        <v>9</v>
      </c>
      <c r="F985" s="67" t="str">
        <f>IFERROR(__xludf.DUMMYFUNCTION("""COMPUTED_VALUE"""),"https://www.google.com/maps/search/?api=1&amp;query=-30.8987859025406,-55.5419173595468")</f>
        <v>https://www.google.com/maps/search/?api=1&amp;query=-30.8987859025406,-55.5419173595468</v>
      </c>
      <c r="G985" s="68" t="str">
        <f>IFERROR(__xludf.DUMMYFUNCTION("""COMPUTED_VALUE"""),"https://earth.google.com/web/search/-30.8987859025406,-55.5419173595468")</f>
        <v>https://earth.google.com/web/search/-30.8987859025406,-55.5419173595468</v>
      </c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  <c r="X985" s="64"/>
      <c r="Y985" s="64"/>
      <c r="Z985" s="64"/>
    </row>
    <row r="986">
      <c r="A986" s="69" t="str">
        <f>IFERROR(__xludf.DUMMYFUNCTION("""COMPUTED_VALUE"""),"-30.8988174182227")</f>
        <v>-30.8988174182227</v>
      </c>
      <c r="B986" s="61" t="str">
        <f>IFERROR(__xludf.DUMMYFUNCTION("""COMPUTED_VALUE"""),"-55.5418609325364")</f>
        <v>-55.5418609325364</v>
      </c>
      <c r="C986" s="61">
        <f>IFERROR(__xludf.DUMMYFUNCTION("""COMPUTED_VALUE"""),1.0)</f>
        <v>1</v>
      </c>
      <c r="D986" s="61">
        <f>IFERROR(__xludf.DUMMYFUNCTION("""COMPUTED_VALUE"""),174.0)</f>
        <v>174</v>
      </c>
      <c r="E986" s="61">
        <f>IFERROR(__xludf.DUMMYFUNCTION("""COMPUTED_VALUE"""),10.0)</f>
        <v>10</v>
      </c>
      <c r="F986" s="62" t="str">
        <f>IFERROR(__xludf.DUMMYFUNCTION("""COMPUTED_VALUE"""),"https://www.google.com/maps/search/?api=1&amp;query=-30.8988174182227,-55.5418609325364")</f>
        <v>https://www.google.com/maps/search/?api=1&amp;query=-30.8988174182227,-55.5418609325364</v>
      </c>
      <c r="G986" s="63" t="str">
        <f>IFERROR(__xludf.DUMMYFUNCTION("""COMPUTED_VALUE"""),"https://earth.google.com/web/search/-30.8988174182227,-55.5418609325364")</f>
        <v>https://earth.google.com/web/search/-30.8988174182227,-55.5418609325364</v>
      </c>
      <c r="H986" s="64"/>
      <c r="I986" s="64"/>
      <c r="J986" s="64"/>
      <c r="K986" s="64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  <c r="X986" s="64"/>
      <c r="Y986" s="64"/>
      <c r="Z986" s="64"/>
    </row>
    <row r="987">
      <c r="A987" s="65" t="str">
        <f>IFERROR(__xludf.DUMMYFUNCTION("""COMPUTED_VALUE"""),"-30.8988591655099")</f>
        <v>-30.8988591655099</v>
      </c>
      <c r="B987" s="66" t="str">
        <f>IFERROR(__xludf.DUMMYFUNCTION("""COMPUTED_VALUE"""),"-55.5417858677233")</f>
        <v>-55.5417858677233</v>
      </c>
      <c r="C987" s="66">
        <f>IFERROR(__xludf.DUMMYFUNCTION("""COMPUTED_VALUE"""),1.0)</f>
        <v>1</v>
      </c>
      <c r="D987" s="66">
        <f>IFERROR(__xludf.DUMMYFUNCTION("""COMPUTED_VALUE"""),174.0)</f>
        <v>174</v>
      </c>
      <c r="E987" s="66">
        <f>IFERROR(__xludf.DUMMYFUNCTION("""COMPUTED_VALUE"""),11.0)</f>
        <v>11</v>
      </c>
      <c r="F987" s="67" t="str">
        <f>IFERROR(__xludf.DUMMYFUNCTION("""COMPUTED_VALUE"""),"https://www.google.com/maps/search/?api=1&amp;query=-30.8988591655099,-55.5417858677233")</f>
        <v>https://www.google.com/maps/search/?api=1&amp;query=-30.8988591655099,-55.5417858677233</v>
      </c>
      <c r="G987" s="68" t="str">
        <f>IFERROR(__xludf.DUMMYFUNCTION("""COMPUTED_VALUE"""),"https://earth.google.com/web/search/-30.8988591655099,-55.5417858677233")</f>
        <v>https://earth.google.com/web/search/-30.8988591655099,-55.5417858677233</v>
      </c>
      <c r="H987" s="64"/>
      <c r="I987" s="64"/>
      <c r="J987" s="64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  <c r="X987" s="64"/>
      <c r="Y987" s="64"/>
      <c r="Z987" s="64"/>
    </row>
    <row r="988">
      <c r="A988" s="69" t="str">
        <f>IFERROR(__xludf.DUMMYFUNCTION("""COMPUTED_VALUE"""),"-30.8984402163921")</f>
        <v>-30.8984402163921</v>
      </c>
      <c r="B988" s="61" t="str">
        <f>IFERROR(__xludf.DUMMYFUNCTION("""COMPUTED_VALUE"""),"-55.5414314085893")</f>
        <v>-55.5414314085893</v>
      </c>
      <c r="C988" s="61">
        <f>IFERROR(__xludf.DUMMYFUNCTION("""COMPUTED_VALUE"""),1.0)</f>
        <v>1</v>
      </c>
      <c r="D988" s="61">
        <f>IFERROR(__xludf.DUMMYFUNCTION("""COMPUTED_VALUE"""),174.0)</f>
        <v>174</v>
      </c>
      <c r="E988" s="61">
        <f>IFERROR(__xludf.DUMMYFUNCTION("""COMPUTED_VALUE"""),12.0)</f>
        <v>12</v>
      </c>
      <c r="F988" s="62" t="str">
        <f>IFERROR(__xludf.DUMMYFUNCTION("""COMPUTED_VALUE"""),"https://www.google.com/maps/search/?api=1&amp;query=-30.8984402163921,-55.5414314085893")</f>
        <v>https://www.google.com/maps/search/?api=1&amp;query=-30.8984402163921,-55.5414314085893</v>
      </c>
      <c r="G988" s="63" t="str">
        <f>IFERROR(__xludf.DUMMYFUNCTION("""COMPUTED_VALUE"""),"https://earth.google.com/web/search/-30.8984402163921,-55.5414314085893")</f>
        <v>https://earth.google.com/web/search/-30.8984402163921,-55.5414314085893</v>
      </c>
      <c r="H988" s="64"/>
      <c r="I988" s="64"/>
      <c r="J988" s="64"/>
      <c r="K988" s="64"/>
      <c r="L988" s="64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  <c r="X988" s="64"/>
      <c r="Y988" s="64"/>
      <c r="Z988" s="64"/>
    </row>
    <row r="989">
      <c r="A989" s="65" t="str">
        <f>IFERROR(__xludf.DUMMYFUNCTION("""COMPUTED_VALUE"""),"-30.8983097532202")</f>
        <v>-30.8983097532202</v>
      </c>
      <c r="B989" s="66" t="str">
        <f>IFERROR(__xludf.DUMMYFUNCTION("""COMPUTED_VALUE"""),"-55.5413330252179")</f>
        <v>-55.5413330252179</v>
      </c>
      <c r="C989" s="66">
        <f>IFERROR(__xludf.DUMMYFUNCTION("""COMPUTED_VALUE"""),1.0)</f>
        <v>1</v>
      </c>
      <c r="D989" s="66">
        <f>IFERROR(__xludf.DUMMYFUNCTION("""COMPUTED_VALUE"""),174.0)</f>
        <v>174</v>
      </c>
      <c r="E989" s="66">
        <f>IFERROR(__xludf.DUMMYFUNCTION("""COMPUTED_VALUE"""),13.0)</f>
        <v>13</v>
      </c>
      <c r="F989" s="67" t="str">
        <f>IFERROR(__xludf.DUMMYFUNCTION("""COMPUTED_VALUE"""),"https://www.google.com/maps/search/?api=1&amp;query=-30.8983097532202,-55.5413330252179")</f>
        <v>https://www.google.com/maps/search/?api=1&amp;query=-30.8983097532202,-55.5413330252179</v>
      </c>
      <c r="G989" s="68" t="str">
        <f>IFERROR(__xludf.DUMMYFUNCTION("""COMPUTED_VALUE"""),"https://earth.google.com/web/search/-30.8983097532202,-55.5413330252179")</f>
        <v>https://earth.google.com/web/search/-30.8983097532202,-55.5413330252179</v>
      </c>
      <c r="H989" s="64"/>
      <c r="I989" s="64"/>
      <c r="J989" s="64"/>
      <c r="K989" s="64"/>
      <c r="L989" s="64"/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  <c r="X989" s="64"/>
      <c r="Y989" s="64"/>
      <c r="Z989" s="64"/>
    </row>
    <row r="990">
      <c r="A990" s="69" t="str">
        <f>IFERROR(__xludf.DUMMYFUNCTION("""COMPUTED_VALUE"""),"-30.8981107392081")</f>
        <v>-30.8981107392081</v>
      </c>
      <c r="B990" s="61" t="str">
        <f>IFERROR(__xludf.DUMMYFUNCTION("""COMPUTED_VALUE"""),"-55.5413705181441")</f>
        <v>-55.5413705181441</v>
      </c>
      <c r="C990" s="61">
        <f>IFERROR(__xludf.DUMMYFUNCTION("""COMPUTED_VALUE"""),1.0)</f>
        <v>1</v>
      </c>
      <c r="D990" s="61">
        <f>IFERROR(__xludf.DUMMYFUNCTION("""COMPUTED_VALUE"""),174.0)</f>
        <v>174</v>
      </c>
      <c r="E990" s="61">
        <f>IFERROR(__xludf.DUMMYFUNCTION("""COMPUTED_VALUE"""),14.0)</f>
        <v>14</v>
      </c>
      <c r="F990" s="62" t="str">
        <f>IFERROR(__xludf.DUMMYFUNCTION("""COMPUTED_VALUE"""),"https://www.google.com/maps/search/?api=1&amp;query=-30.8981107392081,-55.5413705181441")</f>
        <v>https://www.google.com/maps/search/?api=1&amp;query=-30.8981107392081,-55.5413705181441</v>
      </c>
      <c r="G990" s="63" t="str">
        <f>IFERROR(__xludf.DUMMYFUNCTION("""COMPUTED_VALUE"""),"https://earth.google.com/web/search/-30.8981107392081,-55.5413705181441")</f>
        <v>https://earth.google.com/web/search/-30.8981107392081,-55.5413705181441</v>
      </c>
      <c r="H990" s="64"/>
      <c r="I990" s="64"/>
      <c r="J990" s="64"/>
      <c r="K990" s="64"/>
      <c r="L990" s="64"/>
      <c r="M990" s="64"/>
      <c r="N990" s="64"/>
      <c r="O990" s="64"/>
      <c r="P990" s="64"/>
      <c r="Q990" s="64"/>
      <c r="R990" s="64"/>
      <c r="S990" s="64"/>
      <c r="T990" s="64"/>
      <c r="U990" s="64"/>
      <c r="V990" s="64"/>
      <c r="W990" s="64"/>
      <c r="X990" s="64"/>
      <c r="Y990" s="64"/>
      <c r="Z990" s="64"/>
    </row>
    <row r="991">
      <c r="A991" s="65" t="str">
        <f>IFERROR(__xludf.DUMMYFUNCTION("""COMPUTED_VALUE"""),"-30.8980695284718")</f>
        <v>-30.8980695284718</v>
      </c>
      <c r="B991" s="66" t="str">
        <f>IFERROR(__xludf.DUMMYFUNCTION("""COMPUTED_VALUE"""),"-55.5414437253582")</f>
        <v>-55.5414437253582</v>
      </c>
      <c r="C991" s="66">
        <f>IFERROR(__xludf.DUMMYFUNCTION("""COMPUTED_VALUE"""),1.0)</f>
        <v>1</v>
      </c>
      <c r="D991" s="66">
        <f>IFERROR(__xludf.DUMMYFUNCTION("""COMPUTED_VALUE"""),174.0)</f>
        <v>174</v>
      </c>
      <c r="E991" s="66">
        <f>IFERROR(__xludf.DUMMYFUNCTION("""COMPUTED_VALUE"""),15.0)</f>
        <v>15</v>
      </c>
      <c r="F991" s="67" t="str">
        <f>IFERROR(__xludf.DUMMYFUNCTION("""COMPUTED_VALUE"""),"https://www.google.com/maps/search/?api=1&amp;query=-30.8980695284718,-55.5414437253582")</f>
        <v>https://www.google.com/maps/search/?api=1&amp;query=-30.8980695284718,-55.5414437253582</v>
      </c>
      <c r="G991" s="68" t="str">
        <f>IFERROR(__xludf.DUMMYFUNCTION("""COMPUTED_VALUE"""),"https://earth.google.com/web/search/-30.8980695284718,-55.5414437253582")</f>
        <v>https://earth.google.com/web/search/-30.8980695284718,-55.5414437253582</v>
      </c>
      <c r="H991" s="64"/>
      <c r="I991" s="64"/>
      <c r="J991" s="64"/>
      <c r="K991" s="64"/>
      <c r="L991" s="64"/>
      <c r="M991" s="64"/>
      <c r="N991" s="64"/>
      <c r="O991" s="64"/>
      <c r="P991" s="64"/>
      <c r="Q991" s="64"/>
      <c r="R991" s="64"/>
      <c r="S991" s="64"/>
      <c r="T991" s="64"/>
      <c r="U991" s="64"/>
      <c r="V991" s="64"/>
      <c r="W991" s="64"/>
      <c r="X991" s="64"/>
      <c r="Y991" s="64"/>
      <c r="Z991" s="64"/>
    </row>
    <row r="992">
      <c r="A992" s="69" t="str">
        <f>IFERROR(__xludf.DUMMYFUNCTION("""COMPUTED_VALUE"""),"-30.8979630628458")</f>
        <v>-30.8979630628458</v>
      </c>
      <c r="B992" s="61" t="str">
        <f>IFERROR(__xludf.DUMMYFUNCTION("""COMPUTED_VALUE"""),"-55.5416409333335")</f>
        <v>-55.5416409333335</v>
      </c>
      <c r="C992" s="61">
        <f>IFERROR(__xludf.DUMMYFUNCTION("""COMPUTED_VALUE"""),1.0)</f>
        <v>1</v>
      </c>
      <c r="D992" s="61">
        <f>IFERROR(__xludf.DUMMYFUNCTION("""COMPUTED_VALUE"""),174.0)</f>
        <v>174</v>
      </c>
      <c r="E992" s="61">
        <f>IFERROR(__xludf.DUMMYFUNCTION("""COMPUTED_VALUE"""),16.0)</f>
        <v>16</v>
      </c>
      <c r="F992" s="62" t="str">
        <f>IFERROR(__xludf.DUMMYFUNCTION("""COMPUTED_VALUE"""),"https://www.google.com/maps/search/?api=1&amp;query=-30.8979630628458,-55.5416409333335")</f>
        <v>https://www.google.com/maps/search/?api=1&amp;query=-30.8979630628458,-55.5416409333335</v>
      </c>
      <c r="G992" s="63" t="str">
        <f>IFERROR(__xludf.DUMMYFUNCTION("""COMPUTED_VALUE"""),"https://earth.google.com/web/search/-30.8979630628458,-55.5416409333335")</f>
        <v>https://earth.google.com/web/search/-30.8979630628458,-55.5416409333335</v>
      </c>
      <c r="H992" s="64"/>
      <c r="I992" s="64"/>
      <c r="J992" s="64"/>
      <c r="K992" s="64"/>
      <c r="L992" s="64"/>
      <c r="M992" s="64"/>
      <c r="N992" s="64"/>
      <c r="O992" s="64"/>
      <c r="P992" s="64"/>
      <c r="Q992" s="64"/>
      <c r="R992" s="64"/>
      <c r="S992" s="64"/>
      <c r="T992" s="64"/>
      <c r="U992" s="64"/>
      <c r="V992" s="64"/>
      <c r="W992" s="64"/>
      <c r="X992" s="64"/>
      <c r="Y992" s="64"/>
      <c r="Z992" s="64"/>
    </row>
    <row r="993">
      <c r="A993" s="65" t="str">
        <f>IFERROR(__xludf.DUMMYFUNCTION("""COMPUTED_VALUE"""),"-30.8979213020731")</f>
        <v>-30.8979213020731</v>
      </c>
      <c r="B993" s="66" t="str">
        <f>IFERROR(__xludf.DUMMYFUNCTION("""COMPUTED_VALUE"""),"-55.5417048358892")</f>
        <v>-55.5417048358892</v>
      </c>
      <c r="C993" s="66">
        <f>IFERROR(__xludf.DUMMYFUNCTION("""COMPUTED_VALUE"""),1.0)</f>
        <v>1</v>
      </c>
      <c r="D993" s="66">
        <f>IFERROR(__xludf.DUMMYFUNCTION("""COMPUTED_VALUE"""),174.0)</f>
        <v>174</v>
      </c>
      <c r="E993" s="66">
        <f>IFERROR(__xludf.DUMMYFUNCTION("""COMPUTED_VALUE"""),17.0)</f>
        <v>17</v>
      </c>
      <c r="F993" s="67" t="str">
        <f>IFERROR(__xludf.DUMMYFUNCTION("""COMPUTED_VALUE"""),"https://www.google.com/maps/search/?api=1&amp;query=-30.8979213020731,-55.5417048358892")</f>
        <v>https://www.google.com/maps/search/?api=1&amp;query=-30.8979213020731,-55.5417048358892</v>
      </c>
      <c r="G993" s="68" t="str">
        <f>IFERROR(__xludf.DUMMYFUNCTION("""COMPUTED_VALUE"""),"https://earth.google.com/web/search/-30.8979213020731,-55.5417048358892")</f>
        <v>https://earth.google.com/web/search/-30.8979213020731,-55.5417048358892</v>
      </c>
      <c r="H993" s="64"/>
      <c r="I993" s="64"/>
      <c r="J993" s="64"/>
      <c r="K993" s="64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  <c r="X993" s="64"/>
      <c r="Y993" s="64"/>
      <c r="Z993" s="64"/>
    </row>
    <row r="994">
      <c r="A994" s="69" t="str">
        <f>IFERROR(__xludf.DUMMYFUNCTION("""COMPUTED_VALUE"""),"-30.8977949518116")</f>
        <v>-30.8977949518116</v>
      </c>
      <c r="B994" s="61" t="str">
        <f>IFERROR(__xludf.DUMMYFUNCTION("""COMPUTED_VALUE"""),"-55.5419658525365")</f>
        <v>-55.5419658525365</v>
      </c>
      <c r="C994" s="61">
        <f>IFERROR(__xludf.DUMMYFUNCTION("""COMPUTED_VALUE"""),1.0)</f>
        <v>1</v>
      </c>
      <c r="D994" s="61">
        <f>IFERROR(__xludf.DUMMYFUNCTION("""COMPUTED_VALUE"""),174.0)</f>
        <v>174</v>
      </c>
      <c r="E994" s="61">
        <f>IFERROR(__xludf.DUMMYFUNCTION("""COMPUTED_VALUE"""),18.0)</f>
        <v>18</v>
      </c>
      <c r="F994" s="62" t="str">
        <f>IFERROR(__xludf.DUMMYFUNCTION("""COMPUTED_VALUE"""),"https://www.google.com/maps/search/?api=1&amp;query=-30.8977949518116,-55.5419658525365")</f>
        <v>https://www.google.com/maps/search/?api=1&amp;query=-30.8977949518116,-55.5419658525365</v>
      </c>
      <c r="G994" s="63" t="str">
        <f>IFERROR(__xludf.DUMMYFUNCTION("""COMPUTED_VALUE"""),"https://earth.google.com/web/search/-30.8977949518116,-55.5419658525365")</f>
        <v>https://earth.google.com/web/search/-30.8977949518116,-55.5419658525365</v>
      </c>
      <c r="H994" s="64"/>
      <c r="I994" s="64"/>
      <c r="J994" s="64"/>
      <c r="K994" s="64"/>
      <c r="L994" s="64"/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  <c r="X994" s="64"/>
      <c r="Y994" s="64"/>
      <c r="Z994" s="64"/>
    </row>
    <row r="995">
      <c r="A995" s="65" t="str">
        <f>IFERROR(__xludf.DUMMYFUNCTION("""COMPUTED_VALUE"""),"-30.9006041569498")</f>
        <v>-30.9006041569498</v>
      </c>
      <c r="B995" s="66" t="str">
        <f>IFERROR(__xludf.DUMMYFUNCTION("""COMPUTED_VALUE"""),"-55.5364623390118")</f>
        <v>-55.5364623390118</v>
      </c>
      <c r="C995" s="66">
        <f>IFERROR(__xludf.DUMMYFUNCTION("""COMPUTED_VALUE"""),1.0)</f>
        <v>1</v>
      </c>
      <c r="D995" s="66">
        <f>IFERROR(__xludf.DUMMYFUNCTION("""COMPUTED_VALUE"""),129.0)</f>
        <v>129</v>
      </c>
      <c r="E995" s="66">
        <f>IFERROR(__xludf.DUMMYFUNCTION("""COMPUTED_VALUE"""),1.0)</f>
        <v>1</v>
      </c>
      <c r="F995" s="67" t="str">
        <f>IFERROR(__xludf.DUMMYFUNCTION("""COMPUTED_VALUE"""),"https://www.google.com/maps/search/?api=1&amp;query=-30.9006041569498,-55.5364623390118")</f>
        <v>https://www.google.com/maps/search/?api=1&amp;query=-30.9006041569498,-55.5364623390118</v>
      </c>
      <c r="G995" s="68" t="str">
        <f>IFERROR(__xludf.DUMMYFUNCTION("""COMPUTED_VALUE"""),"https://earth.google.com/web/search/-30.9006041569498,-55.5364623390118")</f>
        <v>https://earth.google.com/web/search/-30.9006041569498,-55.5364623390118</v>
      </c>
      <c r="H995" s="64"/>
      <c r="I995" s="64"/>
      <c r="J995" s="64"/>
      <c r="K995" s="64"/>
      <c r="L995" s="64"/>
      <c r="M995" s="64"/>
      <c r="N995" s="64"/>
      <c r="O995" s="64"/>
      <c r="P995" s="64"/>
      <c r="Q995" s="64"/>
      <c r="R995" s="64"/>
      <c r="S995" s="64"/>
      <c r="T995" s="64"/>
      <c r="U995" s="64"/>
      <c r="V995" s="64"/>
      <c r="W995" s="64"/>
      <c r="X995" s="64"/>
      <c r="Y995" s="64"/>
      <c r="Z995" s="64"/>
    </row>
    <row r="996">
      <c r="A996" s="69" t="str">
        <f>IFERROR(__xludf.DUMMYFUNCTION("""COMPUTED_VALUE"""),"-30.9007036655686")</f>
        <v>-30.9007036655686</v>
      </c>
      <c r="B996" s="61" t="str">
        <f>IFERROR(__xludf.DUMMYFUNCTION("""COMPUTED_VALUE"""),"-55.5362660651799")</f>
        <v>-55.5362660651799</v>
      </c>
      <c r="C996" s="61">
        <f>IFERROR(__xludf.DUMMYFUNCTION("""COMPUTED_VALUE"""),1.0)</f>
        <v>1</v>
      </c>
      <c r="D996" s="61">
        <f>IFERROR(__xludf.DUMMYFUNCTION("""COMPUTED_VALUE"""),129.0)</f>
        <v>129</v>
      </c>
      <c r="E996" s="61">
        <f>IFERROR(__xludf.DUMMYFUNCTION("""COMPUTED_VALUE"""),2.0)</f>
        <v>2</v>
      </c>
      <c r="F996" s="62" t="str">
        <f>IFERROR(__xludf.DUMMYFUNCTION("""COMPUTED_VALUE"""),"https://www.google.com/maps/search/?api=1&amp;query=-30.9007036655686,-55.5362660651799")</f>
        <v>https://www.google.com/maps/search/?api=1&amp;query=-30.9007036655686,-55.5362660651799</v>
      </c>
      <c r="G996" s="63" t="str">
        <f>IFERROR(__xludf.DUMMYFUNCTION("""COMPUTED_VALUE"""),"https://earth.google.com/web/search/-30.9007036655686,-55.5362660651799")</f>
        <v>https://earth.google.com/web/search/-30.9007036655686,-55.5362660651799</v>
      </c>
      <c r="H996" s="64"/>
      <c r="I996" s="64"/>
      <c r="J996" s="64"/>
      <c r="K996" s="64"/>
      <c r="L996" s="64"/>
      <c r="M996" s="64"/>
      <c r="N996" s="64"/>
      <c r="O996" s="64"/>
      <c r="P996" s="64"/>
      <c r="Q996" s="64"/>
      <c r="R996" s="64"/>
      <c r="S996" s="64"/>
      <c r="T996" s="64"/>
      <c r="U996" s="64"/>
      <c r="V996" s="64"/>
      <c r="W996" s="64"/>
      <c r="X996" s="64"/>
      <c r="Y996" s="64"/>
      <c r="Z996" s="64"/>
    </row>
    <row r="997">
      <c r="A997" s="65" t="str">
        <f>IFERROR(__xludf.DUMMYFUNCTION("""COMPUTED_VALUE"""),"-30.9007445565416")</f>
        <v>-30.9007445565416</v>
      </c>
      <c r="B997" s="66" t="str">
        <f>IFERROR(__xludf.DUMMYFUNCTION("""COMPUTED_VALUE"""),"-55.5361836496907")</f>
        <v>-55.5361836496907</v>
      </c>
      <c r="C997" s="66">
        <f>IFERROR(__xludf.DUMMYFUNCTION("""COMPUTED_VALUE"""),1.0)</f>
        <v>1</v>
      </c>
      <c r="D997" s="66">
        <f>IFERROR(__xludf.DUMMYFUNCTION("""COMPUTED_VALUE"""),129.0)</f>
        <v>129</v>
      </c>
      <c r="E997" s="66">
        <f>IFERROR(__xludf.DUMMYFUNCTION("""COMPUTED_VALUE"""),3.0)</f>
        <v>3</v>
      </c>
      <c r="F997" s="67" t="str">
        <f>IFERROR(__xludf.DUMMYFUNCTION("""COMPUTED_VALUE"""),"https://www.google.com/maps/search/?api=1&amp;query=-30.9007445565416,-55.5361836496907")</f>
        <v>https://www.google.com/maps/search/?api=1&amp;query=-30.9007445565416,-55.5361836496907</v>
      </c>
      <c r="G997" s="68" t="str">
        <f>IFERROR(__xludf.DUMMYFUNCTION("""COMPUTED_VALUE"""),"https://earth.google.com/web/search/-30.9007445565416,-55.5361836496907")</f>
        <v>https://earth.google.com/web/search/-30.9007445565416,-55.5361836496907</v>
      </c>
      <c r="H997" s="64"/>
      <c r="I997" s="64"/>
      <c r="J997" s="64"/>
      <c r="K997" s="64"/>
      <c r="L997" s="64"/>
      <c r="M997" s="64"/>
      <c r="N997" s="64"/>
      <c r="O997" s="64"/>
      <c r="P997" s="64"/>
      <c r="Q997" s="64"/>
      <c r="R997" s="64"/>
      <c r="S997" s="64"/>
      <c r="T997" s="64"/>
      <c r="U997" s="64"/>
      <c r="V997" s="64"/>
      <c r="W997" s="64"/>
      <c r="X997" s="64"/>
      <c r="Y997" s="64"/>
      <c r="Z997" s="64"/>
    </row>
    <row r="998">
      <c r="A998" s="69" t="str">
        <f>IFERROR(__xludf.DUMMYFUNCTION("""COMPUTED_VALUE"""),"-30.9008207136681")</f>
        <v>-30.9008207136681</v>
      </c>
      <c r="B998" s="61" t="str">
        <f>IFERROR(__xludf.DUMMYFUNCTION("""COMPUTED_VALUE"""),"-55.5360592922928")</f>
        <v>-55.5360592922928</v>
      </c>
      <c r="C998" s="61">
        <f>IFERROR(__xludf.DUMMYFUNCTION("""COMPUTED_VALUE"""),1.0)</f>
        <v>1</v>
      </c>
      <c r="D998" s="61">
        <f>IFERROR(__xludf.DUMMYFUNCTION("""COMPUTED_VALUE"""),129.0)</f>
        <v>129</v>
      </c>
      <c r="E998" s="61">
        <f>IFERROR(__xludf.DUMMYFUNCTION("""COMPUTED_VALUE"""),4.0)</f>
        <v>4</v>
      </c>
      <c r="F998" s="62" t="str">
        <f>IFERROR(__xludf.DUMMYFUNCTION("""COMPUTED_VALUE"""),"https://www.google.com/maps/search/?api=1&amp;query=-30.9008207136681,-55.5360592922928")</f>
        <v>https://www.google.com/maps/search/?api=1&amp;query=-30.9008207136681,-55.5360592922928</v>
      </c>
      <c r="G998" s="63" t="str">
        <f>IFERROR(__xludf.DUMMYFUNCTION("""COMPUTED_VALUE"""),"https://earth.google.com/web/search/-30.9008207136681,-55.5360592922928")</f>
        <v>https://earth.google.com/web/search/-30.9008207136681,-55.5360592922928</v>
      </c>
      <c r="H998" s="64"/>
      <c r="I998" s="64"/>
      <c r="J998" s="64"/>
      <c r="K998" s="64"/>
      <c r="L998" s="64"/>
      <c r="M998" s="64"/>
      <c r="N998" s="64"/>
      <c r="O998" s="64"/>
      <c r="P998" s="64"/>
      <c r="Q998" s="64"/>
      <c r="R998" s="64"/>
      <c r="S998" s="64"/>
      <c r="T998" s="64"/>
      <c r="U998" s="64"/>
      <c r="V998" s="64"/>
      <c r="W998" s="64"/>
      <c r="X998" s="64"/>
      <c r="Y998" s="64"/>
      <c r="Z998" s="64"/>
    </row>
    <row r="999">
      <c r="A999" s="65" t="str">
        <f>IFERROR(__xludf.DUMMYFUNCTION("""COMPUTED_VALUE"""),"-3.0900872656184")</f>
        <v>-3.0900872656184</v>
      </c>
      <c r="B999" s="66" t="str">
        <f>IFERROR(__xludf.DUMMYFUNCTION("""COMPUTED_VALUE"""),"-55.5359413280977")</f>
        <v>-55.5359413280977</v>
      </c>
      <c r="C999" s="66">
        <f>IFERROR(__xludf.DUMMYFUNCTION("""COMPUTED_VALUE"""),1.0)</f>
        <v>1</v>
      </c>
      <c r="D999" s="66">
        <f>IFERROR(__xludf.DUMMYFUNCTION("""COMPUTED_VALUE"""),129.0)</f>
        <v>129</v>
      </c>
      <c r="E999" s="66">
        <f>IFERROR(__xludf.DUMMYFUNCTION("""COMPUTED_VALUE"""),5.0)</f>
        <v>5</v>
      </c>
      <c r="F999" s="67" t="str">
        <f>IFERROR(__xludf.DUMMYFUNCTION("""COMPUTED_VALUE"""),"https://www.google.com/maps/search/?api=1&amp;query=-3.0900872656184,-55.5359413280977")</f>
        <v>https://www.google.com/maps/search/?api=1&amp;query=-3.0900872656184,-55.5359413280977</v>
      </c>
      <c r="G999" s="68" t="str">
        <f>IFERROR(__xludf.DUMMYFUNCTION("""COMPUTED_VALUE"""),"https://earth.google.com/web/search/-3.0900872656184,-55.5359413280977")</f>
        <v>https://earth.google.com/web/search/-3.0900872656184,-55.5359413280977</v>
      </c>
      <c r="H999" s="64"/>
      <c r="I999" s="64"/>
      <c r="J999" s="64"/>
      <c r="K999" s="64"/>
      <c r="L999" s="64"/>
      <c r="M999" s="64"/>
      <c r="N999" s="64"/>
      <c r="O999" s="64"/>
      <c r="P999" s="64"/>
      <c r="Q999" s="64"/>
      <c r="R999" s="64"/>
      <c r="S999" s="64"/>
      <c r="T999" s="64"/>
      <c r="U999" s="64"/>
      <c r="V999" s="64"/>
      <c r="W999" s="64"/>
      <c r="X999" s="64"/>
      <c r="Y999" s="64"/>
      <c r="Z999" s="64"/>
    </row>
    <row r="1000">
      <c r="A1000" s="69" t="str">
        <f>IFERROR(__xludf.DUMMYFUNCTION("""COMPUTED_VALUE"""),"-30.9008234050176")</f>
        <v>-30.9008234050176</v>
      </c>
      <c r="B1000" s="61" t="str">
        <f>IFERROR(__xludf.DUMMYFUNCTION("""COMPUTED_VALUE"""),"-0.5553557778185")</f>
        <v>-0.5553557778185</v>
      </c>
      <c r="C1000" s="61">
        <f>IFERROR(__xludf.DUMMYFUNCTION("""COMPUTED_VALUE"""),1.0)</f>
        <v>1</v>
      </c>
      <c r="D1000" s="61">
        <f>IFERROR(__xludf.DUMMYFUNCTION("""COMPUTED_VALUE"""),129.0)</f>
        <v>129</v>
      </c>
      <c r="E1000" s="61">
        <f>IFERROR(__xludf.DUMMYFUNCTION("""COMPUTED_VALUE"""),6.0)</f>
        <v>6</v>
      </c>
      <c r="F1000" s="62" t="str">
        <f>IFERROR(__xludf.DUMMYFUNCTION("""COMPUTED_VALUE"""),"https://www.google.com/maps/search/?api=1&amp;query=-30.9008234050176,-0.5553557778185")</f>
        <v>https://www.google.com/maps/search/?api=1&amp;query=-30.9008234050176,-0.5553557778185</v>
      </c>
      <c r="G1000" s="63" t="str">
        <f>IFERROR(__xludf.DUMMYFUNCTION("""COMPUTED_VALUE"""),"https://earth.google.com/web/search/-30.9008234050176,-0.5553557778185")</f>
        <v>https://earth.google.com/web/search/-30.9008234050176,-0.5553557778185</v>
      </c>
      <c r="H1000" s="64"/>
      <c r="I1000" s="64"/>
      <c r="J1000" s="64"/>
      <c r="K1000" s="64"/>
      <c r="L1000" s="64"/>
      <c r="M1000" s="64"/>
      <c r="N1000" s="64"/>
      <c r="O1000" s="64"/>
      <c r="P1000" s="64"/>
      <c r="Q1000" s="64"/>
      <c r="R1000" s="64"/>
      <c r="S1000" s="64"/>
      <c r="T1000" s="64"/>
      <c r="U1000" s="64"/>
      <c r="V1000" s="64"/>
      <c r="W1000" s="64"/>
      <c r="X1000" s="64"/>
      <c r="Y1000" s="64"/>
      <c r="Z1000" s="64"/>
    </row>
    <row r="1001">
      <c r="A1001" s="65" t="str">
        <f>IFERROR(__xludf.DUMMYFUNCTION("""COMPUTED_VALUE"""),"-3.0900723640044")</f>
        <v>-3.0900723640044</v>
      </c>
      <c r="B1001" s="66" t="str">
        <f>IFERROR(__xludf.DUMMYFUNCTION("""COMPUTED_VALUE"""),"-55.5355054407966")</f>
        <v>-55.5355054407966</v>
      </c>
      <c r="C1001" s="66">
        <f>IFERROR(__xludf.DUMMYFUNCTION("""COMPUTED_VALUE"""),1.0)</f>
        <v>1</v>
      </c>
      <c r="D1001" s="66">
        <f>IFERROR(__xludf.DUMMYFUNCTION("""COMPUTED_VALUE"""),129.0)</f>
        <v>129</v>
      </c>
      <c r="E1001" s="66">
        <f>IFERROR(__xludf.DUMMYFUNCTION("""COMPUTED_VALUE"""),7.0)</f>
        <v>7</v>
      </c>
      <c r="F1001" s="67" t="str">
        <f>IFERROR(__xludf.DUMMYFUNCTION("""COMPUTED_VALUE"""),"https://www.google.com/maps/search/?api=1&amp;query=-3.0900723640044,-55.5355054407966")</f>
        <v>https://www.google.com/maps/search/?api=1&amp;query=-3.0900723640044,-55.5355054407966</v>
      </c>
      <c r="G1001" s="68" t="str">
        <f>IFERROR(__xludf.DUMMYFUNCTION("""COMPUTED_VALUE"""),"https://earth.google.com/web/search/-3.0900723640044,-55.5355054407966")</f>
        <v>https://earth.google.com/web/search/-3.0900723640044,-55.5355054407966</v>
      </c>
      <c r="H1001" s="64"/>
      <c r="I1001" s="64"/>
      <c r="J1001" s="64"/>
      <c r="K1001" s="64"/>
      <c r="L1001" s="64"/>
      <c r="M1001" s="64"/>
      <c r="N1001" s="64"/>
      <c r="O1001" s="64"/>
      <c r="P1001" s="64"/>
      <c r="Q1001" s="64"/>
      <c r="R1001" s="64"/>
      <c r="S1001" s="64"/>
      <c r="T1001" s="64"/>
      <c r="U1001" s="64"/>
      <c r="V1001" s="64"/>
      <c r="W1001" s="64"/>
      <c r="X1001" s="64"/>
      <c r="Y1001" s="64"/>
      <c r="Z1001" s="64"/>
    </row>
    <row r="1002">
      <c r="A1002" s="69" t="str">
        <f>IFERROR(__xludf.DUMMYFUNCTION("""COMPUTED_VALUE"""),"-30.9006436148234")</f>
        <v>-30.9006436148234</v>
      </c>
      <c r="B1002" s="61" t="str">
        <f>IFERROR(__xludf.DUMMYFUNCTION("""COMPUTED_VALUE"""),"-55.5354530583077")</f>
        <v>-55.5354530583077</v>
      </c>
      <c r="C1002" s="61">
        <f>IFERROR(__xludf.DUMMYFUNCTION("""COMPUTED_VALUE"""),1.0)</f>
        <v>1</v>
      </c>
      <c r="D1002" s="61">
        <f>IFERROR(__xludf.DUMMYFUNCTION("""COMPUTED_VALUE"""),129.0)</f>
        <v>129</v>
      </c>
      <c r="E1002" s="61">
        <f>IFERROR(__xludf.DUMMYFUNCTION("""COMPUTED_VALUE"""),8.0)</f>
        <v>8</v>
      </c>
      <c r="F1002" s="62" t="str">
        <f>IFERROR(__xludf.DUMMYFUNCTION("""COMPUTED_VALUE"""),"https://www.google.com/maps/search/?api=1&amp;query=-30.9006436148234,-55.5354530583077")</f>
        <v>https://www.google.com/maps/search/?api=1&amp;query=-30.9006436148234,-55.5354530583077</v>
      </c>
      <c r="G1002" s="63" t="str">
        <f>IFERROR(__xludf.DUMMYFUNCTION("""COMPUTED_VALUE"""),"https://earth.google.com/web/search/-30.9006436148234,-55.5354530583077")</f>
        <v>https://earth.google.com/web/search/-30.9006436148234,-55.5354530583077</v>
      </c>
      <c r="H1002" s="64"/>
      <c r="I1002" s="64"/>
      <c r="J1002" s="64"/>
      <c r="K1002" s="64"/>
      <c r="L1002" s="64"/>
      <c r="M1002" s="64"/>
      <c r="N1002" s="64"/>
      <c r="O1002" s="64"/>
      <c r="P1002" s="64"/>
      <c r="Q1002" s="64"/>
      <c r="R1002" s="64"/>
      <c r="S1002" s="64"/>
      <c r="T1002" s="64"/>
      <c r="U1002" s="64"/>
      <c r="V1002" s="64"/>
      <c r="W1002" s="64"/>
      <c r="X1002" s="64"/>
      <c r="Y1002" s="64"/>
      <c r="Z1002" s="64"/>
    </row>
    <row r="1003">
      <c r="A1003" s="65" t="str">
        <f>IFERROR(__xludf.DUMMYFUNCTION("""COMPUTED_VALUE"""),"-30.9005484117239")</f>
        <v>-30.9005484117239</v>
      </c>
      <c r="B1003" s="66" t="str">
        <f>IFERROR(__xludf.DUMMYFUNCTION("""COMPUTED_VALUE"""),"-55.5353726733088")</f>
        <v>-55.5353726733088</v>
      </c>
      <c r="C1003" s="66">
        <f>IFERROR(__xludf.DUMMYFUNCTION("""COMPUTED_VALUE"""),1.0)</f>
        <v>1</v>
      </c>
      <c r="D1003" s="66">
        <f>IFERROR(__xludf.DUMMYFUNCTION("""COMPUTED_VALUE"""),129.0)</f>
        <v>129</v>
      </c>
      <c r="E1003" s="66">
        <f>IFERROR(__xludf.DUMMYFUNCTION("""COMPUTED_VALUE"""),9.0)</f>
        <v>9</v>
      </c>
      <c r="F1003" s="67" t="str">
        <f>IFERROR(__xludf.DUMMYFUNCTION("""COMPUTED_VALUE"""),"https://www.google.com/maps/search/?api=1&amp;query=-30.9005484117239,-55.5353726733088")</f>
        <v>https://www.google.com/maps/search/?api=1&amp;query=-30.9005484117239,-55.5353726733088</v>
      </c>
      <c r="G1003" s="68" t="str">
        <f>IFERROR(__xludf.DUMMYFUNCTION("""COMPUTED_VALUE"""),"https://earth.google.com/web/search/-30.9005484117239,-55.5353726733088")</f>
        <v>https://earth.google.com/web/search/-30.9005484117239,-55.5353726733088</v>
      </c>
      <c r="H1003" s="64"/>
      <c r="I1003" s="64"/>
      <c r="J1003" s="64"/>
      <c r="K1003" s="64"/>
      <c r="L1003" s="64"/>
      <c r="M1003" s="64"/>
      <c r="N1003" s="64"/>
      <c r="O1003" s="64"/>
      <c r="P1003" s="64"/>
      <c r="Q1003" s="64"/>
      <c r="R1003" s="64"/>
      <c r="S1003" s="64"/>
      <c r="T1003" s="64"/>
      <c r="U1003" s="64"/>
      <c r="V1003" s="64"/>
      <c r="W1003" s="64"/>
      <c r="X1003" s="64"/>
      <c r="Y1003" s="64"/>
      <c r="Z1003" s="64"/>
    </row>
    <row r="1004">
      <c r="A1004" s="69" t="str">
        <f>IFERROR(__xludf.DUMMYFUNCTION("""COMPUTED_VALUE"""),"-0.3090043170657")</f>
        <v>-0.3090043170657</v>
      </c>
      <c r="B1004" s="61" t="str">
        <f>IFERROR(__xludf.DUMMYFUNCTION("""COMPUTED_VALUE"""),"-55.5352909457594")</f>
        <v>-55.5352909457594</v>
      </c>
      <c r="C1004" s="61">
        <f>IFERROR(__xludf.DUMMYFUNCTION("""COMPUTED_VALUE"""),1.0)</f>
        <v>1</v>
      </c>
      <c r="D1004" s="61">
        <f>IFERROR(__xludf.DUMMYFUNCTION("""COMPUTED_VALUE"""),129.0)</f>
        <v>129</v>
      </c>
      <c r="E1004" s="61">
        <f>IFERROR(__xludf.DUMMYFUNCTION("""COMPUTED_VALUE"""),10.0)</f>
        <v>10</v>
      </c>
      <c r="F1004" s="62" t="str">
        <f>IFERROR(__xludf.DUMMYFUNCTION("""COMPUTED_VALUE"""),"https://www.google.com/maps/search/?api=1&amp;query=-0.3090043170657,-55.5352909457594")</f>
        <v>https://www.google.com/maps/search/?api=1&amp;query=-0.3090043170657,-55.5352909457594</v>
      </c>
      <c r="G1004" s="63" t="str">
        <f>IFERROR(__xludf.DUMMYFUNCTION("""COMPUTED_VALUE"""),"https://earth.google.com/web/search/-0.3090043170657,-55.5352909457594")</f>
        <v>https://earth.google.com/web/search/-0.3090043170657,-55.5352909457594</v>
      </c>
      <c r="H1004" s="64"/>
      <c r="I1004" s="64"/>
      <c r="J1004" s="64"/>
      <c r="K1004" s="64"/>
      <c r="L1004" s="64"/>
      <c r="M1004" s="64"/>
      <c r="N1004" s="64"/>
      <c r="O1004" s="64"/>
      <c r="P1004" s="64"/>
      <c r="Q1004" s="64"/>
      <c r="R1004" s="64"/>
      <c r="S1004" s="64"/>
      <c r="T1004" s="64"/>
      <c r="U1004" s="64"/>
      <c r="V1004" s="64"/>
      <c r="W1004" s="64"/>
      <c r="X1004" s="64"/>
      <c r="Y1004" s="64"/>
      <c r="Z1004" s="64"/>
    </row>
    <row r="1005">
      <c r="A1005" s="65" t="str">
        <f>IFERROR(__xludf.DUMMYFUNCTION("""COMPUTED_VALUE"""),"-30.9002402128052")</f>
        <v>-30.9002402128052</v>
      </c>
      <c r="B1005" s="66" t="str">
        <f>IFERROR(__xludf.DUMMYFUNCTION("""COMPUTED_VALUE"""),"-55.5352983969685")</f>
        <v>-55.5352983969685</v>
      </c>
      <c r="C1005" s="66">
        <f>IFERROR(__xludf.DUMMYFUNCTION("""COMPUTED_VALUE"""),1.0)</f>
        <v>1</v>
      </c>
      <c r="D1005" s="66">
        <f>IFERROR(__xludf.DUMMYFUNCTION("""COMPUTED_VALUE"""),129.0)</f>
        <v>129</v>
      </c>
      <c r="E1005" s="66">
        <f>IFERROR(__xludf.DUMMYFUNCTION("""COMPUTED_VALUE"""),11.0)</f>
        <v>11</v>
      </c>
      <c r="F1005" s="67" t="str">
        <f>IFERROR(__xludf.DUMMYFUNCTION("""COMPUTED_VALUE"""),"https://www.google.com/maps/search/?api=1&amp;query=-30.9002402128052,-55.5352983969685")</f>
        <v>https://www.google.com/maps/search/?api=1&amp;query=-30.9002402128052,-55.5352983969685</v>
      </c>
      <c r="G1005" s="68" t="str">
        <f>IFERROR(__xludf.DUMMYFUNCTION("""COMPUTED_VALUE"""),"https://earth.google.com/web/search/-30.9002402128052,-55.5352983969685")</f>
        <v>https://earth.google.com/web/search/-30.9002402128052,-55.5352983969685</v>
      </c>
      <c r="H1005" s="64"/>
      <c r="I1005" s="64"/>
      <c r="J1005" s="64"/>
      <c r="K1005" s="64"/>
      <c r="L1005" s="64"/>
      <c r="M1005" s="64"/>
      <c r="N1005" s="64"/>
      <c r="O1005" s="64"/>
      <c r="P1005" s="64"/>
      <c r="Q1005" s="64"/>
      <c r="R1005" s="64"/>
      <c r="S1005" s="64"/>
      <c r="T1005" s="64"/>
      <c r="U1005" s="64"/>
      <c r="V1005" s="64"/>
      <c r="W1005" s="64"/>
      <c r="X1005" s="64"/>
      <c r="Y1005" s="64"/>
      <c r="Z1005" s="64"/>
    </row>
    <row r="1006">
      <c r="A1006" s="69" t="str">
        <f>IFERROR(__xludf.DUMMYFUNCTION("""COMPUTED_VALUE"""),"-30.9002042561617")</f>
        <v>-30.9002042561617</v>
      </c>
      <c r="B1006" s="61" t="str">
        <f>IFERROR(__xludf.DUMMYFUNCTION("""COMPUTED_VALUE"""),"-55.5353429337761")</f>
        <v>-55.5353429337761</v>
      </c>
      <c r="C1006" s="61">
        <f>IFERROR(__xludf.DUMMYFUNCTION("""COMPUTED_VALUE"""),1.0)</f>
        <v>1</v>
      </c>
      <c r="D1006" s="61">
        <f>IFERROR(__xludf.DUMMYFUNCTION("""COMPUTED_VALUE"""),129.0)</f>
        <v>129</v>
      </c>
      <c r="E1006" s="61">
        <f>IFERROR(__xludf.DUMMYFUNCTION("""COMPUTED_VALUE"""),12.0)</f>
        <v>12</v>
      </c>
      <c r="F1006" s="62" t="str">
        <f>IFERROR(__xludf.DUMMYFUNCTION("""COMPUTED_VALUE"""),"https://www.google.com/maps/search/?api=1&amp;query=-30.9002042561617,-55.5353429337761")</f>
        <v>https://www.google.com/maps/search/?api=1&amp;query=-30.9002042561617,-55.5353429337761</v>
      </c>
      <c r="G1006" s="63" t="str">
        <f>IFERROR(__xludf.DUMMYFUNCTION("""COMPUTED_VALUE"""),"https://earth.google.com/web/search/-30.9002042561617,-55.5353429337761")</f>
        <v>https://earth.google.com/web/search/-30.9002042561617,-55.5353429337761</v>
      </c>
      <c r="H1006" s="64"/>
      <c r="I1006" s="64"/>
      <c r="J1006" s="64"/>
      <c r="K1006" s="64"/>
      <c r="L1006" s="64"/>
      <c r="M1006" s="64"/>
      <c r="N1006" s="64"/>
      <c r="O1006" s="64"/>
      <c r="P1006" s="64"/>
      <c r="Q1006" s="64"/>
      <c r="R1006" s="64"/>
      <c r="S1006" s="64"/>
      <c r="T1006" s="64"/>
      <c r="U1006" s="64"/>
      <c r="V1006" s="64"/>
      <c r="W1006" s="64"/>
      <c r="X1006" s="64"/>
      <c r="Y1006" s="64"/>
      <c r="Z1006" s="64"/>
    </row>
    <row r="1007">
      <c r="A1007" s="65" t="str">
        <f>IFERROR(__xludf.DUMMYFUNCTION("""COMPUTED_VALUE"""),"-30.9000594467374")</f>
        <v>-30.9000594467374</v>
      </c>
      <c r="B1007" s="66" t="str">
        <f>IFERROR(__xludf.DUMMYFUNCTION("""COMPUTED_VALUE"""),"-55.5356344298151")</f>
        <v>-55.5356344298151</v>
      </c>
      <c r="C1007" s="66">
        <f>IFERROR(__xludf.DUMMYFUNCTION("""COMPUTED_VALUE"""),1.0)</f>
        <v>1</v>
      </c>
      <c r="D1007" s="66">
        <f>IFERROR(__xludf.DUMMYFUNCTION("""COMPUTED_VALUE"""),129.0)</f>
        <v>129</v>
      </c>
      <c r="E1007" s="66">
        <f>IFERROR(__xludf.DUMMYFUNCTION("""COMPUTED_VALUE"""),13.0)</f>
        <v>13</v>
      </c>
      <c r="F1007" s="67" t="str">
        <f>IFERROR(__xludf.DUMMYFUNCTION("""COMPUTED_VALUE"""),"https://www.google.com/maps/search/?api=1&amp;query=-30.9000594467374,-55.5356344298151")</f>
        <v>https://www.google.com/maps/search/?api=1&amp;query=-30.9000594467374,-55.5356344298151</v>
      </c>
      <c r="G1007" s="68" t="str">
        <f>IFERROR(__xludf.DUMMYFUNCTION("""COMPUTED_VALUE"""),"https://earth.google.com/web/search/-30.9000594467374,-55.5356344298151")</f>
        <v>https://earth.google.com/web/search/-30.9000594467374,-55.5356344298151</v>
      </c>
      <c r="H1007" s="64"/>
      <c r="I1007" s="64"/>
      <c r="J1007" s="64"/>
      <c r="K1007" s="64"/>
      <c r="L1007" s="64"/>
      <c r="M1007" s="64"/>
      <c r="N1007" s="64"/>
      <c r="O1007" s="64"/>
      <c r="P1007" s="64"/>
      <c r="Q1007" s="64"/>
      <c r="R1007" s="64"/>
      <c r="S1007" s="64"/>
      <c r="T1007" s="64"/>
      <c r="U1007" s="64"/>
      <c r="V1007" s="64"/>
      <c r="W1007" s="64"/>
      <c r="X1007" s="64"/>
      <c r="Y1007" s="64"/>
      <c r="Z1007" s="64"/>
    </row>
    <row r="1008">
      <c r="A1008" s="69" t="str">
        <f>IFERROR(__xludf.DUMMYFUNCTION("""COMPUTED_VALUE"""),"-30.9000284238521")</f>
        <v>-30.9000284238521</v>
      </c>
      <c r="B1008" s="61" t="str">
        <f>IFERROR(__xludf.DUMMYFUNCTION("""COMPUTED_VALUE"""),"-55.5357065209031")</f>
        <v>-55.5357065209031</v>
      </c>
      <c r="C1008" s="61">
        <f>IFERROR(__xludf.DUMMYFUNCTION("""COMPUTED_VALUE"""),1.0)</f>
        <v>1</v>
      </c>
      <c r="D1008" s="61">
        <f>IFERROR(__xludf.DUMMYFUNCTION("""COMPUTED_VALUE"""),129.0)</f>
        <v>129</v>
      </c>
      <c r="E1008" s="61">
        <f>IFERROR(__xludf.DUMMYFUNCTION("""COMPUTED_VALUE"""),14.0)</f>
        <v>14</v>
      </c>
      <c r="F1008" s="62" t="str">
        <f>IFERROR(__xludf.DUMMYFUNCTION("""COMPUTED_VALUE"""),"https://www.google.com/maps/search/?api=1&amp;query=-30.9000284238521,-55.5357065209031")</f>
        <v>https://www.google.com/maps/search/?api=1&amp;query=-30.9000284238521,-55.5357065209031</v>
      </c>
      <c r="G1008" s="63" t="str">
        <f>IFERROR(__xludf.DUMMYFUNCTION("""COMPUTED_VALUE"""),"https://earth.google.com/web/search/-30.9000284238521,-55.5357065209031")</f>
        <v>https://earth.google.com/web/search/-30.9000284238521,-55.5357065209031</v>
      </c>
      <c r="H1008" s="64"/>
      <c r="I1008" s="64"/>
      <c r="J1008" s="64"/>
      <c r="K1008" s="64"/>
      <c r="L1008" s="64"/>
      <c r="M1008" s="64"/>
      <c r="N1008" s="64"/>
      <c r="O1008" s="64"/>
      <c r="P1008" s="64"/>
      <c r="Q1008" s="64"/>
      <c r="R1008" s="64"/>
      <c r="S1008" s="64"/>
      <c r="T1008" s="64"/>
      <c r="U1008" s="64"/>
      <c r="V1008" s="64"/>
      <c r="W1008" s="64"/>
      <c r="X1008" s="64"/>
      <c r="Y1008" s="64"/>
      <c r="Z1008" s="64"/>
    </row>
    <row r="1009">
      <c r="A1009" s="65" t="str">
        <f>IFERROR(__xludf.DUMMYFUNCTION("""COMPUTED_VALUE"""),"-3.0899886309486")</f>
        <v>-3.0899886309486</v>
      </c>
      <c r="B1009" s="66" t="str">
        <f>IFERROR(__xludf.DUMMYFUNCTION("""COMPUTED_VALUE"""),"-5.5535989784461")</f>
        <v>-5.5535989784461</v>
      </c>
      <c r="C1009" s="66">
        <f>IFERROR(__xludf.DUMMYFUNCTION("""COMPUTED_VALUE"""),1.0)</f>
        <v>1</v>
      </c>
      <c r="D1009" s="66">
        <f>IFERROR(__xludf.DUMMYFUNCTION("""COMPUTED_VALUE"""),129.0)</f>
        <v>129</v>
      </c>
      <c r="E1009" s="66">
        <f>IFERROR(__xludf.DUMMYFUNCTION("""COMPUTED_VALUE"""),15.0)</f>
        <v>15</v>
      </c>
      <c r="F1009" s="67" t="str">
        <f>IFERROR(__xludf.DUMMYFUNCTION("""COMPUTED_VALUE"""),"https://www.google.com/maps/search/?api=1&amp;query=-3.0899886309486,-5.5535989784461")</f>
        <v>https://www.google.com/maps/search/?api=1&amp;query=-3.0899886309486,-5.5535989784461</v>
      </c>
      <c r="G1009" s="68" t="str">
        <f>IFERROR(__xludf.DUMMYFUNCTION("""COMPUTED_VALUE"""),"https://earth.google.com/web/search/-3.0899886309486,-5.5535989784461")</f>
        <v>https://earth.google.com/web/search/-3.0899886309486,-5.5535989784461</v>
      </c>
      <c r="H1009" s="64"/>
      <c r="I1009" s="64"/>
      <c r="J1009" s="64"/>
      <c r="K1009" s="64"/>
      <c r="L1009" s="64"/>
      <c r="M1009" s="64"/>
      <c r="N1009" s="64"/>
      <c r="O1009" s="64"/>
      <c r="P1009" s="64"/>
      <c r="Q1009" s="64"/>
      <c r="R1009" s="64"/>
      <c r="S1009" s="64"/>
      <c r="T1009" s="64"/>
      <c r="U1009" s="64"/>
      <c r="V1009" s="64"/>
      <c r="W1009" s="64"/>
      <c r="X1009" s="64"/>
      <c r="Y1009" s="64"/>
      <c r="Z1009" s="64"/>
    </row>
    <row r="1010">
      <c r="A1010" s="69" t="str">
        <f>IFERROR(__xludf.DUMMYFUNCTION("""COMPUTED_VALUE"""),"-30.9000256073316")</f>
        <v>-30.9000256073316</v>
      </c>
      <c r="B1010" s="61" t="str">
        <f>IFERROR(__xludf.DUMMYFUNCTION("""COMPUTED_VALUE"""),"-55.5361230573551")</f>
        <v>-55.5361230573551</v>
      </c>
      <c r="C1010" s="61">
        <f>IFERROR(__xludf.DUMMYFUNCTION("""COMPUTED_VALUE"""),1.0)</f>
        <v>1</v>
      </c>
      <c r="D1010" s="61">
        <f>IFERROR(__xludf.DUMMYFUNCTION("""COMPUTED_VALUE"""),129.0)</f>
        <v>129</v>
      </c>
      <c r="E1010" s="61">
        <f>IFERROR(__xludf.DUMMYFUNCTION("""COMPUTED_VALUE"""),16.0)</f>
        <v>16</v>
      </c>
      <c r="F1010" s="62" t="str">
        <f>IFERROR(__xludf.DUMMYFUNCTION("""COMPUTED_VALUE"""),"https://www.google.com/maps/search/?api=1&amp;query=-30.9000256073316,-55.5361230573551")</f>
        <v>https://www.google.com/maps/search/?api=1&amp;query=-30.9000256073316,-55.5361230573551</v>
      </c>
      <c r="G1010" s="63" t="str">
        <f>IFERROR(__xludf.DUMMYFUNCTION("""COMPUTED_VALUE"""),"https://earth.google.com/web/search/-30.9000256073316,-55.5361230573551")</f>
        <v>https://earth.google.com/web/search/-30.9000256073316,-55.5361230573551</v>
      </c>
      <c r="H1010" s="64"/>
      <c r="I1010" s="64"/>
      <c r="J1010" s="64"/>
      <c r="K1010" s="64"/>
      <c r="L1010" s="64"/>
      <c r="M1010" s="64"/>
      <c r="N1010" s="64"/>
      <c r="O1010" s="64"/>
      <c r="P1010" s="64"/>
      <c r="Q1010" s="64"/>
      <c r="R1010" s="64"/>
      <c r="S1010" s="64"/>
      <c r="T1010" s="64"/>
      <c r="U1010" s="64"/>
      <c r="V1010" s="64"/>
      <c r="W1010" s="64"/>
      <c r="X1010" s="64"/>
      <c r="Y1010" s="64"/>
      <c r="Z1010" s="64"/>
    </row>
    <row r="1011">
      <c r="A1011" s="65" t="str">
        <f>IFERROR(__xludf.DUMMYFUNCTION("""COMPUTED_VALUE"""),"-30.9000887025078")</f>
        <v>-30.9000887025078</v>
      </c>
      <c r="B1011" s="66" t="str">
        <f>IFERROR(__xludf.DUMMYFUNCTION("""COMPUTED_VALUE"""),"-55.5361840771204")</f>
        <v>-55.5361840771204</v>
      </c>
      <c r="C1011" s="66">
        <f>IFERROR(__xludf.DUMMYFUNCTION("""COMPUTED_VALUE"""),1.0)</f>
        <v>1</v>
      </c>
      <c r="D1011" s="66">
        <f>IFERROR(__xludf.DUMMYFUNCTION("""COMPUTED_VALUE"""),129.0)</f>
        <v>129</v>
      </c>
      <c r="E1011" s="66">
        <f>IFERROR(__xludf.DUMMYFUNCTION("""COMPUTED_VALUE"""),17.0)</f>
        <v>17</v>
      </c>
      <c r="F1011" s="67" t="str">
        <f>IFERROR(__xludf.DUMMYFUNCTION("""COMPUTED_VALUE"""),"https://www.google.com/maps/search/?api=1&amp;query=-30.9000887025078,-55.5361840771204")</f>
        <v>https://www.google.com/maps/search/?api=1&amp;query=-30.9000887025078,-55.5361840771204</v>
      </c>
      <c r="G1011" s="68" t="str">
        <f>IFERROR(__xludf.DUMMYFUNCTION("""COMPUTED_VALUE"""),"https://earth.google.com/web/search/-30.9000887025078,-55.5361840771204")</f>
        <v>https://earth.google.com/web/search/-30.9000887025078,-55.5361840771204</v>
      </c>
      <c r="H1011" s="64"/>
      <c r="I1011" s="64"/>
      <c r="J1011" s="64"/>
      <c r="K1011" s="64"/>
      <c r="L1011" s="64"/>
      <c r="M1011" s="64"/>
      <c r="N1011" s="64"/>
      <c r="O1011" s="64"/>
      <c r="P1011" s="64"/>
      <c r="Q1011" s="64"/>
      <c r="R1011" s="64"/>
      <c r="S1011" s="64"/>
      <c r="T1011" s="64"/>
      <c r="U1011" s="64"/>
      <c r="V1011" s="64"/>
      <c r="W1011" s="64"/>
      <c r="X1011" s="64"/>
      <c r="Y1011" s="64"/>
      <c r="Z1011" s="64"/>
    </row>
    <row r="1012">
      <c r="A1012" s="69" t="str">
        <f>IFERROR(__xludf.DUMMYFUNCTION("""COMPUTED_VALUE"""),"-3.0900289799228")</f>
        <v>-3.0900289799228</v>
      </c>
      <c r="B1012" s="61" t="str">
        <f>IFERROR(__xludf.DUMMYFUNCTION("""COMPUTED_VALUE"""),"-55.5363164036982")</f>
        <v>-55.5363164036982</v>
      </c>
      <c r="C1012" s="61">
        <f>IFERROR(__xludf.DUMMYFUNCTION("""COMPUTED_VALUE"""),1.0)</f>
        <v>1</v>
      </c>
      <c r="D1012" s="61">
        <f>IFERROR(__xludf.DUMMYFUNCTION("""COMPUTED_VALUE"""),129.0)</f>
        <v>129</v>
      </c>
      <c r="E1012" s="61">
        <f>IFERROR(__xludf.DUMMYFUNCTION("""COMPUTED_VALUE"""),18.0)</f>
        <v>18</v>
      </c>
      <c r="F1012" s="62" t="str">
        <f>IFERROR(__xludf.DUMMYFUNCTION("""COMPUTED_VALUE"""),"https://www.google.com/maps/search/?api=1&amp;query=-3.0900289799228,-55.5363164036982")</f>
        <v>https://www.google.com/maps/search/?api=1&amp;query=-3.0900289799228,-55.5363164036982</v>
      </c>
      <c r="G1012" s="63" t="str">
        <f>IFERROR(__xludf.DUMMYFUNCTION("""COMPUTED_VALUE"""),"https://earth.google.com/web/search/-3.0900289799228,-55.5363164036982")</f>
        <v>https://earth.google.com/web/search/-3.0900289799228,-55.5363164036982</v>
      </c>
      <c r="H1012" s="64"/>
      <c r="I1012" s="64"/>
      <c r="J1012" s="64"/>
      <c r="K1012" s="64"/>
      <c r="L1012" s="64"/>
      <c r="M1012" s="64"/>
      <c r="N1012" s="64"/>
      <c r="O1012" s="64"/>
      <c r="P1012" s="64"/>
      <c r="Q1012" s="64"/>
      <c r="R1012" s="64"/>
      <c r="S1012" s="64"/>
      <c r="T1012" s="64"/>
      <c r="U1012" s="64"/>
      <c r="V1012" s="64"/>
      <c r="W1012" s="64"/>
      <c r="X1012" s="64"/>
      <c r="Y1012" s="64"/>
      <c r="Z1012" s="64"/>
    </row>
    <row r="1013">
      <c r="A1013" s="65" t="str">
        <f>IFERROR(__xludf.DUMMYFUNCTION("""COMPUTED_VALUE"""),"-30.9003643296102")</f>
        <v>-30.9003643296102</v>
      </c>
      <c r="B1013" s="66" t="str">
        <f>IFERROR(__xludf.DUMMYFUNCTION("""COMPUTED_VALUE"""),"-55.5363553247754")</f>
        <v>-55.5363553247754</v>
      </c>
      <c r="C1013" s="66">
        <f>IFERROR(__xludf.DUMMYFUNCTION("""COMPUTED_VALUE"""),1.0)</f>
        <v>1</v>
      </c>
      <c r="D1013" s="66">
        <f>IFERROR(__xludf.DUMMYFUNCTION("""COMPUTED_VALUE"""),129.0)</f>
        <v>129</v>
      </c>
      <c r="E1013" s="66">
        <f>IFERROR(__xludf.DUMMYFUNCTION("""COMPUTED_VALUE"""),19.0)</f>
        <v>19</v>
      </c>
      <c r="F1013" s="67" t="str">
        <f>IFERROR(__xludf.DUMMYFUNCTION("""COMPUTED_VALUE"""),"https://www.google.com/maps/search/?api=1&amp;query=-30.9003643296102,-55.5363553247754")</f>
        <v>https://www.google.com/maps/search/?api=1&amp;query=-30.9003643296102,-55.5363553247754</v>
      </c>
      <c r="G1013" s="68" t="str">
        <f>IFERROR(__xludf.DUMMYFUNCTION("""COMPUTED_VALUE"""),"https://earth.google.com/web/search/-30.9003643296102,-55.5363553247754")</f>
        <v>https://earth.google.com/web/search/-30.9003643296102,-55.5363553247754</v>
      </c>
      <c r="H1013" s="64"/>
      <c r="I1013" s="64"/>
      <c r="J1013" s="64"/>
      <c r="K1013" s="64"/>
      <c r="L1013" s="64"/>
      <c r="M1013" s="64"/>
      <c r="N1013" s="64"/>
      <c r="O1013" s="64"/>
      <c r="P1013" s="64"/>
      <c r="Q1013" s="64"/>
      <c r="R1013" s="64"/>
      <c r="S1013" s="64"/>
      <c r="T1013" s="64"/>
      <c r="U1013" s="64"/>
      <c r="V1013" s="64"/>
      <c r="W1013" s="64"/>
      <c r="X1013" s="64"/>
      <c r="Y1013" s="64"/>
      <c r="Z1013" s="64"/>
    </row>
    <row r="1014">
      <c r="A1014" s="69" t="str">
        <f>IFERROR(__xludf.DUMMYFUNCTION("""COMPUTED_VALUE"""),"-30.9004189039707")</f>
        <v>-30.9004189039707</v>
      </c>
      <c r="B1014" s="61" t="str">
        <f>IFERROR(__xludf.DUMMYFUNCTION("""COMPUTED_VALUE"""),"-55.5364081502521")</f>
        <v>-55.5364081502521</v>
      </c>
      <c r="C1014" s="61">
        <f>IFERROR(__xludf.DUMMYFUNCTION("""COMPUTED_VALUE"""),1.0)</f>
        <v>1</v>
      </c>
      <c r="D1014" s="61">
        <f>IFERROR(__xludf.DUMMYFUNCTION("""COMPUTED_VALUE"""),129.0)</f>
        <v>129</v>
      </c>
      <c r="E1014" s="61">
        <f>IFERROR(__xludf.DUMMYFUNCTION("""COMPUTED_VALUE"""),20.0)</f>
        <v>20</v>
      </c>
      <c r="F1014" s="62" t="str">
        <f>IFERROR(__xludf.DUMMYFUNCTION("""COMPUTED_VALUE"""),"https://www.google.com/maps/search/?api=1&amp;query=-30.9004189039707,-55.5364081502521")</f>
        <v>https://www.google.com/maps/search/?api=1&amp;query=-30.9004189039707,-55.5364081502521</v>
      </c>
      <c r="G1014" s="63" t="str">
        <f>IFERROR(__xludf.DUMMYFUNCTION("""COMPUTED_VALUE"""),"https://earth.google.com/web/search/-30.9004189039707,-55.5364081502521")</f>
        <v>https://earth.google.com/web/search/-30.9004189039707,-55.5364081502521</v>
      </c>
      <c r="H1014" s="64"/>
      <c r="I1014" s="64"/>
      <c r="J1014" s="64"/>
      <c r="K1014" s="64"/>
      <c r="L1014" s="64"/>
      <c r="M1014" s="64"/>
      <c r="N1014" s="64"/>
      <c r="O1014" s="64"/>
      <c r="P1014" s="64"/>
      <c r="Q1014" s="64"/>
      <c r="R1014" s="64"/>
      <c r="S1014" s="64"/>
      <c r="T1014" s="64"/>
      <c r="U1014" s="64"/>
      <c r="V1014" s="64"/>
      <c r="W1014" s="64"/>
      <c r="X1014" s="64"/>
      <c r="Y1014" s="64"/>
      <c r="Z1014" s="64"/>
    </row>
    <row r="1015">
      <c r="A1015" s="65" t="str">
        <f>IFERROR(__xludf.DUMMYFUNCTION("""COMPUTED_VALUE"""),"-30.9004691078066")</f>
        <v>-30.9004691078066</v>
      </c>
      <c r="B1015" s="66" t="str">
        <f>IFERROR(__xludf.DUMMYFUNCTION("""COMPUTED_VALUE"""),"-55.5364405844181")</f>
        <v>-55.5364405844181</v>
      </c>
      <c r="C1015" s="66">
        <f>IFERROR(__xludf.DUMMYFUNCTION("""COMPUTED_VALUE"""),1.0)</f>
        <v>1</v>
      </c>
      <c r="D1015" s="66">
        <f>IFERROR(__xludf.DUMMYFUNCTION("""COMPUTED_VALUE"""),129.0)</f>
        <v>129</v>
      </c>
      <c r="E1015" s="66">
        <f>IFERROR(__xludf.DUMMYFUNCTION("""COMPUTED_VALUE"""),21.0)</f>
        <v>21</v>
      </c>
      <c r="F1015" s="67" t="str">
        <f>IFERROR(__xludf.DUMMYFUNCTION("""COMPUTED_VALUE"""),"https://www.google.com/maps/search/?api=1&amp;query=-30.9004691078066,-55.5364405844181")</f>
        <v>https://www.google.com/maps/search/?api=1&amp;query=-30.9004691078066,-55.5364405844181</v>
      </c>
      <c r="G1015" s="68" t="str">
        <f>IFERROR(__xludf.DUMMYFUNCTION("""COMPUTED_VALUE"""),"https://earth.google.com/web/search/-30.9004691078066,-55.5364405844181")</f>
        <v>https://earth.google.com/web/search/-30.9004691078066,-55.5364405844181</v>
      </c>
      <c r="H1015" s="64"/>
      <c r="I1015" s="64"/>
      <c r="J1015" s="64"/>
      <c r="K1015" s="64"/>
      <c r="L1015" s="64"/>
      <c r="M1015" s="64"/>
      <c r="N1015" s="64"/>
      <c r="O1015" s="64"/>
      <c r="P1015" s="64"/>
      <c r="Q1015" s="64"/>
      <c r="R1015" s="64"/>
      <c r="S1015" s="64"/>
      <c r="T1015" s="64"/>
      <c r="U1015" s="64"/>
      <c r="V1015" s="64"/>
      <c r="W1015" s="64"/>
      <c r="X1015" s="64"/>
      <c r="Y1015" s="64"/>
      <c r="Z1015" s="64"/>
    </row>
    <row r="1016">
      <c r="A1016" s="69" t="str">
        <f>IFERROR(__xludf.DUMMYFUNCTION("""COMPUTED_VALUE"""),"-30.9005386712548")</f>
        <v>-30.9005386712548</v>
      </c>
      <c r="B1016" s="61" t="str">
        <f>IFERROR(__xludf.DUMMYFUNCTION("""COMPUTED_VALUE"""),"-55.5364840278589")</f>
        <v>-55.5364840278589</v>
      </c>
      <c r="C1016" s="61">
        <f>IFERROR(__xludf.DUMMYFUNCTION("""COMPUTED_VALUE"""),1.0)</f>
        <v>1</v>
      </c>
      <c r="D1016" s="61">
        <f>IFERROR(__xludf.DUMMYFUNCTION("""COMPUTED_VALUE"""),129.0)</f>
        <v>129</v>
      </c>
      <c r="E1016" s="61">
        <f>IFERROR(__xludf.DUMMYFUNCTION("""COMPUTED_VALUE"""),22.0)</f>
        <v>22</v>
      </c>
      <c r="F1016" s="62" t="str">
        <f>IFERROR(__xludf.DUMMYFUNCTION("""COMPUTED_VALUE"""),"https://www.google.com/maps/search/?api=1&amp;query=-30.9005386712548,-55.5364840278589")</f>
        <v>https://www.google.com/maps/search/?api=1&amp;query=-30.9005386712548,-55.5364840278589</v>
      </c>
      <c r="G1016" s="63" t="str">
        <f>IFERROR(__xludf.DUMMYFUNCTION("""COMPUTED_VALUE"""),"https://earth.google.com/web/search/-30.9005386712548,-55.5364840278589")</f>
        <v>https://earth.google.com/web/search/-30.9005386712548,-55.5364840278589</v>
      </c>
      <c r="H1016" s="64"/>
      <c r="I1016" s="64"/>
      <c r="J1016" s="64"/>
      <c r="K1016" s="64"/>
      <c r="L1016" s="64"/>
      <c r="M1016" s="64"/>
      <c r="N1016" s="64"/>
      <c r="O1016" s="64"/>
      <c r="P1016" s="64"/>
      <c r="Q1016" s="64"/>
      <c r="R1016" s="64"/>
      <c r="S1016" s="64"/>
      <c r="T1016" s="64"/>
      <c r="U1016" s="64"/>
      <c r="V1016" s="64"/>
      <c r="W1016" s="64"/>
      <c r="X1016" s="64"/>
      <c r="Y1016" s="64"/>
      <c r="Z1016" s="64"/>
    </row>
    <row r="1017">
      <c r="A1017" s="65" t="str">
        <f>IFERROR(__xludf.DUMMYFUNCTION("""COMPUTED_VALUE"""),"-30.9001734164615")</f>
        <v>-30.9001734164615</v>
      </c>
      <c r="B1017" s="66" t="str">
        <f>IFERROR(__xludf.DUMMYFUNCTION("""COMPUTED_VALUE"""),"-55.5372539649552")</f>
        <v>-55.5372539649552</v>
      </c>
      <c r="C1017" s="66">
        <f>IFERROR(__xludf.DUMMYFUNCTION("""COMPUTED_VALUE"""),1.0)</f>
        <v>1</v>
      </c>
      <c r="D1017" s="66">
        <f>IFERROR(__xludf.DUMMYFUNCTION("""COMPUTED_VALUE"""),130.0)</f>
        <v>130</v>
      </c>
      <c r="E1017" s="66">
        <f>IFERROR(__xludf.DUMMYFUNCTION("""COMPUTED_VALUE"""),1.0)</f>
        <v>1</v>
      </c>
      <c r="F1017" s="67" t="str">
        <f>IFERROR(__xludf.DUMMYFUNCTION("""COMPUTED_VALUE"""),"https://www.google.com/maps/search/?api=1&amp;query=-30.9001734164615,-55.5372539649552")</f>
        <v>https://www.google.com/maps/search/?api=1&amp;query=-30.9001734164615,-55.5372539649552</v>
      </c>
      <c r="G1017" s="68" t="str">
        <f>IFERROR(__xludf.DUMMYFUNCTION("""COMPUTED_VALUE"""),"https://earth.google.com/web/search/-30.9001734164615,-55.5372539649552")</f>
        <v>https://earth.google.com/web/search/-30.9001734164615,-55.5372539649552</v>
      </c>
      <c r="H1017" s="64"/>
      <c r="I1017" s="64"/>
      <c r="J1017" s="64"/>
      <c r="K1017" s="64"/>
      <c r="L1017" s="64"/>
      <c r="M1017" s="64"/>
      <c r="N1017" s="64"/>
      <c r="O1017" s="64"/>
      <c r="P1017" s="64"/>
      <c r="Q1017" s="64"/>
      <c r="R1017" s="64"/>
      <c r="S1017" s="64"/>
      <c r="T1017" s="64"/>
      <c r="U1017" s="64"/>
      <c r="V1017" s="64"/>
      <c r="W1017" s="64"/>
      <c r="X1017" s="64"/>
      <c r="Y1017" s="64"/>
      <c r="Z1017" s="64"/>
    </row>
    <row r="1018">
      <c r="A1018" s="69" t="str">
        <f>IFERROR(__xludf.DUMMYFUNCTION("""COMPUTED_VALUE"""),"-30.9004264389962")</f>
        <v>-30.9004264389962</v>
      </c>
      <c r="B1018" s="61" t="str">
        <f>IFERROR(__xludf.DUMMYFUNCTION("""COMPUTED_VALUE"""),"-55.5368046340356")</f>
        <v>-55.5368046340356</v>
      </c>
      <c r="C1018" s="61">
        <f>IFERROR(__xludf.DUMMYFUNCTION("""COMPUTED_VALUE"""),1.0)</f>
        <v>1</v>
      </c>
      <c r="D1018" s="61">
        <f>IFERROR(__xludf.DUMMYFUNCTION("""COMPUTED_VALUE"""),130.0)</f>
        <v>130</v>
      </c>
      <c r="E1018" s="61">
        <f>IFERROR(__xludf.DUMMYFUNCTION("""COMPUTED_VALUE"""),2.0)</f>
        <v>2</v>
      </c>
      <c r="F1018" s="62" t="str">
        <f>IFERROR(__xludf.DUMMYFUNCTION("""COMPUTED_VALUE"""),"https://www.google.com/maps/search/?api=1&amp;query=-30.9004264389962,-55.5368046340356")</f>
        <v>https://www.google.com/maps/search/?api=1&amp;query=-30.9004264389962,-55.5368046340356</v>
      </c>
      <c r="G1018" s="63" t="str">
        <f>IFERROR(__xludf.DUMMYFUNCTION("""COMPUTED_VALUE"""),"https://earth.google.com/web/search/-30.9004264389962,-55.5368046340356")</f>
        <v>https://earth.google.com/web/search/-30.9004264389962,-55.5368046340356</v>
      </c>
      <c r="H1018" s="64"/>
      <c r="I1018" s="64"/>
      <c r="J1018" s="64"/>
      <c r="K1018" s="64"/>
      <c r="L1018" s="64"/>
      <c r="M1018" s="64"/>
      <c r="N1018" s="64"/>
      <c r="O1018" s="64"/>
      <c r="P1018" s="64"/>
      <c r="Q1018" s="64"/>
      <c r="R1018" s="64"/>
      <c r="S1018" s="64"/>
      <c r="T1018" s="64"/>
      <c r="U1018" s="64"/>
      <c r="V1018" s="64"/>
      <c r="W1018" s="64"/>
      <c r="X1018" s="64"/>
      <c r="Y1018" s="64"/>
      <c r="Z1018" s="64"/>
    </row>
    <row r="1019">
      <c r="A1019" s="65" t="str">
        <f>IFERROR(__xludf.DUMMYFUNCTION("""COMPUTED_VALUE"""),"-30.9004779405411")</f>
        <v>-30.9004779405411</v>
      </c>
      <c r="B1019" s="66" t="str">
        <f>IFERROR(__xludf.DUMMYFUNCTION("""COMPUTED_VALUE"""),"-55.5365780622079")</f>
        <v>-55.5365780622079</v>
      </c>
      <c r="C1019" s="66">
        <f>IFERROR(__xludf.DUMMYFUNCTION("""COMPUTED_VALUE"""),1.0)</f>
        <v>1</v>
      </c>
      <c r="D1019" s="66">
        <f>IFERROR(__xludf.DUMMYFUNCTION("""COMPUTED_VALUE"""),130.0)</f>
        <v>130</v>
      </c>
      <c r="E1019" s="66">
        <f>IFERROR(__xludf.DUMMYFUNCTION("""COMPUTED_VALUE"""),3.0)</f>
        <v>3</v>
      </c>
      <c r="F1019" s="67" t="str">
        <f>IFERROR(__xludf.DUMMYFUNCTION("""COMPUTED_VALUE"""),"https://www.google.com/maps/search/?api=1&amp;query=-30.9004779405411,-55.5365780622079")</f>
        <v>https://www.google.com/maps/search/?api=1&amp;query=-30.9004779405411,-55.5365780622079</v>
      </c>
      <c r="G1019" s="68" t="str">
        <f>IFERROR(__xludf.DUMMYFUNCTION("""COMPUTED_VALUE"""),"https://earth.google.com/web/search/-30.9004779405411,-55.5365780622079")</f>
        <v>https://earth.google.com/web/search/-30.9004779405411,-55.5365780622079</v>
      </c>
      <c r="H1019" s="64"/>
      <c r="I1019" s="64"/>
      <c r="J1019" s="64"/>
      <c r="K1019" s="64"/>
      <c r="L1019" s="64"/>
      <c r="M1019" s="64"/>
      <c r="N1019" s="64"/>
      <c r="O1019" s="64"/>
      <c r="P1019" s="64"/>
      <c r="Q1019" s="64"/>
      <c r="R1019" s="64"/>
      <c r="S1019" s="64"/>
      <c r="T1019" s="64"/>
      <c r="U1019" s="64"/>
      <c r="V1019" s="64"/>
      <c r="W1019" s="64"/>
      <c r="X1019" s="64"/>
      <c r="Y1019" s="64"/>
      <c r="Z1019" s="64"/>
    </row>
    <row r="1020">
      <c r="A1020" s="69" t="str">
        <f>IFERROR(__xludf.DUMMYFUNCTION("""COMPUTED_VALUE"""),"-30.9004391237017")</f>
        <v>-30.9004391237017</v>
      </c>
      <c r="B1020" s="61" t="str">
        <f>IFERROR(__xludf.DUMMYFUNCTION("""COMPUTED_VALUE"""),"-55.5365333944267")</f>
        <v>-55.5365333944267</v>
      </c>
      <c r="C1020" s="61">
        <f>IFERROR(__xludf.DUMMYFUNCTION("""COMPUTED_VALUE"""),1.0)</f>
        <v>1</v>
      </c>
      <c r="D1020" s="61">
        <f>IFERROR(__xludf.DUMMYFUNCTION("""COMPUTED_VALUE"""),130.0)</f>
        <v>130</v>
      </c>
      <c r="E1020" s="61">
        <f>IFERROR(__xludf.DUMMYFUNCTION("""COMPUTED_VALUE"""),3.0)</f>
        <v>3</v>
      </c>
      <c r="F1020" s="62" t="str">
        <f>IFERROR(__xludf.DUMMYFUNCTION("""COMPUTED_VALUE"""),"https://www.google.com/maps/search/?api=1&amp;query=-30.9004391237017,-55.5365333944267")</f>
        <v>https://www.google.com/maps/search/?api=1&amp;query=-30.9004391237017,-55.5365333944267</v>
      </c>
      <c r="G1020" s="63" t="str">
        <f>IFERROR(__xludf.DUMMYFUNCTION("""COMPUTED_VALUE"""),"https://earth.google.com/web/search/-30.9004391237017,-55.5365333944267")</f>
        <v>https://earth.google.com/web/search/-30.9004391237017,-55.5365333944267</v>
      </c>
      <c r="H1020" s="64"/>
      <c r="I1020" s="64"/>
      <c r="J1020" s="64"/>
      <c r="K1020" s="64"/>
      <c r="L1020" s="64"/>
      <c r="M1020" s="64"/>
      <c r="N1020" s="64"/>
      <c r="O1020" s="64"/>
      <c r="P1020" s="64"/>
      <c r="Q1020" s="64"/>
      <c r="R1020" s="64"/>
      <c r="S1020" s="64"/>
      <c r="T1020" s="64"/>
      <c r="U1020" s="64"/>
      <c r="V1020" s="64"/>
      <c r="W1020" s="64"/>
      <c r="X1020" s="64"/>
      <c r="Y1020" s="64"/>
      <c r="Z1020" s="64"/>
    </row>
    <row r="1021">
      <c r="A1021" s="65" t="str">
        <f>IFERROR(__xludf.DUMMYFUNCTION("""COMPUTED_VALUE"""),"-30.9003203957027")</f>
        <v>-30.9003203957027</v>
      </c>
      <c r="B1021" s="66" t="str">
        <f>IFERROR(__xludf.DUMMYFUNCTION("""COMPUTED_VALUE"""),"-55.5364603054125")</f>
        <v>-55.5364603054125</v>
      </c>
      <c r="C1021" s="66">
        <f>IFERROR(__xludf.DUMMYFUNCTION("""COMPUTED_VALUE"""),1.0)</f>
        <v>1</v>
      </c>
      <c r="D1021" s="66">
        <f>IFERROR(__xludf.DUMMYFUNCTION("""COMPUTED_VALUE"""),130.0)</f>
        <v>130</v>
      </c>
      <c r="E1021" s="66">
        <f>IFERROR(__xludf.DUMMYFUNCTION("""COMPUTED_VALUE"""),4.0)</f>
        <v>4</v>
      </c>
      <c r="F1021" s="67" t="str">
        <f>IFERROR(__xludf.DUMMYFUNCTION("""COMPUTED_VALUE"""),"https://www.google.com/maps/search/?api=1&amp;query=-30.9003203957027,-55.5364603054125")</f>
        <v>https://www.google.com/maps/search/?api=1&amp;query=-30.9003203957027,-55.5364603054125</v>
      </c>
      <c r="G1021" s="68" t="str">
        <f>IFERROR(__xludf.DUMMYFUNCTION("""COMPUTED_VALUE"""),"https://earth.google.com/web/search/-30.9003203957027,-55.5364603054125")</f>
        <v>https://earth.google.com/web/search/-30.9003203957027,-55.5364603054125</v>
      </c>
      <c r="H1021" s="64"/>
      <c r="I1021" s="64"/>
      <c r="J1021" s="64"/>
      <c r="K1021" s="64"/>
      <c r="L1021" s="64"/>
      <c r="M1021" s="64"/>
      <c r="N1021" s="64"/>
      <c r="O1021" s="64"/>
      <c r="P1021" s="64"/>
      <c r="Q1021" s="64"/>
      <c r="R1021" s="64"/>
      <c r="S1021" s="64"/>
      <c r="T1021" s="64"/>
      <c r="U1021" s="64"/>
      <c r="V1021" s="64"/>
      <c r="W1021" s="64"/>
      <c r="X1021" s="64"/>
      <c r="Y1021" s="64"/>
      <c r="Z1021" s="64"/>
    </row>
    <row r="1022">
      <c r="A1022" s="69" t="str">
        <f>IFERROR(__xludf.DUMMYFUNCTION("""COMPUTED_VALUE"""),"-30.9002710576673")</f>
        <v>-30.9002710576673</v>
      </c>
      <c r="B1022" s="61" t="str">
        <f>IFERROR(__xludf.DUMMYFUNCTION("""COMPUTED_VALUE"""),"-55.5364273465068")</f>
        <v>-55.5364273465068</v>
      </c>
      <c r="C1022" s="61">
        <f>IFERROR(__xludf.DUMMYFUNCTION("""COMPUTED_VALUE"""),1.0)</f>
        <v>1</v>
      </c>
      <c r="D1022" s="61">
        <f>IFERROR(__xludf.DUMMYFUNCTION("""COMPUTED_VALUE"""),130.0)</f>
        <v>130</v>
      </c>
      <c r="E1022" s="61">
        <f>IFERROR(__xludf.DUMMYFUNCTION("""COMPUTED_VALUE"""),5.0)</f>
        <v>5</v>
      </c>
      <c r="F1022" s="62" t="str">
        <f>IFERROR(__xludf.DUMMYFUNCTION("""COMPUTED_VALUE"""),"https://www.google.com/maps/search/?api=1&amp;query=-30.9002710576673,-55.5364273465068")</f>
        <v>https://www.google.com/maps/search/?api=1&amp;query=-30.9002710576673,-55.5364273465068</v>
      </c>
      <c r="G1022" s="63" t="str">
        <f>IFERROR(__xludf.DUMMYFUNCTION("""COMPUTED_VALUE"""),"https://earth.google.com/web/search/-30.9002710576673,-55.5364273465068")</f>
        <v>https://earth.google.com/web/search/-30.9002710576673,-55.5364273465068</v>
      </c>
      <c r="H1022" s="64"/>
      <c r="I1022" s="64"/>
      <c r="J1022" s="64"/>
      <c r="K1022" s="64"/>
      <c r="L1022" s="64"/>
      <c r="M1022" s="64"/>
      <c r="N1022" s="64"/>
      <c r="O1022" s="64"/>
      <c r="P1022" s="64"/>
      <c r="Q1022" s="64"/>
      <c r="R1022" s="64"/>
      <c r="S1022" s="64"/>
      <c r="T1022" s="64"/>
      <c r="U1022" s="64"/>
      <c r="V1022" s="64"/>
      <c r="W1022" s="64"/>
      <c r="X1022" s="64"/>
      <c r="Y1022" s="64"/>
      <c r="Z1022" s="64"/>
    </row>
    <row r="1023">
      <c r="A1023" s="65" t="str">
        <f>IFERROR(__xludf.DUMMYFUNCTION("""COMPUTED_VALUE"""),"-30.9001037371291")</f>
        <v>-30.9001037371291</v>
      </c>
      <c r="B1023" s="66" t="str">
        <f>IFERROR(__xludf.DUMMYFUNCTION("""COMPUTED_VALUE"""),"-55.5363055464618")</f>
        <v>-55.5363055464618</v>
      </c>
      <c r="C1023" s="66">
        <f>IFERROR(__xludf.DUMMYFUNCTION("""COMPUTED_VALUE"""),1.0)</f>
        <v>1</v>
      </c>
      <c r="D1023" s="66">
        <f>IFERROR(__xludf.DUMMYFUNCTION("""COMPUTED_VALUE"""),130.0)</f>
        <v>130</v>
      </c>
      <c r="E1023" s="66">
        <f>IFERROR(__xludf.DUMMYFUNCTION("""COMPUTED_VALUE"""),6.0)</f>
        <v>6</v>
      </c>
      <c r="F1023" s="67" t="str">
        <f>IFERROR(__xludf.DUMMYFUNCTION("""COMPUTED_VALUE"""),"https://www.google.com/maps/search/?api=1&amp;query=-30.9001037371291,-55.5363055464618")</f>
        <v>https://www.google.com/maps/search/?api=1&amp;query=-30.9001037371291,-55.5363055464618</v>
      </c>
      <c r="G1023" s="68" t="str">
        <f>IFERROR(__xludf.DUMMYFUNCTION("""COMPUTED_VALUE"""),"https://earth.google.com/web/search/-30.9001037371291,-55.5363055464618")</f>
        <v>https://earth.google.com/web/search/-30.9001037371291,-55.5363055464618</v>
      </c>
      <c r="H1023" s="64"/>
      <c r="I1023" s="64"/>
      <c r="J1023" s="64"/>
      <c r="K1023" s="64"/>
      <c r="L1023" s="64"/>
      <c r="M1023" s="64"/>
      <c r="N1023" s="64"/>
      <c r="O1023" s="64"/>
      <c r="P1023" s="64"/>
      <c r="Q1023" s="64"/>
      <c r="R1023" s="64"/>
      <c r="S1023" s="64"/>
      <c r="T1023" s="64"/>
      <c r="U1023" s="64"/>
      <c r="V1023" s="64"/>
      <c r="W1023" s="64"/>
      <c r="X1023" s="64"/>
      <c r="Y1023" s="64"/>
      <c r="Z1023" s="64"/>
    </row>
    <row r="1024">
      <c r="A1024" s="69" t="str">
        <f>IFERROR(__xludf.DUMMYFUNCTION("""COMPUTED_VALUE"""),"-30.8997804920528")</f>
        <v>-30.8997804920528</v>
      </c>
      <c r="B1024" s="61" t="str">
        <f>IFERROR(__xludf.DUMMYFUNCTION("""COMPUTED_VALUE"""),"-55.5362177370382")</f>
        <v>-55.5362177370382</v>
      </c>
      <c r="C1024" s="61">
        <f>IFERROR(__xludf.DUMMYFUNCTION("""COMPUTED_VALUE"""),1.0)</f>
        <v>1</v>
      </c>
      <c r="D1024" s="61">
        <f>IFERROR(__xludf.DUMMYFUNCTION("""COMPUTED_VALUE"""),130.0)</f>
        <v>130</v>
      </c>
      <c r="E1024" s="61">
        <f>IFERROR(__xludf.DUMMYFUNCTION("""COMPUTED_VALUE"""),7.0)</f>
        <v>7</v>
      </c>
      <c r="F1024" s="62" t="str">
        <f>IFERROR(__xludf.DUMMYFUNCTION("""COMPUTED_VALUE"""),"https://www.google.com/maps/search/?api=1&amp;query=-30.8997804920528,-55.5362177370382")</f>
        <v>https://www.google.com/maps/search/?api=1&amp;query=-30.8997804920528,-55.5362177370382</v>
      </c>
      <c r="G1024" s="63" t="str">
        <f>IFERROR(__xludf.DUMMYFUNCTION("""COMPUTED_VALUE"""),"https://earth.google.com/web/search/-30.8997804920528,-55.5362177370382")</f>
        <v>https://earth.google.com/web/search/-30.8997804920528,-55.5362177370382</v>
      </c>
      <c r="H1024" s="64"/>
      <c r="I1024" s="64"/>
      <c r="J1024" s="64"/>
      <c r="K1024" s="64"/>
      <c r="L1024" s="64"/>
      <c r="M1024" s="64"/>
      <c r="N1024" s="64"/>
      <c r="O1024" s="64"/>
      <c r="P1024" s="64"/>
      <c r="Q1024" s="64"/>
      <c r="R1024" s="64"/>
      <c r="S1024" s="64"/>
      <c r="T1024" s="64"/>
      <c r="U1024" s="64"/>
      <c r="V1024" s="64"/>
      <c r="W1024" s="64"/>
      <c r="X1024" s="64"/>
      <c r="Y1024" s="64"/>
      <c r="Z1024" s="64"/>
    </row>
    <row r="1025">
      <c r="A1025" s="65" t="str">
        <f>IFERROR(__xludf.DUMMYFUNCTION("""COMPUTED_VALUE"""),"-30.8996494337954")</f>
        <v>-30.8996494337954</v>
      </c>
      <c r="B1025" s="66" t="str">
        <f>IFERROR(__xludf.DUMMYFUNCTION("""COMPUTED_VALUE"""),"-55.5364646140425")</f>
        <v>-55.5364646140425</v>
      </c>
      <c r="C1025" s="66">
        <f>IFERROR(__xludf.DUMMYFUNCTION("""COMPUTED_VALUE"""),1.0)</f>
        <v>1</v>
      </c>
      <c r="D1025" s="66">
        <f>IFERROR(__xludf.DUMMYFUNCTION("""COMPUTED_VALUE"""),130.0)</f>
        <v>130</v>
      </c>
      <c r="E1025" s="66">
        <f>IFERROR(__xludf.DUMMYFUNCTION("""COMPUTED_VALUE"""),8.0)</f>
        <v>8</v>
      </c>
      <c r="F1025" s="67" t="str">
        <f>IFERROR(__xludf.DUMMYFUNCTION("""COMPUTED_VALUE"""),"https://www.google.com/maps/search/?api=1&amp;query=-30.8996494337954,-55.5364646140425")</f>
        <v>https://www.google.com/maps/search/?api=1&amp;query=-30.8996494337954,-55.5364646140425</v>
      </c>
      <c r="G1025" s="68" t="str">
        <f>IFERROR(__xludf.DUMMYFUNCTION("""COMPUTED_VALUE"""),"https://earth.google.com/web/search/-30.8996494337954,-55.5364646140425")</f>
        <v>https://earth.google.com/web/search/-30.8996494337954,-55.5364646140425</v>
      </c>
      <c r="H1025" s="64"/>
      <c r="I1025" s="64"/>
      <c r="J1025" s="64"/>
      <c r="K1025" s="64"/>
      <c r="L1025" s="64"/>
      <c r="M1025" s="64"/>
      <c r="N1025" s="64"/>
      <c r="O1025" s="64"/>
      <c r="P1025" s="64"/>
      <c r="Q1025" s="64"/>
      <c r="R1025" s="64"/>
      <c r="S1025" s="64"/>
      <c r="T1025" s="64"/>
      <c r="U1025" s="64"/>
      <c r="V1025" s="64"/>
      <c r="W1025" s="64"/>
      <c r="X1025" s="64"/>
      <c r="Y1025" s="64"/>
      <c r="Z1025" s="64"/>
    </row>
    <row r="1026">
      <c r="A1026" s="69" t="str">
        <f>IFERROR(__xludf.DUMMYFUNCTION("""COMPUTED_VALUE"""),"-30.8995986549443")</f>
        <v>-30.8995986549443</v>
      </c>
      <c r="B1026" s="61" t="str">
        <f>IFERROR(__xludf.DUMMYFUNCTION("""COMPUTED_VALUE"""),"-55.5365403015198")</f>
        <v>-55.5365403015198</v>
      </c>
      <c r="C1026" s="61">
        <f>IFERROR(__xludf.DUMMYFUNCTION("""COMPUTED_VALUE"""),1.0)</f>
        <v>1</v>
      </c>
      <c r="D1026" s="61">
        <f>IFERROR(__xludf.DUMMYFUNCTION("""COMPUTED_VALUE"""),130.0)</f>
        <v>130</v>
      </c>
      <c r="E1026" s="61">
        <f>IFERROR(__xludf.DUMMYFUNCTION("""COMPUTED_VALUE"""),9.0)</f>
        <v>9</v>
      </c>
      <c r="F1026" s="62" t="str">
        <f>IFERROR(__xludf.DUMMYFUNCTION("""COMPUTED_VALUE"""),"https://www.google.com/maps/search/?api=1&amp;query=-30.8995986549443,-55.5365403015198")</f>
        <v>https://www.google.com/maps/search/?api=1&amp;query=-30.8995986549443,-55.5365403015198</v>
      </c>
      <c r="G1026" s="63" t="str">
        <f>IFERROR(__xludf.DUMMYFUNCTION("""COMPUTED_VALUE"""),"https://earth.google.com/web/search/-30.8995986549443,-55.5365403015198")</f>
        <v>https://earth.google.com/web/search/-30.8995986549443,-55.5365403015198</v>
      </c>
      <c r="H1026" s="64"/>
      <c r="I1026" s="64"/>
      <c r="J1026" s="64"/>
      <c r="K1026" s="64"/>
      <c r="L1026" s="64"/>
      <c r="M1026" s="64"/>
      <c r="N1026" s="64"/>
      <c r="O1026" s="64"/>
      <c r="P1026" s="64"/>
      <c r="Q1026" s="64"/>
      <c r="R1026" s="64"/>
      <c r="S1026" s="64"/>
      <c r="T1026" s="64"/>
      <c r="U1026" s="64"/>
      <c r="V1026" s="64"/>
      <c r="W1026" s="64"/>
      <c r="X1026" s="64"/>
      <c r="Y1026" s="64"/>
      <c r="Z1026" s="64"/>
    </row>
    <row r="1027">
      <c r="A1027" s="65" t="str">
        <f>IFERROR(__xludf.DUMMYFUNCTION("""COMPUTED_VALUE"""),"-30.8994754846354")</f>
        <v>-30.8994754846354</v>
      </c>
      <c r="B1027" s="66" t="str">
        <f>IFERROR(__xludf.DUMMYFUNCTION("""COMPUTED_VALUE"""),"-55.5369995698896")</f>
        <v>-55.5369995698896</v>
      </c>
      <c r="C1027" s="66">
        <f>IFERROR(__xludf.DUMMYFUNCTION("""COMPUTED_VALUE"""),1.0)</f>
        <v>1</v>
      </c>
      <c r="D1027" s="66">
        <f>IFERROR(__xludf.DUMMYFUNCTION("""COMPUTED_VALUE"""),130.0)</f>
        <v>130</v>
      </c>
      <c r="E1027" s="66">
        <f>IFERROR(__xludf.DUMMYFUNCTION("""COMPUTED_VALUE"""),10.0)</f>
        <v>10</v>
      </c>
      <c r="F1027" s="67" t="str">
        <f>IFERROR(__xludf.DUMMYFUNCTION("""COMPUTED_VALUE"""),"https://www.google.com/maps/search/?api=1&amp;query=-30.8994754846354,-55.5369995698896")</f>
        <v>https://www.google.com/maps/search/?api=1&amp;query=-30.8994754846354,-55.5369995698896</v>
      </c>
      <c r="G1027" s="68" t="str">
        <f>IFERROR(__xludf.DUMMYFUNCTION("""COMPUTED_VALUE"""),"https://earth.google.com/web/search/-30.8994754846354,-55.5369995698896")</f>
        <v>https://earth.google.com/web/search/-30.8994754846354,-55.5369995698896</v>
      </c>
      <c r="H1027" s="64"/>
      <c r="I1027" s="64"/>
      <c r="J1027" s="64"/>
      <c r="K1027" s="64"/>
      <c r="L1027" s="64"/>
      <c r="M1027" s="64"/>
      <c r="N1027" s="64"/>
      <c r="O1027" s="64"/>
      <c r="P1027" s="64"/>
      <c r="Q1027" s="64"/>
      <c r="R1027" s="64"/>
      <c r="S1027" s="64"/>
      <c r="T1027" s="64"/>
      <c r="U1027" s="64"/>
      <c r="V1027" s="64"/>
      <c r="W1027" s="64"/>
      <c r="X1027" s="64"/>
      <c r="Y1027" s="64"/>
      <c r="Z1027" s="64"/>
    </row>
    <row r="1028">
      <c r="A1028" s="69" t="str">
        <f>IFERROR(__xludf.DUMMYFUNCTION("""COMPUTED_VALUE"""),"-30.8997900640579")</f>
        <v>-30.8997900640579</v>
      </c>
      <c r="B1028" s="61" t="str">
        <f>IFERROR(__xludf.DUMMYFUNCTION("""COMPUTED_VALUE"""),"-55.5372128555641")</f>
        <v>-55.5372128555641</v>
      </c>
      <c r="C1028" s="61">
        <f>IFERROR(__xludf.DUMMYFUNCTION("""COMPUTED_VALUE"""),1.0)</f>
        <v>1</v>
      </c>
      <c r="D1028" s="61">
        <f>IFERROR(__xludf.DUMMYFUNCTION("""COMPUTED_VALUE"""),130.0)</f>
        <v>130</v>
      </c>
      <c r="E1028" s="61">
        <f>IFERROR(__xludf.DUMMYFUNCTION("""COMPUTED_VALUE"""),11.0)</f>
        <v>11</v>
      </c>
      <c r="F1028" s="62" t="str">
        <f>IFERROR(__xludf.DUMMYFUNCTION("""COMPUTED_VALUE"""),"https://www.google.com/maps/search/?api=1&amp;query=-30.8997900640579,-55.5372128555641")</f>
        <v>https://www.google.com/maps/search/?api=1&amp;query=-30.8997900640579,-55.5372128555641</v>
      </c>
      <c r="G1028" s="63" t="str">
        <f>IFERROR(__xludf.DUMMYFUNCTION("""COMPUTED_VALUE"""),"https://earth.google.com/web/search/-30.8997900640579,-55.5372128555641")</f>
        <v>https://earth.google.com/web/search/-30.8997900640579,-55.5372128555641</v>
      </c>
      <c r="H1028" s="64"/>
      <c r="I1028" s="64"/>
      <c r="J1028" s="64"/>
      <c r="K1028" s="64"/>
      <c r="L1028" s="64"/>
      <c r="M1028" s="64"/>
      <c r="N1028" s="64"/>
      <c r="O1028" s="64"/>
      <c r="P1028" s="64"/>
      <c r="Q1028" s="64"/>
      <c r="R1028" s="64"/>
      <c r="S1028" s="64"/>
      <c r="T1028" s="64"/>
      <c r="U1028" s="64"/>
      <c r="V1028" s="64"/>
      <c r="W1028" s="64"/>
      <c r="X1028" s="64"/>
      <c r="Y1028" s="64"/>
      <c r="Z1028" s="64"/>
    </row>
    <row r="1029">
      <c r="A1029" s="65" t="str">
        <f>IFERROR(__xludf.DUMMYFUNCTION("""COMPUTED_VALUE"""),"-30.8999432662654")</f>
        <v>-30.8999432662654</v>
      </c>
      <c r="B1029" s="66" t="str">
        <f>IFERROR(__xludf.DUMMYFUNCTION("""COMPUTED_VALUE"""),"-55.5373241867563")</f>
        <v>-55.5373241867563</v>
      </c>
      <c r="C1029" s="66">
        <f>IFERROR(__xludf.DUMMYFUNCTION("""COMPUTED_VALUE"""),1.0)</f>
        <v>1</v>
      </c>
      <c r="D1029" s="66">
        <f>IFERROR(__xludf.DUMMYFUNCTION("""COMPUTED_VALUE"""),130.0)</f>
        <v>130</v>
      </c>
      <c r="E1029" s="66">
        <f>IFERROR(__xludf.DUMMYFUNCTION("""COMPUTED_VALUE"""),12.0)</f>
        <v>12</v>
      </c>
      <c r="F1029" s="67" t="str">
        <f>IFERROR(__xludf.DUMMYFUNCTION("""COMPUTED_VALUE"""),"https://www.google.com/maps/search/?api=1&amp;query=-30.8999432662654,-55.5373241867563")</f>
        <v>https://www.google.com/maps/search/?api=1&amp;query=-30.8999432662654,-55.5373241867563</v>
      </c>
      <c r="G1029" s="68" t="str">
        <f>IFERROR(__xludf.DUMMYFUNCTION("""COMPUTED_VALUE"""),"https://earth.google.com/web/search/-30.8999432662654,-55.5373241867563")</f>
        <v>https://earth.google.com/web/search/-30.8999432662654,-55.5373241867563</v>
      </c>
      <c r="H1029" s="64"/>
      <c r="I1029" s="64"/>
      <c r="J1029" s="64"/>
      <c r="K1029" s="64"/>
      <c r="L1029" s="64"/>
      <c r="M1029" s="64"/>
      <c r="N1029" s="64"/>
      <c r="O1029" s="64"/>
      <c r="P1029" s="64"/>
      <c r="Q1029" s="64"/>
      <c r="R1029" s="64"/>
      <c r="S1029" s="64"/>
      <c r="T1029" s="64"/>
      <c r="U1029" s="64"/>
      <c r="V1029" s="64"/>
      <c r="W1029" s="64"/>
      <c r="X1029" s="64"/>
      <c r="Y1029" s="64"/>
      <c r="Z1029" s="64"/>
    </row>
    <row r="1030">
      <c r="A1030" s="69" t="str">
        <f>IFERROR(__xludf.DUMMYFUNCTION("""COMPUTED_VALUE"""),"-30.8998182005339")</f>
        <v>-30.8998182005339</v>
      </c>
      <c r="B1030" s="61" t="str">
        <f>IFERROR(__xludf.DUMMYFUNCTION("""COMPUTED_VALUE"""),"-55.5379224482169")</f>
        <v>-55.5379224482169</v>
      </c>
      <c r="C1030" s="61">
        <f>IFERROR(__xludf.DUMMYFUNCTION("""COMPUTED_VALUE"""),1.0)</f>
        <v>1</v>
      </c>
      <c r="D1030" s="61">
        <f>IFERROR(__xludf.DUMMYFUNCTION("""COMPUTED_VALUE"""),131.0)</f>
        <v>131</v>
      </c>
      <c r="E1030" s="61">
        <f>IFERROR(__xludf.DUMMYFUNCTION("""COMPUTED_VALUE"""),1.0)</f>
        <v>1</v>
      </c>
      <c r="F1030" s="62" t="str">
        <f>IFERROR(__xludf.DUMMYFUNCTION("""COMPUTED_VALUE"""),"https://www.google.com/maps/search/?api=1&amp;query=-30.8998182005339,-55.5379224482169")</f>
        <v>https://www.google.com/maps/search/?api=1&amp;query=-30.8998182005339,-55.5379224482169</v>
      </c>
      <c r="G1030" s="63" t="str">
        <f>IFERROR(__xludf.DUMMYFUNCTION("""COMPUTED_VALUE"""),"https://earth.google.com/web/search/-30.8998182005339,-55.5379224482169")</f>
        <v>https://earth.google.com/web/search/-30.8998182005339,-55.5379224482169</v>
      </c>
      <c r="H1030" s="64"/>
      <c r="I1030" s="64"/>
      <c r="J1030" s="64"/>
      <c r="K1030" s="64"/>
      <c r="L1030" s="64"/>
      <c r="M1030" s="64"/>
      <c r="N1030" s="64"/>
      <c r="O1030" s="64"/>
      <c r="P1030" s="64"/>
      <c r="Q1030" s="64"/>
      <c r="R1030" s="64"/>
      <c r="S1030" s="64"/>
      <c r="T1030" s="64"/>
      <c r="U1030" s="64"/>
      <c r="V1030" s="64"/>
      <c r="W1030" s="64"/>
      <c r="X1030" s="64"/>
      <c r="Y1030" s="64"/>
      <c r="Z1030" s="64"/>
    </row>
    <row r="1031">
      <c r="A1031" s="65" t="str">
        <f>IFERROR(__xludf.DUMMYFUNCTION("""COMPUTED_VALUE"""),"-30.8999637066583")</f>
        <v>-30.8999637066583</v>
      </c>
      <c r="B1031" s="66" t="str">
        <f>IFERROR(__xludf.DUMMYFUNCTION("""COMPUTED_VALUE"""),"-55.5376444453943")</f>
        <v>-55.5376444453943</v>
      </c>
      <c r="C1031" s="66">
        <f>IFERROR(__xludf.DUMMYFUNCTION("""COMPUTED_VALUE"""),1.0)</f>
        <v>1</v>
      </c>
      <c r="D1031" s="66">
        <f>IFERROR(__xludf.DUMMYFUNCTION("""COMPUTED_VALUE"""),131.0)</f>
        <v>131</v>
      </c>
      <c r="E1031" s="66">
        <f>IFERROR(__xludf.DUMMYFUNCTION("""COMPUTED_VALUE"""),2.0)</f>
        <v>2</v>
      </c>
      <c r="F1031" s="67" t="str">
        <f>IFERROR(__xludf.DUMMYFUNCTION("""COMPUTED_VALUE"""),"https://www.google.com/maps/search/?api=1&amp;query=-30.8999637066583,-55.5376444453943")</f>
        <v>https://www.google.com/maps/search/?api=1&amp;query=-30.8999637066583,-55.5376444453943</v>
      </c>
      <c r="G1031" s="68" t="str">
        <f>IFERROR(__xludf.DUMMYFUNCTION("""COMPUTED_VALUE"""),"https://earth.google.com/web/search/-30.8999637066583,-55.5376444453943")</f>
        <v>https://earth.google.com/web/search/-30.8999637066583,-55.5376444453943</v>
      </c>
      <c r="H1031" s="64"/>
      <c r="I1031" s="64"/>
      <c r="J1031" s="64"/>
      <c r="K1031" s="64"/>
      <c r="L1031" s="64"/>
      <c r="M1031" s="64"/>
      <c r="N1031" s="64"/>
      <c r="O1031" s="64"/>
      <c r="P1031" s="64"/>
      <c r="Q1031" s="64"/>
      <c r="R1031" s="64"/>
      <c r="S1031" s="64"/>
      <c r="T1031" s="64"/>
      <c r="U1031" s="64"/>
      <c r="V1031" s="64"/>
      <c r="W1031" s="64"/>
      <c r="X1031" s="64"/>
      <c r="Y1031" s="64"/>
      <c r="Z1031" s="64"/>
    </row>
    <row r="1032">
      <c r="A1032" s="69" t="str">
        <f>IFERROR(__xludf.DUMMYFUNCTION("""COMPUTED_VALUE"""),"-30.8996552496854")</f>
        <v>-30.8996552496854</v>
      </c>
      <c r="B1032" s="61" t="str">
        <f>IFERROR(__xludf.DUMMYFUNCTION("""COMPUTED_VALUE"""),"-55.5372481958952")</f>
        <v>-55.5372481958952</v>
      </c>
      <c r="C1032" s="61">
        <f>IFERROR(__xludf.DUMMYFUNCTION("""COMPUTED_VALUE"""),1.0)</f>
        <v>1</v>
      </c>
      <c r="D1032" s="61">
        <f>IFERROR(__xludf.DUMMYFUNCTION("""COMPUTED_VALUE"""),131.0)</f>
        <v>131</v>
      </c>
      <c r="E1032" s="61">
        <f>IFERROR(__xludf.DUMMYFUNCTION("""COMPUTED_VALUE"""),3.0)</f>
        <v>3</v>
      </c>
      <c r="F1032" s="62" t="str">
        <f>IFERROR(__xludf.DUMMYFUNCTION("""COMPUTED_VALUE"""),"https://www.google.com/maps/search/?api=1&amp;query=-30.8996552496854,-55.5372481958952")</f>
        <v>https://www.google.com/maps/search/?api=1&amp;query=-30.8996552496854,-55.5372481958952</v>
      </c>
      <c r="G1032" s="63" t="str">
        <f>IFERROR(__xludf.DUMMYFUNCTION("""COMPUTED_VALUE"""),"https://earth.google.com/web/search/-30.8996552496854,-55.5372481958952")</f>
        <v>https://earth.google.com/web/search/-30.8996552496854,-55.5372481958952</v>
      </c>
      <c r="H1032" s="64"/>
      <c r="I1032" s="64"/>
      <c r="J1032" s="64"/>
      <c r="K1032" s="64"/>
      <c r="L1032" s="64"/>
      <c r="M1032" s="64"/>
      <c r="N1032" s="64"/>
      <c r="O1032" s="64"/>
      <c r="P1032" s="64"/>
      <c r="Q1032" s="64"/>
      <c r="R1032" s="64"/>
      <c r="S1032" s="64"/>
      <c r="T1032" s="64"/>
      <c r="U1032" s="64"/>
      <c r="V1032" s="64"/>
      <c r="W1032" s="64"/>
      <c r="X1032" s="64"/>
      <c r="Y1032" s="64"/>
      <c r="Z1032" s="64"/>
    </row>
    <row r="1033">
      <c r="A1033" s="65" t="str">
        <f>IFERROR(__xludf.DUMMYFUNCTION("""COMPUTED_VALUE"""),"-30.8996100239802")</f>
        <v>-30.8996100239802</v>
      </c>
      <c r="B1033" s="66" t="str">
        <f>IFERROR(__xludf.DUMMYFUNCTION("""COMPUTED_VALUE"""),"-55.5371931464848")</f>
        <v>-55.5371931464848</v>
      </c>
      <c r="C1033" s="66">
        <f>IFERROR(__xludf.DUMMYFUNCTION("""COMPUTED_VALUE"""),1.0)</f>
        <v>1</v>
      </c>
      <c r="D1033" s="66">
        <f>IFERROR(__xludf.DUMMYFUNCTION("""COMPUTED_VALUE"""),131.0)</f>
        <v>131</v>
      </c>
      <c r="E1033" s="66">
        <f>IFERROR(__xludf.DUMMYFUNCTION("""COMPUTED_VALUE"""),4.0)</f>
        <v>4</v>
      </c>
      <c r="F1033" s="67" t="str">
        <f>IFERROR(__xludf.DUMMYFUNCTION("""COMPUTED_VALUE"""),"https://www.google.com/maps/search/?api=1&amp;query=-30.8996100239802,-55.5371931464848")</f>
        <v>https://www.google.com/maps/search/?api=1&amp;query=-30.8996100239802,-55.5371931464848</v>
      </c>
      <c r="G1033" s="68" t="str">
        <f>IFERROR(__xludf.DUMMYFUNCTION("""COMPUTED_VALUE"""),"https://earth.google.com/web/search/-30.8996100239802,-55.5371931464848")</f>
        <v>https://earth.google.com/web/search/-30.8996100239802,-55.5371931464848</v>
      </c>
      <c r="H1033" s="64"/>
      <c r="I1033" s="64"/>
      <c r="J1033" s="64"/>
      <c r="K1033" s="64"/>
      <c r="L1033" s="64"/>
      <c r="M1033" s="64"/>
      <c r="N1033" s="64"/>
      <c r="O1033" s="64"/>
      <c r="P1033" s="64"/>
      <c r="Q1033" s="64"/>
      <c r="R1033" s="64"/>
      <c r="S1033" s="64"/>
      <c r="T1033" s="64"/>
      <c r="U1033" s="64"/>
      <c r="V1033" s="64"/>
      <c r="W1033" s="64"/>
      <c r="X1033" s="64"/>
      <c r="Y1033" s="64"/>
      <c r="Z1033" s="64"/>
    </row>
    <row r="1034">
      <c r="A1034" s="69" t="str">
        <f>IFERROR(__xludf.DUMMYFUNCTION("""COMPUTED_VALUE"""),"-3.0899313415645")</f>
        <v>-3.0899313415645</v>
      </c>
      <c r="B1034" s="61" t="str">
        <f>IFERROR(__xludf.DUMMYFUNCTION("""COMPUTED_VALUE"""),"-55.5370432107576")</f>
        <v>-55.5370432107576</v>
      </c>
      <c r="C1034" s="61">
        <f>IFERROR(__xludf.DUMMYFUNCTION("""COMPUTED_VALUE"""),1.0)</f>
        <v>1</v>
      </c>
      <c r="D1034" s="61">
        <f>IFERROR(__xludf.DUMMYFUNCTION("""COMPUTED_VALUE"""),131.0)</f>
        <v>131</v>
      </c>
      <c r="E1034" s="61">
        <f>IFERROR(__xludf.DUMMYFUNCTION("""COMPUTED_VALUE"""),5.0)</f>
        <v>5</v>
      </c>
      <c r="F1034" s="62" t="str">
        <f>IFERROR(__xludf.DUMMYFUNCTION("""COMPUTED_VALUE"""),"https://www.google.com/maps/search/?api=1&amp;query=-3.0899313415645,-55.5370432107576")</f>
        <v>https://www.google.com/maps/search/?api=1&amp;query=-3.0899313415645,-55.5370432107576</v>
      </c>
      <c r="G1034" s="63" t="str">
        <f>IFERROR(__xludf.DUMMYFUNCTION("""COMPUTED_VALUE"""),"https://earth.google.com/web/search/-3.0899313415645,-55.5370432107576")</f>
        <v>https://earth.google.com/web/search/-3.0899313415645,-55.5370432107576</v>
      </c>
      <c r="H1034" s="64"/>
      <c r="I1034" s="64"/>
      <c r="J1034" s="64"/>
      <c r="K1034" s="64"/>
      <c r="L1034" s="64"/>
      <c r="M1034" s="64"/>
      <c r="N1034" s="64"/>
      <c r="O1034" s="64"/>
      <c r="P1034" s="64"/>
      <c r="Q1034" s="64"/>
      <c r="R1034" s="64"/>
      <c r="S1034" s="64"/>
      <c r="T1034" s="64"/>
      <c r="U1034" s="64"/>
      <c r="V1034" s="64"/>
      <c r="W1034" s="64"/>
      <c r="X1034" s="64"/>
      <c r="Y1034" s="64"/>
      <c r="Z1034" s="64"/>
    </row>
    <row r="1035">
      <c r="A1035" s="65" t="str">
        <f>IFERROR(__xludf.DUMMYFUNCTION("""COMPUTED_VALUE"""),"-30.8991147116568")</f>
        <v>-30.8991147116568</v>
      </c>
      <c r="B1035" s="66" t="str">
        <f>IFERROR(__xludf.DUMMYFUNCTION("""COMPUTED_VALUE"""),"-55.5374007594628")</f>
        <v>-55.5374007594628</v>
      </c>
      <c r="C1035" s="66">
        <f>IFERROR(__xludf.DUMMYFUNCTION("""COMPUTED_VALUE"""),1.0)</f>
        <v>1</v>
      </c>
      <c r="D1035" s="66">
        <f>IFERROR(__xludf.DUMMYFUNCTION("""COMPUTED_VALUE"""),131.0)</f>
        <v>131</v>
      </c>
      <c r="E1035" s="66">
        <f>IFERROR(__xludf.DUMMYFUNCTION("""COMPUTED_VALUE"""),6.0)</f>
        <v>6</v>
      </c>
      <c r="F1035" s="67" t="str">
        <f>IFERROR(__xludf.DUMMYFUNCTION("""COMPUTED_VALUE"""),"https://www.google.com/maps/search/?api=1&amp;query=-30.8991147116568,-55.5374007594628")</f>
        <v>https://www.google.com/maps/search/?api=1&amp;query=-30.8991147116568,-55.5374007594628</v>
      </c>
      <c r="G1035" s="68" t="str">
        <f>IFERROR(__xludf.DUMMYFUNCTION("""COMPUTED_VALUE"""),"https://earth.google.com/web/search/-30.8991147116568,-55.5374007594628")</f>
        <v>https://earth.google.com/web/search/-30.8991147116568,-55.5374007594628</v>
      </c>
      <c r="H1035" s="64"/>
      <c r="I1035" s="64"/>
      <c r="J1035" s="64"/>
      <c r="K1035" s="64"/>
      <c r="L1035" s="64"/>
      <c r="M1035" s="64"/>
      <c r="N1035" s="64"/>
      <c r="O1035" s="64"/>
      <c r="P1035" s="64"/>
      <c r="Q1035" s="64"/>
      <c r="R1035" s="64"/>
      <c r="S1035" s="64"/>
      <c r="T1035" s="64"/>
      <c r="U1035" s="64"/>
      <c r="V1035" s="64"/>
      <c r="W1035" s="64"/>
      <c r="X1035" s="64"/>
      <c r="Y1035" s="64"/>
      <c r="Z1035" s="64"/>
    </row>
    <row r="1036">
      <c r="A1036" s="69" t="str">
        <f>IFERROR(__xludf.DUMMYFUNCTION("""COMPUTED_VALUE"""),"-30.8990805833504")</f>
        <v>-30.8990805833504</v>
      </c>
      <c r="B1036" s="61" t="str">
        <f>IFERROR(__xludf.DUMMYFUNCTION("""COMPUTED_VALUE"""),"-5.5537459823603")</f>
        <v>-5.5537459823603</v>
      </c>
      <c r="C1036" s="61">
        <f>IFERROR(__xludf.DUMMYFUNCTION("""COMPUTED_VALUE"""),1.0)</f>
        <v>1</v>
      </c>
      <c r="D1036" s="61">
        <f>IFERROR(__xludf.DUMMYFUNCTION("""COMPUTED_VALUE"""),131.0)</f>
        <v>131</v>
      </c>
      <c r="E1036" s="61">
        <f>IFERROR(__xludf.DUMMYFUNCTION("""COMPUTED_VALUE"""),7.0)</f>
        <v>7</v>
      </c>
      <c r="F1036" s="62" t="str">
        <f>IFERROR(__xludf.DUMMYFUNCTION("""COMPUTED_VALUE"""),"https://www.google.com/maps/search/?api=1&amp;query=-30.8990805833504,-5.5537459823603")</f>
        <v>https://www.google.com/maps/search/?api=1&amp;query=-30.8990805833504,-5.5537459823603</v>
      </c>
      <c r="G1036" s="63" t="str">
        <f>IFERROR(__xludf.DUMMYFUNCTION("""COMPUTED_VALUE"""),"https://earth.google.com/web/search/-30.8990805833504,-5.5537459823603")</f>
        <v>https://earth.google.com/web/search/-30.8990805833504,-5.5537459823603</v>
      </c>
      <c r="H1036" s="64"/>
      <c r="I1036" s="64"/>
      <c r="J1036" s="64"/>
      <c r="K1036" s="64"/>
      <c r="L1036" s="64"/>
      <c r="M1036" s="64"/>
      <c r="N1036" s="64"/>
      <c r="O1036" s="64"/>
      <c r="P1036" s="64"/>
      <c r="Q1036" s="64"/>
      <c r="R1036" s="64"/>
      <c r="S1036" s="64"/>
      <c r="T1036" s="64"/>
      <c r="U1036" s="64"/>
      <c r="V1036" s="64"/>
      <c r="W1036" s="64"/>
      <c r="X1036" s="64"/>
      <c r="Y1036" s="64"/>
      <c r="Z1036" s="64"/>
    </row>
    <row r="1037">
      <c r="A1037" s="65" t="str">
        <f>IFERROR(__xludf.DUMMYFUNCTION("""COMPUTED_VALUE"""),"-30.8989673983597")</f>
        <v>-30.8989673983597</v>
      </c>
      <c r="B1037" s="66" t="str">
        <f>IFERROR(__xludf.DUMMYFUNCTION("""COMPUTED_VALUE"""),"-55.5377027831212")</f>
        <v>-55.5377027831212</v>
      </c>
      <c r="C1037" s="66">
        <f>IFERROR(__xludf.DUMMYFUNCTION("""COMPUTED_VALUE"""),1.0)</f>
        <v>1</v>
      </c>
      <c r="D1037" s="66">
        <f>IFERROR(__xludf.DUMMYFUNCTION("""COMPUTED_VALUE"""),131.0)</f>
        <v>131</v>
      </c>
      <c r="E1037" s="66">
        <f>IFERROR(__xludf.DUMMYFUNCTION("""COMPUTED_VALUE"""),8.0)</f>
        <v>8</v>
      </c>
      <c r="F1037" s="67" t="str">
        <f>IFERROR(__xludf.DUMMYFUNCTION("""COMPUTED_VALUE"""),"https://www.google.com/maps/search/?api=1&amp;query=-30.8989673983597,-55.5377027831212")</f>
        <v>https://www.google.com/maps/search/?api=1&amp;query=-30.8989673983597,-55.5377027831212</v>
      </c>
      <c r="G1037" s="68" t="str">
        <f>IFERROR(__xludf.DUMMYFUNCTION("""COMPUTED_VALUE"""),"https://earth.google.com/web/search/-30.8989673983597,-55.5377027831212")</f>
        <v>https://earth.google.com/web/search/-30.8989673983597,-55.5377027831212</v>
      </c>
      <c r="H1037" s="64"/>
      <c r="I1037" s="64"/>
      <c r="J1037" s="64"/>
      <c r="K1037" s="64"/>
      <c r="L1037" s="64"/>
      <c r="M1037" s="64"/>
      <c r="N1037" s="64"/>
      <c r="O1037" s="64"/>
      <c r="P1037" s="64"/>
      <c r="Q1037" s="64"/>
      <c r="R1037" s="64"/>
      <c r="S1037" s="64"/>
      <c r="T1037" s="64"/>
      <c r="U1037" s="64"/>
      <c r="V1037" s="64"/>
      <c r="W1037" s="64"/>
      <c r="X1037" s="64"/>
      <c r="Y1037" s="64"/>
      <c r="Z1037" s="64"/>
    </row>
    <row r="1038">
      <c r="A1038" s="69" t="str">
        <f>IFERROR(__xludf.DUMMYFUNCTION("""COMPUTED_VALUE"""),"-30.8989617798864")</f>
        <v>-30.8989617798864</v>
      </c>
      <c r="B1038" s="61" t="str">
        <f>IFERROR(__xludf.DUMMYFUNCTION("""COMPUTED_VALUE"""),"-55.5378615181134")</f>
        <v>-55.5378615181134</v>
      </c>
      <c r="C1038" s="61">
        <f>IFERROR(__xludf.DUMMYFUNCTION("""COMPUTED_VALUE"""),1.0)</f>
        <v>1</v>
      </c>
      <c r="D1038" s="61">
        <f>IFERROR(__xludf.DUMMYFUNCTION("""COMPUTED_VALUE"""),131.0)</f>
        <v>131</v>
      </c>
      <c r="E1038" s="61">
        <f>IFERROR(__xludf.DUMMYFUNCTION("""COMPUTED_VALUE"""),9.0)</f>
        <v>9</v>
      </c>
      <c r="F1038" s="62" t="str">
        <f>IFERROR(__xludf.DUMMYFUNCTION("""COMPUTED_VALUE"""),"https://www.google.com/maps/search/?api=1&amp;query=-30.8989617798864,-55.5378615181134")</f>
        <v>https://www.google.com/maps/search/?api=1&amp;query=-30.8989617798864,-55.5378615181134</v>
      </c>
      <c r="G1038" s="63" t="str">
        <f>IFERROR(__xludf.DUMMYFUNCTION("""COMPUTED_VALUE"""),"https://earth.google.com/web/search/-30.8989617798864,-55.5378615181134")</f>
        <v>https://earth.google.com/web/search/-30.8989617798864,-55.5378615181134</v>
      </c>
      <c r="H1038" s="64"/>
      <c r="I1038" s="64"/>
      <c r="J1038" s="64"/>
      <c r="K1038" s="64"/>
      <c r="L1038" s="64"/>
      <c r="M1038" s="64"/>
      <c r="N1038" s="64"/>
      <c r="O1038" s="64"/>
      <c r="P1038" s="64"/>
      <c r="Q1038" s="64"/>
      <c r="R1038" s="64"/>
      <c r="S1038" s="64"/>
      <c r="T1038" s="64"/>
      <c r="U1038" s="64"/>
      <c r="V1038" s="64"/>
      <c r="W1038" s="64"/>
      <c r="X1038" s="64"/>
      <c r="Y1038" s="64"/>
      <c r="Z1038" s="64"/>
    </row>
    <row r="1039">
      <c r="A1039" s="65" t="str">
        <f>IFERROR(__xludf.DUMMYFUNCTION("""COMPUTED_VALUE"""),"-30.8991724541508")</f>
        <v>-30.8991724541508</v>
      </c>
      <c r="B1039" s="66" t="str">
        <f>IFERROR(__xludf.DUMMYFUNCTION("""COMPUTED_VALUE"""),"-55.5380234132211")</f>
        <v>-55.5380234132211</v>
      </c>
      <c r="C1039" s="66">
        <f>IFERROR(__xludf.DUMMYFUNCTION("""COMPUTED_VALUE"""),1.0)</f>
        <v>1</v>
      </c>
      <c r="D1039" s="66">
        <f>IFERROR(__xludf.DUMMYFUNCTION("""COMPUTED_VALUE"""),131.0)</f>
        <v>131</v>
      </c>
      <c r="E1039" s="66">
        <f>IFERROR(__xludf.DUMMYFUNCTION("""COMPUTED_VALUE"""),10.0)</f>
        <v>10</v>
      </c>
      <c r="F1039" s="67" t="str">
        <f>IFERROR(__xludf.DUMMYFUNCTION("""COMPUTED_VALUE"""),"https://www.google.com/maps/search/?api=1&amp;query=-30.8991724541508,-55.5380234132211")</f>
        <v>https://www.google.com/maps/search/?api=1&amp;query=-30.8991724541508,-55.5380234132211</v>
      </c>
      <c r="G1039" s="68" t="str">
        <f>IFERROR(__xludf.DUMMYFUNCTION("""COMPUTED_VALUE"""),"https://earth.google.com/web/search/-30.8991724541508,-55.5380234132211")</f>
        <v>https://earth.google.com/web/search/-30.8991724541508,-55.5380234132211</v>
      </c>
      <c r="H1039" s="64"/>
      <c r="I1039" s="64"/>
      <c r="J1039" s="64"/>
      <c r="K1039" s="64"/>
      <c r="L1039" s="64"/>
      <c r="M1039" s="64"/>
      <c r="N1039" s="64"/>
      <c r="O1039" s="64"/>
      <c r="P1039" s="64"/>
      <c r="Q1039" s="64"/>
      <c r="R1039" s="64"/>
      <c r="S1039" s="64"/>
      <c r="T1039" s="64"/>
      <c r="U1039" s="64"/>
      <c r="V1039" s="64"/>
      <c r="W1039" s="64"/>
      <c r="X1039" s="64"/>
      <c r="Y1039" s="64"/>
      <c r="Z1039" s="64"/>
    </row>
    <row r="1040">
      <c r="A1040" s="69" t="str">
        <f>IFERROR(__xludf.DUMMYFUNCTION("""COMPUTED_VALUE"""),"-30.8992144018269")</f>
        <v>-30.8992144018269</v>
      </c>
      <c r="B1040" s="61" t="str">
        <f>IFERROR(__xludf.DUMMYFUNCTION("""COMPUTED_VALUE"""),"-55.5380456153405")</f>
        <v>-55.5380456153405</v>
      </c>
      <c r="C1040" s="61">
        <f>IFERROR(__xludf.DUMMYFUNCTION("""COMPUTED_VALUE"""),1.0)</f>
        <v>1</v>
      </c>
      <c r="D1040" s="61">
        <f>IFERROR(__xludf.DUMMYFUNCTION("""COMPUTED_VALUE"""),131.0)</f>
        <v>131</v>
      </c>
      <c r="E1040" s="61">
        <f>IFERROR(__xludf.DUMMYFUNCTION("""COMPUTED_VALUE"""),11.0)</f>
        <v>11</v>
      </c>
      <c r="F1040" s="62" t="str">
        <f>IFERROR(__xludf.DUMMYFUNCTION("""COMPUTED_VALUE"""),"https://www.google.com/maps/search/?api=1&amp;query=-30.8992144018269,-55.5380456153405")</f>
        <v>https://www.google.com/maps/search/?api=1&amp;query=-30.8992144018269,-55.5380456153405</v>
      </c>
      <c r="G1040" s="63" t="str">
        <f>IFERROR(__xludf.DUMMYFUNCTION("""COMPUTED_VALUE"""),"https://earth.google.com/web/search/-30.8992144018269,-55.5380456153405")</f>
        <v>https://earth.google.com/web/search/-30.8992144018269,-55.5380456153405</v>
      </c>
      <c r="H1040" s="64"/>
      <c r="I1040" s="64"/>
      <c r="J1040" s="64"/>
      <c r="K1040" s="64"/>
      <c r="L1040" s="64"/>
      <c r="M1040" s="64"/>
      <c r="N1040" s="64"/>
      <c r="O1040" s="64"/>
      <c r="P1040" s="64"/>
      <c r="Q1040" s="64"/>
      <c r="R1040" s="64"/>
      <c r="S1040" s="64"/>
      <c r="T1040" s="64"/>
      <c r="U1040" s="64"/>
      <c r="V1040" s="64"/>
      <c r="W1040" s="64"/>
      <c r="X1040" s="64"/>
      <c r="Y1040" s="64"/>
      <c r="Z1040" s="64"/>
    </row>
    <row r="1041">
      <c r="A1041" s="65" t="str">
        <f>IFERROR(__xludf.DUMMYFUNCTION("""COMPUTED_VALUE"""),"-30.8992936856524")</f>
        <v>-30.8992936856524</v>
      </c>
      <c r="B1041" s="66" t="str">
        <f>IFERROR(__xludf.DUMMYFUNCTION("""COMPUTED_VALUE"""),"-55.5380941901075")</f>
        <v>-55.5380941901075</v>
      </c>
      <c r="C1041" s="66">
        <f>IFERROR(__xludf.DUMMYFUNCTION("""COMPUTED_VALUE"""),1.0)</f>
        <v>1</v>
      </c>
      <c r="D1041" s="66">
        <f>IFERROR(__xludf.DUMMYFUNCTION("""COMPUTED_VALUE"""),131.0)</f>
        <v>131</v>
      </c>
      <c r="E1041" s="66">
        <f>IFERROR(__xludf.DUMMYFUNCTION("""COMPUTED_VALUE"""),12.0)</f>
        <v>12</v>
      </c>
      <c r="F1041" s="67" t="str">
        <f>IFERROR(__xludf.DUMMYFUNCTION("""COMPUTED_VALUE"""),"https://www.google.com/maps/search/?api=1&amp;query=-30.8992936856524,-55.5380941901075")</f>
        <v>https://www.google.com/maps/search/?api=1&amp;query=-30.8992936856524,-55.5380941901075</v>
      </c>
      <c r="G1041" s="68" t="str">
        <f>IFERROR(__xludf.DUMMYFUNCTION("""COMPUTED_VALUE"""),"https://earth.google.com/web/search/-30.8992936856524,-55.5380941901075")</f>
        <v>https://earth.google.com/web/search/-30.8992936856524,-55.5380941901075</v>
      </c>
      <c r="H1041" s="64"/>
      <c r="I1041" s="64"/>
      <c r="J1041" s="64"/>
      <c r="K1041" s="64"/>
      <c r="L1041" s="64"/>
      <c r="M1041" s="64"/>
      <c r="N1041" s="64"/>
      <c r="O1041" s="64"/>
      <c r="P1041" s="64"/>
      <c r="Q1041" s="64"/>
      <c r="R1041" s="64"/>
      <c r="S1041" s="64"/>
      <c r="T1041" s="64"/>
      <c r="U1041" s="64"/>
      <c r="V1041" s="64"/>
      <c r="W1041" s="64"/>
      <c r="X1041" s="64"/>
      <c r="Y1041" s="64"/>
      <c r="Z1041" s="64"/>
    </row>
    <row r="1042">
      <c r="A1042" s="69" t="str">
        <f>IFERROR(__xludf.DUMMYFUNCTION("""COMPUTED_VALUE"""),"-30.8993442552542")</f>
        <v>-30.8993442552542</v>
      </c>
      <c r="B1042" s="61" t="str">
        <f>IFERROR(__xludf.DUMMYFUNCTION("""COMPUTED_VALUE"""),"-55.5381267341861")</f>
        <v>-55.5381267341861</v>
      </c>
      <c r="C1042" s="61">
        <f>IFERROR(__xludf.DUMMYFUNCTION("""COMPUTED_VALUE"""),1.0)</f>
        <v>1</v>
      </c>
      <c r="D1042" s="61">
        <f>IFERROR(__xludf.DUMMYFUNCTION("""COMPUTED_VALUE"""),131.0)</f>
        <v>131</v>
      </c>
      <c r="E1042" s="61">
        <f>IFERROR(__xludf.DUMMYFUNCTION("""COMPUTED_VALUE"""),13.0)</f>
        <v>13</v>
      </c>
      <c r="F1042" s="62" t="str">
        <f>IFERROR(__xludf.DUMMYFUNCTION("""COMPUTED_VALUE"""),"https://www.google.com/maps/search/?api=1&amp;query=-30.8993442552542,-55.5381267341861")</f>
        <v>https://www.google.com/maps/search/?api=1&amp;query=-30.8993442552542,-55.5381267341861</v>
      </c>
      <c r="G1042" s="63" t="str">
        <f>IFERROR(__xludf.DUMMYFUNCTION("""COMPUTED_VALUE"""),"https://earth.google.com/web/search/-30.8993442552542,-55.5381267341861")</f>
        <v>https://earth.google.com/web/search/-30.8993442552542,-55.5381267341861</v>
      </c>
      <c r="H1042" s="64"/>
      <c r="I1042" s="64"/>
      <c r="J1042" s="64"/>
      <c r="K1042" s="64"/>
      <c r="L1042" s="64"/>
      <c r="M1042" s="64"/>
      <c r="N1042" s="64"/>
      <c r="O1042" s="64"/>
      <c r="P1042" s="64"/>
      <c r="Q1042" s="64"/>
      <c r="R1042" s="64"/>
      <c r="S1042" s="64"/>
      <c r="T1042" s="64"/>
      <c r="U1042" s="64"/>
      <c r="V1042" s="64"/>
      <c r="W1042" s="64"/>
      <c r="X1042" s="64"/>
      <c r="Y1042" s="64"/>
      <c r="Z1042" s="64"/>
    </row>
    <row r="1043">
      <c r="A1043" s="65" t="str">
        <f>IFERROR(__xludf.DUMMYFUNCTION("""COMPUTED_VALUE"""),"-3.0899221103242")</f>
        <v>-3.0899221103242</v>
      </c>
      <c r="B1043" s="66" t="str">
        <f>IFERROR(__xludf.DUMMYFUNCTION("""COMPUTED_VALUE"""),"-55.5390721162179")</f>
        <v>-55.5390721162179</v>
      </c>
      <c r="C1043" s="66">
        <f>IFERROR(__xludf.DUMMYFUNCTION("""COMPUTED_VALUE"""),1.0)</f>
        <v>1</v>
      </c>
      <c r="D1043" s="66">
        <f>IFERROR(__xludf.DUMMYFUNCTION("""COMPUTED_VALUE"""),132.0)</f>
        <v>132</v>
      </c>
      <c r="E1043" s="66">
        <f>IFERROR(__xludf.DUMMYFUNCTION("""COMPUTED_VALUE"""),1.0)</f>
        <v>1</v>
      </c>
      <c r="F1043" s="67" t="str">
        <f>IFERROR(__xludf.DUMMYFUNCTION("""COMPUTED_VALUE"""),"https://www.google.com/maps/search/?api=1&amp;query=-3.0899221103242,-55.5390721162179")</f>
        <v>https://www.google.com/maps/search/?api=1&amp;query=-3.0899221103242,-55.5390721162179</v>
      </c>
      <c r="G1043" s="68" t="str">
        <f>IFERROR(__xludf.DUMMYFUNCTION("""COMPUTED_VALUE"""),"https://earth.google.com/web/search/-3.0899221103242,-55.5390721162179")</f>
        <v>https://earth.google.com/web/search/-3.0899221103242,-55.5390721162179</v>
      </c>
      <c r="H1043" s="64"/>
      <c r="I1043" s="64"/>
      <c r="J1043" s="64"/>
      <c r="K1043" s="64"/>
      <c r="L1043" s="64"/>
      <c r="M1043" s="64"/>
      <c r="N1043" s="64"/>
      <c r="O1043" s="64"/>
      <c r="P1043" s="64"/>
      <c r="Q1043" s="64"/>
      <c r="R1043" s="64"/>
      <c r="S1043" s="64"/>
      <c r="T1043" s="64"/>
      <c r="U1043" s="64"/>
      <c r="V1043" s="64"/>
      <c r="W1043" s="64"/>
      <c r="X1043" s="64"/>
      <c r="Y1043" s="64"/>
      <c r="Z1043" s="64"/>
    </row>
    <row r="1044">
      <c r="A1044" s="69" t="str">
        <f>IFERROR(__xludf.DUMMYFUNCTION("""COMPUTED_VALUE"""),"-30.8992616375582")</f>
        <v>-30.8992616375582</v>
      </c>
      <c r="B1044" s="61" t="str">
        <f>IFERROR(__xludf.DUMMYFUNCTION("""COMPUTED_VALUE"""),"-55.5389927467123")</f>
        <v>-55.5389927467123</v>
      </c>
      <c r="C1044" s="61">
        <f>IFERROR(__xludf.DUMMYFUNCTION("""COMPUTED_VALUE"""),1.0)</f>
        <v>1</v>
      </c>
      <c r="D1044" s="61">
        <f>IFERROR(__xludf.DUMMYFUNCTION("""COMPUTED_VALUE"""),132.0)</f>
        <v>132</v>
      </c>
      <c r="E1044" s="61">
        <f>IFERROR(__xludf.DUMMYFUNCTION("""COMPUTED_VALUE"""),2.0)</f>
        <v>2</v>
      </c>
      <c r="F1044" s="62" t="str">
        <f>IFERROR(__xludf.DUMMYFUNCTION("""COMPUTED_VALUE"""),"https://www.google.com/maps/search/?api=1&amp;query=-30.8992616375582,-55.5389927467123")</f>
        <v>https://www.google.com/maps/search/?api=1&amp;query=-30.8992616375582,-55.5389927467123</v>
      </c>
      <c r="G1044" s="63" t="str">
        <f>IFERROR(__xludf.DUMMYFUNCTION("""COMPUTED_VALUE"""),"https://earth.google.com/web/search/-30.8992616375582,-55.5389927467123")</f>
        <v>https://earth.google.com/web/search/-30.8992616375582,-55.5389927467123</v>
      </c>
      <c r="H1044" s="64"/>
      <c r="I1044" s="64"/>
      <c r="J1044" s="64"/>
      <c r="K1044" s="64"/>
      <c r="L1044" s="64"/>
      <c r="M1044" s="64"/>
      <c r="N1044" s="64"/>
      <c r="O1044" s="64"/>
      <c r="P1044" s="64"/>
      <c r="Q1044" s="64"/>
      <c r="R1044" s="64"/>
      <c r="S1044" s="64"/>
      <c r="T1044" s="64"/>
      <c r="U1044" s="64"/>
      <c r="V1044" s="64"/>
      <c r="W1044" s="64"/>
      <c r="X1044" s="64"/>
      <c r="Y1044" s="64"/>
      <c r="Z1044" s="64"/>
    </row>
    <row r="1045">
      <c r="A1045" s="65" t="str">
        <f>IFERROR(__xludf.DUMMYFUNCTION("""COMPUTED_VALUE"""),"-30.8993758580146")</f>
        <v>-30.8993758580146</v>
      </c>
      <c r="B1045" s="66" t="str">
        <f>IFERROR(__xludf.DUMMYFUNCTION("""COMPUTED_VALUE"""),"-55.5387799993628")</f>
        <v>-55.5387799993628</v>
      </c>
      <c r="C1045" s="66">
        <f>IFERROR(__xludf.DUMMYFUNCTION("""COMPUTED_VALUE"""),1.0)</f>
        <v>1</v>
      </c>
      <c r="D1045" s="66">
        <f>IFERROR(__xludf.DUMMYFUNCTION("""COMPUTED_VALUE"""),132.0)</f>
        <v>132</v>
      </c>
      <c r="E1045" s="66">
        <f>IFERROR(__xludf.DUMMYFUNCTION("""COMPUTED_VALUE"""),3.0)</f>
        <v>3</v>
      </c>
      <c r="F1045" s="67" t="str">
        <f>IFERROR(__xludf.DUMMYFUNCTION("""COMPUTED_VALUE"""),"https://www.google.com/maps/search/?api=1&amp;query=-30.8993758580146,-55.5387799993628")</f>
        <v>https://www.google.com/maps/search/?api=1&amp;query=-30.8993758580146,-55.5387799993628</v>
      </c>
      <c r="G1045" s="68" t="str">
        <f>IFERROR(__xludf.DUMMYFUNCTION("""COMPUTED_VALUE"""),"https://earth.google.com/web/search/-30.8993758580146,-55.5387799993628")</f>
        <v>https://earth.google.com/web/search/-30.8993758580146,-55.5387799993628</v>
      </c>
      <c r="H1045" s="64"/>
      <c r="I1045" s="64"/>
      <c r="J1045" s="64"/>
      <c r="K1045" s="64"/>
      <c r="L1045" s="64"/>
      <c r="M1045" s="64"/>
      <c r="N1045" s="64"/>
      <c r="O1045" s="64"/>
      <c r="P1045" s="64"/>
      <c r="Q1045" s="64"/>
      <c r="R1045" s="64"/>
      <c r="S1045" s="64"/>
      <c r="T1045" s="64"/>
      <c r="U1045" s="64"/>
      <c r="V1045" s="64"/>
      <c r="W1045" s="64"/>
      <c r="X1045" s="64"/>
      <c r="Y1045" s="64"/>
      <c r="Z1045" s="64"/>
    </row>
    <row r="1046">
      <c r="A1046" s="69" t="str">
        <f>IFERROR(__xludf.DUMMYFUNCTION("""COMPUTED_VALUE"""),"-30.8994238118334")</f>
        <v>-30.8994238118334</v>
      </c>
      <c r="B1046" s="61" t="str">
        <f>IFERROR(__xludf.DUMMYFUNCTION("""COMPUTED_VALUE"""),"-55.5386726844683")</f>
        <v>-55.5386726844683</v>
      </c>
      <c r="C1046" s="61">
        <f>IFERROR(__xludf.DUMMYFUNCTION("""COMPUTED_VALUE"""),1.0)</f>
        <v>1</v>
      </c>
      <c r="D1046" s="61">
        <f>IFERROR(__xludf.DUMMYFUNCTION("""COMPUTED_VALUE"""),132.0)</f>
        <v>132</v>
      </c>
      <c r="E1046" s="61">
        <f>IFERROR(__xludf.DUMMYFUNCTION("""COMPUTED_VALUE"""),4.0)</f>
        <v>4</v>
      </c>
      <c r="F1046" s="62" t="str">
        <f>IFERROR(__xludf.DUMMYFUNCTION("""COMPUTED_VALUE"""),"https://www.google.com/maps/search/?api=1&amp;query=-30.8994238118334,-55.5386726844683")</f>
        <v>https://www.google.com/maps/search/?api=1&amp;query=-30.8994238118334,-55.5386726844683</v>
      </c>
      <c r="G1046" s="63" t="str">
        <f>IFERROR(__xludf.DUMMYFUNCTION("""COMPUTED_VALUE"""),"https://earth.google.com/web/search/-30.8994238118334,-55.5386726844683")</f>
        <v>https://earth.google.com/web/search/-30.8994238118334,-55.5386726844683</v>
      </c>
      <c r="H1046" s="64"/>
      <c r="I1046" s="64"/>
      <c r="J1046" s="64"/>
      <c r="K1046" s="64"/>
      <c r="L1046" s="64"/>
      <c r="M1046" s="64"/>
      <c r="N1046" s="64"/>
      <c r="O1046" s="64"/>
      <c r="P1046" s="64"/>
      <c r="Q1046" s="64"/>
      <c r="R1046" s="64"/>
      <c r="S1046" s="64"/>
      <c r="T1046" s="64"/>
      <c r="U1046" s="64"/>
      <c r="V1046" s="64"/>
      <c r="W1046" s="64"/>
      <c r="X1046" s="64"/>
      <c r="Y1046" s="64"/>
      <c r="Z1046" s="64"/>
    </row>
    <row r="1047">
      <c r="A1047" s="65" t="str">
        <f>IFERROR(__xludf.DUMMYFUNCTION("""COMPUTED_VALUE"""),"-30.8987975361879")</f>
        <v>-30.8987975361879</v>
      </c>
      <c r="B1047" s="66" t="str">
        <f>IFERROR(__xludf.DUMMYFUNCTION("""COMPUTED_VALUE"""),"-0.5553800571306")</f>
        <v>-0.5553800571306</v>
      </c>
      <c r="C1047" s="66">
        <f>IFERROR(__xludf.DUMMYFUNCTION("""COMPUTED_VALUE"""),1.0)</f>
        <v>1</v>
      </c>
      <c r="D1047" s="66">
        <f>IFERROR(__xludf.DUMMYFUNCTION("""COMPUTED_VALUE"""),132.0)</f>
        <v>132</v>
      </c>
      <c r="E1047" s="66">
        <f>IFERROR(__xludf.DUMMYFUNCTION("""COMPUTED_VALUE"""),5.0)</f>
        <v>5</v>
      </c>
      <c r="F1047" s="67" t="str">
        <f>IFERROR(__xludf.DUMMYFUNCTION("""COMPUTED_VALUE"""),"https://www.google.com/maps/search/?api=1&amp;query=-30.8987975361879,-0.5553800571306")</f>
        <v>https://www.google.com/maps/search/?api=1&amp;query=-30.8987975361879,-0.5553800571306</v>
      </c>
      <c r="G1047" s="68" t="str">
        <f>IFERROR(__xludf.DUMMYFUNCTION("""COMPUTED_VALUE"""),"https://earth.google.com/web/search/-30.8987975361879,-0.5553800571306")</f>
        <v>https://earth.google.com/web/search/-30.8987975361879,-0.5553800571306</v>
      </c>
      <c r="H1047" s="64"/>
      <c r="I1047" s="64"/>
      <c r="J1047" s="64"/>
      <c r="K1047" s="64"/>
      <c r="L1047" s="64"/>
      <c r="M1047" s="64"/>
      <c r="N1047" s="64"/>
      <c r="O1047" s="64"/>
      <c r="P1047" s="64"/>
      <c r="Q1047" s="64"/>
      <c r="R1047" s="64"/>
      <c r="S1047" s="64"/>
      <c r="T1047" s="64"/>
      <c r="U1047" s="64"/>
      <c r="V1047" s="64"/>
      <c r="W1047" s="64"/>
      <c r="X1047" s="64"/>
      <c r="Y1047" s="64"/>
      <c r="Z1047" s="64"/>
    </row>
    <row r="1048">
      <c r="A1048" s="69" t="str">
        <f>IFERROR(__xludf.DUMMYFUNCTION("""COMPUTED_VALUE"""),"-30.8987742826128")</f>
        <v>-30.8987742826128</v>
      </c>
      <c r="B1048" s="61" t="str">
        <f>IFERROR(__xludf.DUMMYFUNCTION("""COMPUTED_VALUE"""),"-55.5380725115072")</f>
        <v>-55.5380725115072</v>
      </c>
      <c r="C1048" s="61">
        <f>IFERROR(__xludf.DUMMYFUNCTION("""COMPUTED_VALUE"""),1.0)</f>
        <v>1</v>
      </c>
      <c r="D1048" s="61">
        <f>IFERROR(__xludf.DUMMYFUNCTION("""COMPUTED_VALUE"""),132.0)</f>
        <v>132</v>
      </c>
      <c r="E1048" s="61">
        <f>IFERROR(__xludf.DUMMYFUNCTION("""COMPUTED_VALUE"""),6.0)</f>
        <v>6</v>
      </c>
      <c r="F1048" s="62" t="str">
        <f>IFERROR(__xludf.DUMMYFUNCTION("""COMPUTED_VALUE"""),"https://www.google.com/maps/search/?api=1&amp;query=-30.8987742826128,-55.5380725115072")</f>
        <v>https://www.google.com/maps/search/?api=1&amp;query=-30.8987742826128,-55.5380725115072</v>
      </c>
      <c r="G1048" s="63" t="str">
        <f>IFERROR(__xludf.DUMMYFUNCTION("""COMPUTED_VALUE"""),"https://earth.google.com/web/search/-30.8987742826128,-55.5380725115072")</f>
        <v>https://earth.google.com/web/search/-30.8987742826128,-55.5380725115072</v>
      </c>
      <c r="H1048" s="64"/>
      <c r="I1048" s="64"/>
      <c r="J1048" s="64"/>
      <c r="K1048" s="64"/>
      <c r="L1048" s="64"/>
      <c r="M1048" s="64"/>
      <c r="N1048" s="64"/>
      <c r="O1048" s="64"/>
      <c r="P1048" s="64"/>
      <c r="Q1048" s="64"/>
      <c r="R1048" s="64"/>
      <c r="S1048" s="64"/>
      <c r="T1048" s="64"/>
      <c r="U1048" s="64"/>
      <c r="V1048" s="64"/>
      <c r="W1048" s="64"/>
      <c r="X1048" s="64"/>
      <c r="Y1048" s="64"/>
      <c r="Z1048" s="64"/>
    </row>
    <row r="1049">
      <c r="A1049" s="65" t="str">
        <f>IFERROR(__xludf.DUMMYFUNCTION("""COMPUTED_VALUE"""),"-30.8989167802536")</f>
        <v>-30.8989167802536</v>
      </c>
      <c r="B1049" s="66" t="str">
        <f>IFERROR(__xludf.DUMMYFUNCTION("""COMPUTED_VALUE"""),"-55.5390814830066")</f>
        <v>-55.5390814830066</v>
      </c>
      <c r="C1049" s="66">
        <f>IFERROR(__xludf.DUMMYFUNCTION("""COMPUTED_VALUE"""),1.0)</f>
        <v>1</v>
      </c>
      <c r="D1049" s="66">
        <f>IFERROR(__xludf.DUMMYFUNCTION("""COMPUTED_VALUE"""),132.0)</f>
        <v>132</v>
      </c>
      <c r="E1049" s="66">
        <f>IFERROR(__xludf.DUMMYFUNCTION("""COMPUTED_VALUE"""),7.0)</f>
        <v>7</v>
      </c>
      <c r="F1049" s="67" t="str">
        <f>IFERROR(__xludf.DUMMYFUNCTION("""COMPUTED_VALUE"""),"https://www.google.com/maps/search/?api=1&amp;query=-30.8989167802536,-55.5390814830066")</f>
        <v>https://www.google.com/maps/search/?api=1&amp;query=-30.8989167802536,-55.5390814830066</v>
      </c>
      <c r="G1049" s="68" t="str">
        <f>IFERROR(__xludf.DUMMYFUNCTION("""COMPUTED_VALUE"""),"https://earth.google.com/web/search/-30.8989167802536,-55.5390814830066")</f>
        <v>https://earth.google.com/web/search/-30.8989167802536,-55.5390814830066</v>
      </c>
      <c r="H1049" s="64"/>
      <c r="I1049" s="64"/>
      <c r="J1049" s="64"/>
      <c r="K1049" s="64"/>
      <c r="L1049" s="64"/>
      <c r="M1049" s="64"/>
      <c r="N1049" s="64"/>
      <c r="O1049" s="64"/>
      <c r="P1049" s="64"/>
      <c r="Q1049" s="64"/>
      <c r="R1049" s="64"/>
      <c r="S1049" s="64"/>
      <c r="T1049" s="64"/>
      <c r="U1049" s="64"/>
      <c r="V1049" s="64"/>
      <c r="W1049" s="64"/>
      <c r="X1049" s="64"/>
      <c r="Y1049" s="64"/>
      <c r="Z1049" s="64"/>
    </row>
    <row r="1050">
      <c r="A1050" s="69" t="str">
        <f>IFERROR(__xludf.DUMMYFUNCTION("""COMPUTED_VALUE"""),"-30.8987119143654")</f>
        <v>-30.8987119143654</v>
      </c>
      <c r="B1050" s="61" t="str">
        <f>IFERROR(__xludf.DUMMYFUNCTION("""COMPUTED_VALUE"""),"-55.5400394678676")</f>
        <v>-55.5400394678676</v>
      </c>
      <c r="C1050" s="61">
        <f>IFERROR(__xludf.DUMMYFUNCTION("""COMPUTED_VALUE"""),1.0)</f>
        <v>1</v>
      </c>
      <c r="D1050" s="61">
        <f>IFERROR(__xludf.DUMMYFUNCTION("""COMPUTED_VALUE"""),133.0)</f>
        <v>133</v>
      </c>
      <c r="E1050" s="61">
        <f>IFERROR(__xludf.DUMMYFUNCTION("""COMPUTED_VALUE"""),1.0)</f>
        <v>1</v>
      </c>
      <c r="F1050" s="62" t="str">
        <f>IFERROR(__xludf.DUMMYFUNCTION("""COMPUTED_VALUE"""),"https://www.google.com/maps/search/?api=1&amp;query=-30.8987119143654,-55.5400394678676")</f>
        <v>https://www.google.com/maps/search/?api=1&amp;query=-30.8987119143654,-55.5400394678676</v>
      </c>
      <c r="G1050" s="63" t="str">
        <f>IFERROR(__xludf.DUMMYFUNCTION("""COMPUTED_VALUE"""),"https://earth.google.com/web/search/-30.8987119143654,-55.5400394678676")</f>
        <v>https://earth.google.com/web/search/-30.8987119143654,-55.5400394678676</v>
      </c>
      <c r="H1050" s="64"/>
      <c r="I1050" s="64"/>
      <c r="J1050" s="64"/>
      <c r="K1050" s="64"/>
      <c r="L1050" s="64"/>
      <c r="M1050" s="64"/>
      <c r="N1050" s="64"/>
      <c r="O1050" s="64"/>
      <c r="P1050" s="64"/>
      <c r="Q1050" s="64"/>
      <c r="R1050" s="64"/>
      <c r="S1050" s="64"/>
      <c r="T1050" s="64"/>
      <c r="U1050" s="64"/>
      <c r="V1050" s="64"/>
      <c r="W1050" s="64"/>
      <c r="X1050" s="64"/>
      <c r="Y1050" s="64"/>
      <c r="Z1050" s="64"/>
    </row>
    <row r="1051">
      <c r="A1051" s="65" t="str">
        <f>IFERROR(__xludf.DUMMYFUNCTION("""COMPUTED_VALUE"""),"-30.8988170029399")</f>
        <v>-30.8988170029399</v>
      </c>
      <c r="B1051" s="66" t="str">
        <f>IFERROR(__xludf.DUMMYFUNCTION("""COMPUTED_VALUE"""),"-55.5398281914165")</f>
        <v>-55.5398281914165</v>
      </c>
      <c r="C1051" s="66">
        <f>IFERROR(__xludf.DUMMYFUNCTION("""COMPUTED_VALUE"""),1.0)</f>
        <v>1</v>
      </c>
      <c r="D1051" s="66">
        <f>IFERROR(__xludf.DUMMYFUNCTION("""COMPUTED_VALUE"""),133.0)</f>
        <v>133</v>
      </c>
      <c r="E1051" s="66">
        <f>IFERROR(__xludf.DUMMYFUNCTION("""COMPUTED_VALUE"""),2.0)</f>
        <v>2</v>
      </c>
      <c r="F1051" s="67" t="str">
        <f>IFERROR(__xludf.DUMMYFUNCTION("""COMPUTED_VALUE"""),"https://www.google.com/maps/search/?api=1&amp;query=-30.8988170029399,-55.5398281914165")</f>
        <v>https://www.google.com/maps/search/?api=1&amp;query=-30.8988170029399,-55.5398281914165</v>
      </c>
      <c r="G1051" s="68" t="str">
        <f>IFERROR(__xludf.DUMMYFUNCTION("""COMPUTED_VALUE"""),"https://earth.google.com/web/search/-30.8988170029399,-55.5398281914165")</f>
        <v>https://earth.google.com/web/search/-30.8988170029399,-55.5398281914165</v>
      </c>
      <c r="H1051" s="64"/>
      <c r="I1051" s="64"/>
      <c r="J1051" s="64"/>
      <c r="K1051" s="64"/>
      <c r="L1051" s="64"/>
      <c r="M1051" s="64"/>
      <c r="N1051" s="64"/>
      <c r="O1051" s="64"/>
      <c r="P1051" s="64"/>
      <c r="Q1051" s="64"/>
      <c r="R1051" s="64"/>
      <c r="S1051" s="64"/>
      <c r="T1051" s="64"/>
      <c r="U1051" s="64"/>
      <c r="V1051" s="64"/>
      <c r="W1051" s="64"/>
      <c r="X1051" s="64"/>
      <c r="Y1051" s="64"/>
      <c r="Z1051" s="64"/>
    </row>
    <row r="1052">
      <c r="A1052" s="69" t="str">
        <f>IFERROR(__xludf.DUMMYFUNCTION("""COMPUTED_VALUE"""),"-30.8989211205757")</f>
        <v>-30.8989211205757</v>
      </c>
      <c r="B1052" s="61" t="str">
        <f>IFERROR(__xludf.DUMMYFUNCTION("""COMPUTED_VALUE"""),"-55.5396316528002")</f>
        <v>-55.5396316528002</v>
      </c>
      <c r="C1052" s="61">
        <f>IFERROR(__xludf.DUMMYFUNCTION("""COMPUTED_VALUE"""),1.0)</f>
        <v>1</v>
      </c>
      <c r="D1052" s="61">
        <f>IFERROR(__xludf.DUMMYFUNCTION("""COMPUTED_VALUE"""),133.0)</f>
        <v>133</v>
      </c>
      <c r="E1052" s="61">
        <f>IFERROR(__xludf.DUMMYFUNCTION("""COMPUTED_VALUE"""),3.0)</f>
        <v>3</v>
      </c>
      <c r="F1052" s="62" t="str">
        <f>IFERROR(__xludf.DUMMYFUNCTION("""COMPUTED_VALUE"""),"https://www.google.com/maps/search/?api=1&amp;query=-30.8989211205757,-55.5396316528002")</f>
        <v>https://www.google.com/maps/search/?api=1&amp;query=-30.8989211205757,-55.5396316528002</v>
      </c>
      <c r="G1052" s="63" t="str">
        <f>IFERROR(__xludf.DUMMYFUNCTION("""COMPUTED_VALUE"""),"https://earth.google.com/web/search/-30.8989211205757,-55.5396316528002")</f>
        <v>https://earth.google.com/web/search/-30.8989211205757,-55.5396316528002</v>
      </c>
      <c r="H1052" s="64"/>
      <c r="I1052" s="64"/>
      <c r="J1052" s="64"/>
      <c r="K1052" s="64"/>
      <c r="L1052" s="64"/>
      <c r="M1052" s="64"/>
      <c r="N1052" s="64"/>
      <c r="O1052" s="64"/>
      <c r="P1052" s="64"/>
      <c r="Q1052" s="64"/>
      <c r="R1052" s="64"/>
      <c r="S1052" s="64"/>
      <c r="T1052" s="64"/>
      <c r="U1052" s="64"/>
      <c r="V1052" s="64"/>
      <c r="W1052" s="64"/>
      <c r="X1052" s="64"/>
      <c r="Y1052" s="64"/>
      <c r="Z1052" s="64"/>
    </row>
    <row r="1053">
      <c r="A1053" s="65" t="str">
        <f>IFERROR(__xludf.DUMMYFUNCTION("""COMPUTED_VALUE"""),"-30.8989699577238")</f>
        <v>-30.8989699577238</v>
      </c>
      <c r="B1053" s="66" t="str">
        <f>IFERROR(__xludf.DUMMYFUNCTION("""COMPUTED_VALUE"""),"-55.5395476791854")</f>
        <v>-55.5395476791854</v>
      </c>
      <c r="C1053" s="66">
        <f>IFERROR(__xludf.DUMMYFUNCTION("""COMPUTED_VALUE"""),1.0)</f>
        <v>1</v>
      </c>
      <c r="D1053" s="66">
        <f>IFERROR(__xludf.DUMMYFUNCTION("""COMPUTED_VALUE"""),133.0)</f>
        <v>133</v>
      </c>
      <c r="E1053" s="66">
        <f>IFERROR(__xludf.DUMMYFUNCTION("""COMPUTED_VALUE"""),4.0)</f>
        <v>4</v>
      </c>
      <c r="F1053" s="67" t="str">
        <f>IFERROR(__xludf.DUMMYFUNCTION("""COMPUTED_VALUE"""),"https://www.google.com/maps/search/?api=1&amp;query=-30.8989699577238,-55.5395476791854")</f>
        <v>https://www.google.com/maps/search/?api=1&amp;query=-30.8989699577238,-55.5395476791854</v>
      </c>
      <c r="G1053" s="68" t="str">
        <f>IFERROR(__xludf.DUMMYFUNCTION("""COMPUTED_VALUE"""),"https://earth.google.com/web/search/-30.8989699577238,-55.5395476791854")</f>
        <v>https://earth.google.com/web/search/-30.8989699577238,-55.5395476791854</v>
      </c>
      <c r="H1053" s="64"/>
      <c r="I1053" s="64"/>
      <c r="J1053" s="64"/>
      <c r="K1053" s="64"/>
      <c r="L1053" s="64"/>
      <c r="M1053" s="64"/>
      <c r="N1053" s="64"/>
      <c r="O1053" s="64"/>
      <c r="P1053" s="64"/>
      <c r="Q1053" s="64"/>
      <c r="R1053" s="64"/>
      <c r="S1053" s="64"/>
      <c r="T1053" s="64"/>
      <c r="U1053" s="64"/>
      <c r="V1053" s="64"/>
      <c r="W1053" s="64"/>
      <c r="X1053" s="64"/>
      <c r="Y1053" s="64"/>
      <c r="Z1053" s="64"/>
    </row>
    <row r="1054">
      <c r="A1054" s="69" t="str">
        <f>IFERROR(__xludf.DUMMYFUNCTION("""COMPUTED_VALUE"""),"-30.8990417877654")</f>
        <v>-30.8990417877654</v>
      </c>
      <c r="B1054" s="61" t="str">
        <f>IFERROR(__xludf.DUMMYFUNCTION("""COMPUTED_VALUE"""),"-55.5394379017683")</f>
        <v>-55.5394379017683</v>
      </c>
      <c r="C1054" s="61">
        <f>IFERROR(__xludf.DUMMYFUNCTION("""COMPUTED_VALUE"""),1.0)</f>
        <v>1</v>
      </c>
      <c r="D1054" s="61">
        <f>IFERROR(__xludf.DUMMYFUNCTION("""COMPUTED_VALUE"""),133.0)</f>
        <v>133</v>
      </c>
      <c r="E1054" s="61">
        <f>IFERROR(__xludf.DUMMYFUNCTION("""COMPUTED_VALUE"""),5.0)</f>
        <v>5</v>
      </c>
      <c r="F1054" s="62" t="str">
        <f>IFERROR(__xludf.DUMMYFUNCTION("""COMPUTED_VALUE"""),"https://www.google.com/maps/search/?api=1&amp;query=-30.8990417877654,-55.5394379017683")</f>
        <v>https://www.google.com/maps/search/?api=1&amp;query=-30.8990417877654,-55.5394379017683</v>
      </c>
      <c r="G1054" s="63" t="str">
        <f>IFERROR(__xludf.DUMMYFUNCTION("""COMPUTED_VALUE"""),"https://earth.google.com/web/search/-30.8990417877654,-55.5394379017683")</f>
        <v>https://earth.google.com/web/search/-30.8990417877654,-55.5394379017683</v>
      </c>
      <c r="H1054" s="64"/>
      <c r="I1054" s="64"/>
      <c r="J1054" s="64"/>
      <c r="K1054" s="64"/>
      <c r="L1054" s="64"/>
      <c r="M1054" s="64"/>
      <c r="N1054" s="64"/>
      <c r="O1054" s="64"/>
      <c r="P1054" s="64"/>
      <c r="Q1054" s="64"/>
      <c r="R1054" s="64"/>
      <c r="S1054" s="64"/>
      <c r="T1054" s="64"/>
      <c r="U1054" s="64"/>
      <c r="V1054" s="64"/>
      <c r="W1054" s="64"/>
      <c r="X1054" s="64"/>
      <c r="Y1054" s="64"/>
      <c r="Z1054" s="64"/>
    </row>
    <row r="1055">
      <c r="A1055" s="65" t="str">
        <f>IFERROR(__xludf.DUMMYFUNCTION("""COMPUTED_VALUE"""),"-30.8988841251627")</f>
        <v>-30.8988841251627</v>
      </c>
      <c r="B1055" s="66" t="str">
        <f>IFERROR(__xludf.DUMMYFUNCTION("""COMPUTED_VALUE"""),"-55.5392458034092")</f>
        <v>-55.5392458034092</v>
      </c>
      <c r="C1055" s="66">
        <f>IFERROR(__xludf.DUMMYFUNCTION("""COMPUTED_VALUE"""),1.0)</f>
        <v>1</v>
      </c>
      <c r="D1055" s="66">
        <f>IFERROR(__xludf.DUMMYFUNCTION("""COMPUTED_VALUE"""),133.0)</f>
        <v>133</v>
      </c>
      <c r="E1055" s="66">
        <f>IFERROR(__xludf.DUMMYFUNCTION("""COMPUTED_VALUE"""),6.0)</f>
        <v>6</v>
      </c>
      <c r="F1055" s="67" t="str">
        <f>IFERROR(__xludf.DUMMYFUNCTION("""COMPUTED_VALUE"""),"https://www.google.com/maps/search/?api=1&amp;query=-30.8988841251627,-55.5392458034092")</f>
        <v>https://www.google.com/maps/search/?api=1&amp;query=-30.8988841251627,-55.5392458034092</v>
      </c>
      <c r="G1055" s="68" t="str">
        <f>IFERROR(__xludf.DUMMYFUNCTION("""COMPUTED_VALUE"""),"https://earth.google.com/web/search/-30.8988841251627,-55.5392458034092")</f>
        <v>https://earth.google.com/web/search/-30.8988841251627,-55.5392458034092</v>
      </c>
      <c r="H1055" s="64"/>
      <c r="I1055" s="64"/>
      <c r="J1055" s="64"/>
      <c r="K1055" s="64"/>
      <c r="L1055" s="64"/>
      <c r="M1055" s="64"/>
      <c r="N1055" s="64"/>
      <c r="O1055" s="64"/>
      <c r="P1055" s="64"/>
      <c r="Q1055" s="64"/>
      <c r="R1055" s="64"/>
      <c r="S1055" s="64"/>
      <c r="T1055" s="64"/>
      <c r="U1055" s="64"/>
      <c r="V1055" s="64"/>
      <c r="W1055" s="64"/>
      <c r="X1055" s="64"/>
      <c r="Y1055" s="64"/>
      <c r="Z1055" s="64"/>
    </row>
    <row r="1056">
      <c r="A1056" s="69" t="str">
        <f>IFERROR(__xludf.DUMMYFUNCTION("""COMPUTED_VALUE"""),"-30.8985845789926")</f>
        <v>-30.8985845789926</v>
      </c>
      <c r="B1056" s="61" t="str">
        <f>IFERROR(__xludf.DUMMYFUNCTION("""COMPUTED_VALUE"""),"-5.5539020296944")</f>
        <v>-5.5539020296944</v>
      </c>
      <c r="C1056" s="61">
        <f>IFERROR(__xludf.DUMMYFUNCTION("""COMPUTED_VALUE"""),1.0)</f>
        <v>1</v>
      </c>
      <c r="D1056" s="61">
        <f>IFERROR(__xludf.DUMMYFUNCTION("""COMPUTED_VALUE"""),133.0)</f>
        <v>133</v>
      </c>
      <c r="E1056" s="61">
        <f>IFERROR(__xludf.DUMMYFUNCTION("""COMPUTED_VALUE"""),7.0)</f>
        <v>7</v>
      </c>
      <c r="F1056" s="62" t="str">
        <f>IFERROR(__xludf.DUMMYFUNCTION("""COMPUTED_VALUE"""),"https://www.google.com/maps/search/?api=1&amp;query=-30.8985845789926,-5.5539020296944")</f>
        <v>https://www.google.com/maps/search/?api=1&amp;query=-30.8985845789926,-5.5539020296944</v>
      </c>
      <c r="G1056" s="63" t="str">
        <f>IFERROR(__xludf.DUMMYFUNCTION("""COMPUTED_VALUE"""),"https://earth.google.com/web/search/-30.8985845789926,-5.5539020296944")</f>
        <v>https://earth.google.com/web/search/-30.8985845789926,-5.5539020296944</v>
      </c>
      <c r="H1056" s="64"/>
      <c r="I1056" s="64"/>
      <c r="J1056" s="64"/>
      <c r="K1056" s="64"/>
      <c r="L1056" s="64"/>
      <c r="M1056" s="64"/>
      <c r="N1056" s="64"/>
      <c r="O1056" s="64"/>
      <c r="P1056" s="64"/>
      <c r="Q1056" s="64"/>
      <c r="R1056" s="64"/>
      <c r="S1056" s="64"/>
      <c r="T1056" s="64"/>
      <c r="U1056" s="64"/>
      <c r="V1056" s="64"/>
      <c r="W1056" s="64"/>
      <c r="X1056" s="64"/>
      <c r="Y1056" s="64"/>
      <c r="Z1056" s="64"/>
    </row>
    <row r="1057">
      <c r="A1057" s="65" t="str">
        <f>IFERROR(__xludf.DUMMYFUNCTION("""COMPUTED_VALUE"""),"-30.8981113301166")</f>
        <v>-30.8981113301166</v>
      </c>
      <c r="B1057" s="66" t="str">
        <f>IFERROR(__xludf.DUMMYFUNCTION("""COMPUTED_VALUE"""),"-55.5393183202477")</f>
        <v>-55.5393183202477</v>
      </c>
      <c r="C1057" s="66">
        <f>IFERROR(__xludf.DUMMYFUNCTION("""COMPUTED_VALUE"""),1.0)</f>
        <v>1</v>
      </c>
      <c r="D1057" s="66">
        <f>IFERROR(__xludf.DUMMYFUNCTION("""COMPUTED_VALUE"""),133.0)</f>
        <v>133</v>
      </c>
      <c r="E1057" s="66">
        <f>IFERROR(__xludf.DUMMYFUNCTION("""COMPUTED_VALUE"""),8.0)</f>
        <v>8</v>
      </c>
      <c r="F1057" s="67" t="str">
        <f>IFERROR(__xludf.DUMMYFUNCTION("""COMPUTED_VALUE"""),"https://www.google.com/maps/search/?api=1&amp;query=-30.8981113301166,-55.5393183202477")</f>
        <v>https://www.google.com/maps/search/?api=1&amp;query=-30.8981113301166,-55.5393183202477</v>
      </c>
      <c r="G1057" s="68" t="str">
        <f>IFERROR(__xludf.DUMMYFUNCTION("""COMPUTED_VALUE"""),"https://earth.google.com/web/search/-30.8981113301166,-55.5393183202477")</f>
        <v>https://earth.google.com/web/search/-30.8981113301166,-55.5393183202477</v>
      </c>
      <c r="H1057" s="64"/>
      <c r="I1057" s="64"/>
      <c r="J1057" s="64"/>
      <c r="K1057" s="64"/>
      <c r="L1057" s="64"/>
      <c r="M1057" s="64"/>
      <c r="N1057" s="64"/>
      <c r="O1057" s="64"/>
      <c r="P1057" s="64"/>
      <c r="Q1057" s="64"/>
      <c r="R1057" s="64"/>
      <c r="S1057" s="64"/>
      <c r="T1057" s="64"/>
      <c r="U1057" s="64"/>
      <c r="V1057" s="64"/>
      <c r="W1057" s="64"/>
      <c r="X1057" s="64"/>
      <c r="Y1057" s="64"/>
      <c r="Z1057" s="64"/>
    </row>
    <row r="1058">
      <c r="A1058" s="69" t="str">
        <f>IFERROR(__xludf.DUMMYFUNCTION("""COMPUTED_VALUE"""),"-30.8980053913792")</f>
        <v>-30.8980053913792</v>
      </c>
      <c r="B1058" s="61" t="str">
        <f>IFERROR(__xludf.DUMMYFUNCTION("""COMPUTED_VALUE"""),"-55.5395160857896")</f>
        <v>-55.5395160857896</v>
      </c>
      <c r="C1058" s="61">
        <f>IFERROR(__xludf.DUMMYFUNCTION("""COMPUTED_VALUE"""),1.0)</f>
        <v>1</v>
      </c>
      <c r="D1058" s="61">
        <f>IFERROR(__xludf.DUMMYFUNCTION("""COMPUTED_VALUE"""),133.0)</f>
        <v>133</v>
      </c>
      <c r="E1058" s="61">
        <f>IFERROR(__xludf.DUMMYFUNCTION("""COMPUTED_VALUE"""),9.0)</f>
        <v>9</v>
      </c>
      <c r="F1058" s="62" t="str">
        <f>IFERROR(__xludf.DUMMYFUNCTION("""COMPUTED_VALUE"""),"https://www.google.com/maps/search/?api=1&amp;query=-30.8980053913792,-55.5395160857896")</f>
        <v>https://www.google.com/maps/search/?api=1&amp;query=-30.8980053913792,-55.5395160857896</v>
      </c>
      <c r="G1058" s="63" t="str">
        <f>IFERROR(__xludf.DUMMYFUNCTION("""COMPUTED_VALUE"""),"https://earth.google.com/web/search/-30.8980053913792,-55.5395160857896")</f>
        <v>https://earth.google.com/web/search/-30.8980053913792,-55.5395160857896</v>
      </c>
      <c r="H1058" s="64"/>
      <c r="I1058" s="64"/>
      <c r="J1058" s="64"/>
      <c r="K1058" s="64"/>
      <c r="L1058" s="64"/>
      <c r="M1058" s="64"/>
      <c r="N1058" s="64"/>
      <c r="O1058" s="64"/>
      <c r="P1058" s="64"/>
      <c r="Q1058" s="64"/>
      <c r="R1058" s="64"/>
      <c r="S1058" s="64"/>
      <c r="T1058" s="64"/>
      <c r="U1058" s="64"/>
      <c r="V1058" s="64"/>
      <c r="W1058" s="64"/>
      <c r="X1058" s="64"/>
      <c r="Y1058" s="64"/>
      <c r="Z1058" s="64"/>
    </row>
    <row r="1059">
      <c r="A1059" s="65" t="str">
        <f>IFERROR(__xludf.DUMMYFUNCTION("""COMPUTED_VALUE"""),"-30.8979932243046")</f>
        <v>-30.8979932243046</v>
      </c>
      <c r="B1059" s="66" t="str">
        <f>IFERROR(__xludf.DUMMYFUNCTION("""COMPUTED_VALUE"""),"-55.5397515248566")</f>
        <v>-55.5397515248566</v>
      </c>
      <c r="C1059" s="66">
        <f>IFERROR(__xludf.DUMMYFUNCTION("""COMPUTED_VALUE"""),1.0)</f>
        <v>1</v>
      </c>
      <c r="D1059" s="66">
        <f>IFERROR(__xludf.DUMMYFUNCTION("""COMPUTED_VALUE"""),133.0)</f>
        <v>133</v>
      </c>
      <c r="E1059" s="66">
        <f>IFERROR(__xludf.DUMMYFUNCTION("""COMPUTED_VALUE"""),10.0)</f>
        <v>10</v>
      </c>
      <c r="F1059" s="67" t="str">
        <f>IFERROR(__xludf.DUMMYFUNCTION("""COMPUTED_VALUE"""),"https://www.google.com/maps/search/?api=1&amp;query=-30.8979932243046,-55.5397515248566")</f>
        <v>https://www.google.com/maps/search/?api=1&amp;query=-30.8979932243046,-55.5397515248566</v>
      </c>
      <c r="G1059" s="68" t="str">
        <f>IFERROR(__xludf.DUMMYFUNCTION("""COMPUTED_VALUE"""),"https://earth.google.com/web/search/-30.8979932243046,-55.5397515248566")</f>
        <v>https://earth.google.com/web/search/-30.8979932243046,-55.5397515248566</v>
      </c>
      <c r="H1059" s="64"/>
      <c r="I1059" s="64"/>
      <c r="J1059" s="64"/>
      <c r="K1059" s="64"/>
      <c r="L1059" s="64"/>
      <c r="M1059" s="64"/>
      <c r="N1059" s="64"/>
      <c r="O1059" s="64"/>
      <c r="P1059" s="64"/>
      <c r="Q1059" s="64"/>
      <c r="R1059" s="64"/>
      <c r="S1059" s="64"/>
      <c r="T1059" s="64"/>
      <c r="U1059" s="64"/>
      <c r="V1059" s="64"/>
      <c r="W1059" s="64"/>
      <c r="X1059" s="64"/>
      <c r="Y1059" s="64"/>
      <c r="Z1059" s="64"/>
    </row>
    <row r="1060">
      <c r="A1060" s="69" t="str">
        <f>IFERROR(__xludf.DUMMYFUNCTION("""COMPUTED_VALUE"""),"-30.8980324971186")</f>
        <v>-30.8980324971186</v>
      </c>
      <c r="B1060" s="61" t="str">
        <f>IFERROR(__xludf.DUMMYFUNCTION("""COMPUTED_VALUE"""),"-55.5397757129651")</f>
        <v>-55.5397757129651</v>
      </c>
      <c r="C1060" s="61">
        <f>IFERROR(__xludf.DUMMYFUNCTION("""COMPUTED_VALUE"""),1.0)</f>
        <v>1</v>
      </c>
      <c r="D1060" s="61">
        <f>IFERROR(__xludf.DUMMYFUNCTION("""COMPUTED_VALUE"""),133.0)</f>
        <v>133</v>
      </c>
      <c r="E1060" s="61">
        <f>IFERROR(__xludf.DUMMYFUNCTION("""COMPUTED_VALUE"""),11.0)</f>
        <v>11</v>
      </c>
      <c r="F1060" s="62" t="str">
        <f>IFERROR(__xludf.DUMMYFUNCTION("""COMPUTED_VALUE"""),"https://www.google.com/maps/search/?api=1&amp;query=-30.8980324971186,-55.5397757129651")</f>
        <v>https://www.google.com/maps/search/?api=1&amp;query=-30.8980324971186,-55.5397757129651</v>
      </c>
      <c r="G1060" s="63" t="str">
        <f>IFERROR(__xludf.DUMMYFUNCTION("""COMPUTED_VALUE"""),"https://earth.google.com/web/search/-30.8980324971186,-55.5397757129651")</f>
        <v>https://earth.google.com/web/search/-30.8980324971186,-55.5397757129651</v>
      </c>
      <c r="H1060" s="64"/>
      <c r="I1060" s="64"/>
      <c r="J1060" s="64"/>
      <c r="K1060" s="64"/>
      <c r="L1060" s="64"/>
      <c r="M1060" s="64"/>
      <c r="N1060" s="64"/>
      <c r="O1060" s="64"/>
      <c r="P1060" s="64"/>
      <c r="Q1060" s="64"/>
      <c r="R1060" s="64"/>
      <c r="S1060" s="64"/>
      <c r="T1060" s="64"/>
      <c r="U1060" s="64"/>
      <c r="V1060" s="64"/>
      <c r="W1060" s="64"/>
      <c r="X1060" s="64"/>
      <c r="Y1060" s="64"/>
      <c r="Z1060" s="64"/>
    </row>
    <row r="1061">
      <c r="A1061" s="65" t="str">
        <f>IFERROR(__xludf.DUMMYFUNCTION("""COMPUTED_VALUE"""),"-30.8981053908302")</f>
        <v>-30.8981053908302</v>
      </c>
      <c r="B1061" s="66" t="str">
        <f>IFERROR(__xludf.DUMMYFUNCTION("""COMPUTED_VALUE"""),"-55.5398131814535")</f>
        <v>-55.5398131814535</v>
      </c>
      <c r="C1061" s="66">
        <f>IFERROR(__xludf.DUMMYFUNCTION("""COMPUTED_VALUE"""),1.0)</f>
        <v>1</v>
      </c>
      <c r="D1061" s="66">
        <f>IFERROR(__xludf.DUMMYFUNCTION("""COMPUTED_VALUE"""),133.0)</f>
        <v>133</v>
      </c>
      <c r="E1061" s="66">
        <f>IFERROR(__xludf.DUMMYFUNCTION("""COMPUTED_VALUE"""),12.0)</f>
        <v>12</v>
      </c>
      <c r="F1061" s="67" t="str">
        <f>IFERROR(__xludf.DUMMYFUNCTION("""COMPUTED_VALUE"""),"https://www.google.com/maps/search/?api=1&amp;query=-30.8981053908302,-55.5398131814535")</f>
        <v>https://www.google.com/maps/search/?api=1&amp;query=-30.8981053908302,-55.5398131814535</v>
      </c>
      <c r="G1061" s="68" t="str">
        <f>IFERROR(__xludf.DUMMYFUNCTION("""COMPUTED_VALUE"""),"https://earth.google.com/web/search/-30.8981053908302,-55.5398131814535")</f>
        <v>https://earth.google.com/web/search/-30.8981053908302,-55.5398131814535</v>
      </c>
      <c r="H1061" s="64"/>
      <c r="I1061" s="64"/>
      <c r="J1061" s="64"/>
      <c r="K1061" s="64"/>
      <c r="L1061" s="64"/>
      <c r="M1061" s="64"/>
      <c r="N1061" s="64"/>
      <c r="O1061" s="64"/>
      <c r="P1061" s="64"/>
      <c r="Q1061" s="64"/>
      <c r="R1061" s="64"/>
      <c r="S1061" s="64"/>
      <c r="T1061" s="64"/>
      <c r="U1061" s="64"/>
      <c r="V1061" s="64"/>
      <c r="W1061" s="64"/>
      <c r="X1061" s="64"/>
      <c r="Y1061" s="64"/>
      <c r="Z1061" s="64"/>
    </row>
    <row r="1062">
      <c r="A1062" s="69" t="str">
        <f>IFERROR(__xludf.DUMMYFUNCTION("""COMPUTED_VALUE"""),"-3.0898199140465")</f>
        <v>-3.0898199140465</v>
      </c>
      <c r="B1062" s="61" t="str">
        <f>IFERROR(__xludf.DUMMYFUNCTION("""COMPUTED_VALUE"""),"-55.5398770860477")</f>
        <v>-55.5398770860477</v>
      </c>
      <c r="C1062" s="61">
        <f>IFERROR(__xludf.DUMMYFUNCTION("""COMPUTED_VALUE"""),1.0)</f>
        <v>1</v>
      </c>
      <c r="D1062" s="61">
        <f>IFERROR(__xludf.DUMMYFUNCTION("""COMPUTED_VALUE"""),133.0)</f>
        <v>133</v>
      </c>
      <c r="E1062" s="61">
        <f>IFERROR(__xludf.DUMMYFUNCTION("""COMPUTED_VALUE"""),13.0)</f>
        <v>13</v>
      </c>
      <c r="F1062" s="62" t="str">
        <f>IFERROR(__xludf.DUMMYFUNCTION("""COMPUTED_VALUE"""),"https://www.google.com/maps/search/?api=1&amp;query=-3.0898199140465,-55.5398770860477")</f>
        <v>https://www.google.com/maps/search/?api=1&amp;query=-3.0898199140465,-55.5398770860477</v>
      </c>
      <c r="G1062" s="63" t="str">
        <f>IFERROR(__xludf.DUMMYFUNCTION("""COMPUTED_VALUE"""),"https://earth.google.com/web/search/-3.0898199140465,-55.5398770860477")</f>
        <v>https://earth.google.com/web/search/-3.0898199140465,-55.5398770860477</v>
      </c>
      <c r="H1062" s="64"/>
      <c r="I1062" s="64"/>
      <c r="J1062" s="64"/>
      <c r="K1062" s="64"/>
      <c r="L1062" s="64"/>
      <c r="M1062" s="64"/>
      <c r="N1062" s="64"/>
      <c r="O1062" s="64"/>
      <c r="P1062" s="64"/>
      <c r="Q1062" s="64"/>
      <c r="R1062" s="64"/>
      <c r="S1062" s="64"/>
      <c r="T1062" s="64"/>
      <c r="U1062" s="64"/>
      <c r="V1062" s="64"/>
      <c r="W1062" s="64"/>
      <c r="X1062" s="64"/>
      <c r="Y1062" s="64"/>
      <c r="Z1062" s="64"/>
    </row>
    <row r="1063">
      <c r="A1063" s="65" t="str">
        <f>IFERROR(__xludf.DUMMYFUNCTION("""COMPUTED_VALUE"""),"-30.8984337039189")</f>
        <v>-30.8984337039189</v>
      </c>
      <c r="B1063" s="66" t="str">
        <f>IFERROR(__xludf.DUMMYFUNCTION("""COMPUTED_VALUE"""),"-55.5400461322357")</f>
        <v>-55.5400461322357</v>
      </c>
      <c r="C1063" s="66">
        <f>IFERROR(__xludf.DUMMYFUNCTION("""COMPUTED_VALUE"""),1.0)</f>
        <v>1</v>
      </c>
      <c r="D1063" s="66">
        <f>IFERROR(__xludf.DUMMYFUNCTION("""COMPUTED_VALUE"""),133.0)</f>
        <v>133</v>
      </c>
      <c r="E1063" s="66">
        <f>IFERROR(__xludf.DUMMYFUNCTION("""COMPUTED_VALUE"""),14.0)</f>
        <v>14</v>
      </c>
      <c r="F1063" s="67" t="str">
        <f>IFERROR(__xludf.DUMMYFUNCTION("""COMPUTED_VALUE"""),"https://www.google.com/maps/search/?api=1&amp;query=-30.8984337039189,-55.5400461322357")</f>
        <v>https://www.google.com/maps/search/?api=1&amp;query=-30.8984337039189,-55.5400461322357</v>
      </c>
      <c r="G1063" s="68" t="str">
        <f>IFERROR(__xludf.DUMMYFUNCTION("""COMPUTED_VALUE"""),"https://earth.google.com/web/search/-30.8984337039189,-55.5400461322357")</f>
        <v>https://earth.google.com/web/search/-30.8984337039189,-55.5400461322357</v>
      </c>
      <c r="H1063" s="64"/>
      <c r="I1063" s="64"/>
      <c r="J1063" s="64"/>
      <c r="K1063" s="64"/>
      <c r="L1063" s="64"/>
      <c r="M1063" s="64"/>
      <c r="N1063" s="64"/>
      <c r="O1063" s="64"/>
      <c r="P1063" s="64"/>
      <c r="Q1063" s="64"/>
      <c r="R1063" s="64"/>
      <c r="S1063" s="64"/>
      <c r="T1063" s="64"/>
      <c r="U1063" s="64"/>
      <c r="V1063" s="64"/>
      <c r="W1063" s="64"/>
      <c r="X1063" s="64"/>
      <c r="Y1063" s="64"/>
      <c r="Z1063" s="64"/>
    </row>
    <row r="1064">
      <c r="A1064" s="69" t="str">
        <f>IFERROR(__xludf.DUMMYFUNCTION("""COMPUTED_VALUE"""),"-30.8984687179404")</f>
        <v>-30.8984687179404</v>
      </c>
      <c r="B1064" s="61" t="str">
        <f>IFERROR(__xludf.DUMMYFUNCTION("""COMPUTED_VALUE"""),"-55.5400741466021")</f>
        <v>-55.5400741466021</v>
      </c>
      <c r="C1064" s="61">
        <f>IFERROR(__xludf.DUMMYFUNCTION("""COMPUTED_VALUE"""),1.0)</f>
        <v>1</v>
      </c>
      <c r="D1064" s="61">
        <f>IFERROR(__xludf.DUMMYFUNCTION("""COMPUTED_VALUE"""),133.0)</f>
        <v>133</v>
      </c>
      <c r="E1064" s="61">
        <f>IFERROR(__xludf.DUMMYFUNCTION("""COMPUTED_VALUE"""),15.0)</f>
        <v>15</v>
      </c>
      <c r="F1064" s="62" t="str">
        <f>IFERROR(__xludf.DUMMYFUNCTION("""COMPUTED_VALUE"""),"https://www.google.com/maps/search/?api=1&amp;query=-30.8984687179404,-55.5400741466021")</f>
        <v>https://www.google.com/maps/search/?api=1&amp;query=-30.8984687179404,-55.5400741466021</v>
      </c>
      <c r="G1064" s="63" t="str">
        <f>IFERROR(__xludf.DUMMYFUNCTION("""COMPUTED_VALUE"""),"https://earth.google.com/web/search/-30.8984687179404,-55.5400741466021")</f>
        <v>https://earth.google.com/web/search/-30.8984687179404,-55.5400741466021</v>
      </c>
      <c r="H1064" s="64"/>
      <c r="I1064" s="64"/>
      <c r="J1064" s="64"/>
      <c r="K1064" s="64"/>
      <c r="L1064" s="64"/>
      <c r="M1064" s="64"/>
      <c r="N1064" s="64"/>
      <c r="O1064" s="64"/>
      <c r="P1064" s="64"/>
      <c r="Q1064" s="64"/>
      <c r="R1064" s="64"/>
      <c r="S1064" s="64"/>
      <c r="T1064" s="64"/>
      <c r="U1064" s="64"/>
      <c r="V1064" s="64"/>
      <c r="W1064" s="64"/>
      <c r="X1064" s="64"/>
      <c r="Y1064" s="64"/>
      <c r="Z1064" s="64"/>
    </row>
    <row r="1065">
      <c r="A1065" s="65" t="str">
        <f>IFERROR(__xludf.DUMMYFUNCTION("""COMPUTED_VALUE"""),"-30.8985209682643")</f>
        <v>-30.8985209682643</v>
      </c>
      <c r="B1065" s="66" t="str">
        <f>IFERROR(__xludf.DUMMYFUNCTION("""COMPUTED_VALUE"""),"-55.5401070534485")</f>
        <v>-55.5401070534485</v>
      </c>
      <c r="C1065" s="66">
        <f>IFERROR(__xludf.DUMMYFUNCTION("""COMPUTED_VALUE"""),1.0)</f>
        <v>1</v>
      </c>
      <c r="D1065" s="66">
        <f>IFERROR(__xludf.DUMMYFUNCTION("""COMPUTED_VALUE"""),133.0)</f>
        <v>133</v>
      </c>
      <c r="E1065" s="66">
        <f>IFERROR(__xludf.DUMMYFUNCTION("""COMPUTED_VALUE"""),16.0)</f>
        <v>16</v>
      </c>
      <c r="F1065" s="67" t="str">
        <f>IFERROR(__xludf.DUMMYFUNCTION("""COMPUTED_VALUE"""),"https://www.google.com/maps/search/?api=1&amp;query=-30.8985209682643,-55.5401070534485")</f>
        <v>https://www.google.com/maps/search/?api=1&amp;query=-30.8985209682643,-55.5401070534485</v>
      </c>
      <c r="G1065" s="68" t="str">
        <f>IFERROR(__xludf.DUMMYFUNCTION("""COMPUTED_VALUE"""),"https://earth.google.com/web/search/-30.8985209682643,-55.5401070534485")</f>
        <v>https://earth.google.com/web/search/-30.8985209682643,-55.5401070534485</v>
      </c>
      <c r="H1065" s="64"/>
      <c r="I1065" s="64"/>
      <c r="J1065" s="64"/>
      <c r="K1065" s="64"/>
      <c r="L1065" s="64"/>
      <c r="M1065" s="64"/>
      <c r="N1065" s="64"/>
      <c r="O1065" s="64"/>
      <c r="P1065" s="64"/>
      <c r="Q1065" s="64"/>
      <c r="R1065" s="64"/>
      <c r="S1065" s="64"/>
      <c r="T1065" s="64"/>
      <c r="U1065" s="64"/>
      <c r="V1065" s="64"/>
      <c r="W1065" s="64"/>
      <c r="X1065" s="64"/>
      <c r="Y1065" s="64"/>
      <c r="Z1065" s="64"/>
    </row>
    <row r="1066">
      <c r="A1066" s="69" t="str">
        <f>IFERROR(__xludf.DUMMYFUNCTION("""COMPUTED_VALUE"""),"-30.8981683018628")</f>
        <v>-30.8981683018628</v>
      </c>
      <c r="B1066" s="61" t="str">
        <f>IFERROR(__xludf.DUMMYFUNCTION("""COMPUTED_VALUE"""),"-55.5410737858627")</f>
        <v>-55.5410737858627</v>
      </c>
      <c r="C1066" s="61">
        <f>IFERROR(__xludf.DUMMYFUNCTION("""COMPUTED_VALUE"""),1.0)</f>
        <v>1</v>
      </c>
      <c r="D1066" s="61">
        <f>IFERROR(__xludf.DUMMYFUNCTION("""COMPUTED_VALUE"""),134.0)</f>
        <v>134</v>
      </c>
      <c r="E1066" s="61">
        <f>IFERROR(__xludf.DUMMYFUNCTION("""COMPUTED_VALUE"""),1.0)</f>
        <v>1</v>
      </c>
      <c r="F1066" s="62" t="str">
        <f>IFERROR(__xludf.DUMMYFUNCTION("""COMPUTED_VALUE"""),"https://www.google.com/maps/search/?api=1&amp;query=-30.8981683018628,-55.5410737858627")</f>
        <v>https://www.google.com/maps/search/?api=1&amp;query=-30.8981683018628,-55.5410737858627</v>
      </c>
      <c r="G1066" s="63" t="str">
        <f>IFERROR(__xludf.DUMMYFUNCTION("""COMPUTED_VALUE"""),"https://earth.google.com/web/search/-30.8981683018628,-55.5410737858627")</f>
        <v>https://earth.google.com/web/search/-30.8981683018628,-55.5410737858627</v>
      </c>
      <c r="H1066" s="64"/>
      <c r="I1066" s="64"/>
      <c r="J1066" s="64"/>
      <c r="K1066" s="64"/>
      <c r="L1066" s="64"/>
      <c r="M1066" s="64"/>
      <c r="N1066" s="64"/>
      <c r="O1066" s="64"/>
      <c r="P1066" s="64"/>
      <c r="Q1066" s="64"/>
      <c r="R1066" s="64"/>
      <c r="S1066" s="64"/>
      <c r="T1066" s="64"/>
      <c r="U1066" s="64"/>
      <c r="V1066" s="64"/>
      <c r="W1066" s="64"/>
      <c r="X1066" s="64"/>
      <c r="Y1066" s="64"/>
      <c r="Z1066" s="64"/>
    </row>
    <row r="1067">
      <c r="A1067" s="65" t="str">
        <f>IFERROR(__xludf.DUMMYFUNCTION("""COMPUTED_VALUE"""),"-30.8982200094259")</f>
        <v>-30.8982200094259</v>
      </c>
      <c r="B1067" s="66" t="str">
        <f>IFERROR(__xludf.DUMMYFUNCTION("""COMPUTED_VALUE"""),"-55.5409583969448")</f>
        <v>-55.5409583969448</v>
      </c>
      <c r="C1067" s="66">
        <f>IFERROR(__xludf.DUMMYFUNCTION("""COMPUTED_VALUE"""),1.0)</f>
        <v>1</v>
      </c>
      <c r="D1067" s="66">
        <f>IFERROR(__xludf.DUMMYFUNCTION("""COMPUTED_VALUE"""),134.0)</f>
        <v>134</v>
      </c>
      <c r="E1067" s="66">
        <f>IFERROR(__xludf.DUMMYFUNCTION("""COMPUTED_VALUE"""),2.0)</f>
        <v>2</v>
      </c>
      <c r="F1067" s="67" t="str">
        <f>IFERROR(__xludf.DUMMYFUNCTION("""COMPUTED_VALUE"""),"https://www.google.com/maps/search/?api=1&amp;query=-30.8982200094259,-55.5409583969448")</f>
        <v>https://www.google.com/maps/search/?api=1&amp;query=-30.8982200094259,-55.5409583969448</v>
      </c>
      <c r="G1067" s="68" t="str">
        <f>IFERROR(__xludf.DUMMYFUNCTION("""COMPUTED_VALUE"""),"https://earth.google.com/web/search/-30.8982200094259,-55.5409583969448")</f>
        <v>https://earth.google.com/web/search/-30.8982200094259,-55.5409583969448</v>
      </c>
      <c r="H1067" s="64"/>
      <c r="I1067" s="64"/>
      <c r="J1067" s="64"/>
      <c r="K1067" s="64"/>
      <c r="L1067" s="64"/>
      <c r="M1067" s="64"/>
      <c r="N1067" s="64"/>
      <c r="O1067" s="64"/>
      <c r="P1067" s="64"/>
      <c r="Q1067" s="64"/>
      <c r="R1067" s="64"/>
      <c r="S1067" s="64"/>
      <c r="T1067" s="64"/>
      <c r="U1067" s="64"/>
      <c r="V1067" s="64"/>
      <c r="W1067" s="64"/>
      <c r="X1067" s="64"/>
      <c r="Y1067" s="64"/>
      <c r="Z1067" s="64"/>
    </row>
    <row r="1068">
      <c r="A1068" s="69" t="str">
        <f>IFERROR(__xludf.DUMMYFUNCTION("""COMPUTED_VALUE"""),"-30.8983241388049")</f>
        <v>-30.8983241388049</v>
      </c>
      <c r="B1068" s="61" t="str">
        <f>IFERROR(__xludf.DUMMYFUNCTION("""COMPUTED_VALUE"""),"-55.5407711764507")</f>
        <v>-55.5407711764507</v>
      </c>
      <c r="C1068" s="61">
        <f>IFERROR(__xludf.DUMMYFUNCTION("""COMPUTED_VALUE"""),1.0)</f>
        <v>1</v>
      </c>
      <c r="D1068" s="61">
        <f>IFERROR(__xludf.DUMMYFUNCTION("""COMPUTED_VALUE"""),134.0)</f>
        <v>134</v>
      </c>
      <c r="E1068" s="61">
        <f>IFERROR(__xludf.DUMMYFUNCTION("""COMPUTED_VALUE"""),3.0)</f>
        <v>3</v>
      </c>
      <c r="F1068" s="62" t="str">
        <f>IFERROR(__xludf.DUMMYFUNCTION("""COMPUTED_VALUE"""),"https://www.google.com/maps/search/?api=1&amp;query=-30.8983241388049,-55.5407711764507")</f>
        <v>https://www.google.com/maps/search/?api=1&amp;query=-30.8983241388049,-55.5407711764507</v>
      </c>
      <c r="G1068" s="63" t="str">
        <f>IFERROR(__xludf.DUMMYFUNCTION("""COMPUTED_VALUE"""),"https://earth.google.com/web/search/-30.8983241388049,-55.5407711764507")</f>
        <v>https://earth.google.com/web/search/-30.8983241388049,-55.5407711764507</v>
      </c>
      <c r="H1068" s="64"/>
      <c r="I1068" s="64"/>
      <c r="J1068" s="64"/>
      <c r="K1068" s="64"/>
      <c r="L1068" s="64"/>
      <c r="M1068" s="64"/>
      <c r="N1068" s="64"/>
      <c r="O1068" s="64"/>
      <c r="P1068" s="64"/>
      <c r="Q1068" s="64"/>
      <c r="R1068" s="64"/>
      <c r="S1068" s="64"/>
      <c r="T1068" s="64"/>
      <c r="U1068" s="64"/>
      <c r="V1068" s="64"/>
      <c r="W1068" s="64"/>
      <c r="X1068" s="64"/>
      <c r="Y1068" s="64"/>
      <c r="Z1068" s="64"/>
    </row>
    <row r="1069">
      <c r="A1069" s="65" t="str">
        <f>IFERROR(__xludf.DUMMYFUNCTION("""COMPUTED_VALUE"""),"-30.8985280607716")</f>
        <v>-30.8985280607716</v>
      </c>
      <c r="B1069" s="66" t="str">
        <f>IFERROR(__xludf.DUMMYFUNCTION("""COMPUTED_VALUE"""),"-55.5403771063762")</f>
        <v>-55.5403771063762</v>
      </c>
      <c r="C1069" s="66">
        <f>IFERROR(__xludf.DUMMYFUNCTION("""COMPUTED_VALUE"""),1.0)</f>
        <v>1</v>
      </c>
      <c r="D1069" s="66">
        <f>IFERROR(__xludf.DUMMYFUNCTION("""COMPUTED_VALUE"""),134.0)</f>
        <v>134</v>
      </c>
      <c r="E1069" s="66">
        <f>IFERROR(__xludf.DUMMYFUNCTION("""COMPUTED_VALUE"""),4.0)</f>
        <v>4</v>
      </c>
      <c r="F1069" s="67" t="str">
        <f>IFERROR(__xludf.DUMMYFUNCTION("""COMPUTED_VALUE"""),"https://www.google.com/maps/search/?api=1&amp;query=-30.8985280607716,-55.5403771063762")</f>
        <v>https://www.google.com/maps/search/?api=1&amp;query=-30.8985280607716,-55.5403771063762</v>
      </c>
      <c r="G1069" s="68" t="str">
        <f>IFERROR(__xludf.DUMMYFUNCTION("""COMPUTED_VALUE"""),"https://earth.google.com/web/search/-30.8985280607716,-55.5403771063762")</f>
        <v>https://earth.google.com/web/search/-30.8985280607716,-55.5403771063762</v>
      </c>
      <c r="H1069" s="64"/>
      <c r="I1069" s="64"/>
      <c r="J1069" s="64"/>
      <c r="K1069" s="64"/>
      <c r="L1069" s="64"/>
      <c r="M1069" s="64"/>
      <c r="N1069" s="64"/>
      <c r="O1069" s="64"/>
      <c r="P1069" s="64"/>
      <c r="Q1069" s="64"/>
      <c r="R1069" s="64"/>
      <c r="S1069" s="64"/>
      <c r="T1069" s="64"/>
      <c r="U1069" s="64"/>
      <c r="V1069" s="64"/>
      <c r="W1069" s="64"/>
      <c r="X1069" s="64"/>
      <c r="Y1069" s="64"/>
      <c r="Z1069" s="64"/>
    </row>
    <row r="1070">
      <c r="A1070" s="69" t="str">
        <f>IFERROR(__xludf.DUMMYFUNCTION("""COMPUTED_VALUE"""),"-30.8985527158475")</f>
        <v>-30.8985527158475</v>
      </c>
      <c r="B1070" s="61" t="str">
        <f>IFERROR(__xludf.DUMMYFUNCTION("""COMPUTED_VALUE"""),"-55.5402229394982")</f>
        <v>-55.5402229394982</v>
      </c>
      <c r="C1070" s="61">
        <f>IFERROR(__xludf.DUMMYFUNCTION("""COMPUTED_VALUE"""),1.0)</f>
        <v>1</v>
      </c>
      <c r="D1070" s="61">
        <f>IFERROR(__xludf.DUMMYFUNCTION("""COMPUTED_VALUE"""),134.0)</f>
        <v>134</v>
      </c>
      <c r="E1070" s="61">
        <f>IFERROR(__xludf.DUMMYFUNCTION("""COMPUTED_VALUE"""),5.0)</f>
        <v>5</v>
      </c>
      <c r="F1070" s="62" t="str">
        <f>IFERROR(__xludf.DUMMYFUNCTION("""COMPUTED_VALUE"""),"https://www.google.com/maps/search/?api=1&amp;query=-30.8985527158475,-55.5402229394982")</f>
        <v>https://www.google.com/maps/search/?api=1&amp;query=-30.8985527158475,-55.5402229394982</v>
      </c>
      <c r="G1070" s="63" t="str">
        <f>IFERROR(__xludf.DUMMYFUNCTION("""COMPUTED_VALUE"""),"https://earth.google.com/web/search/-30.8985527158475,-55.5402229394982")</f>
        <v>https://earth.google.com/web/search/-30.8985527158475,-55.5402229394982</v>
      </c>
      <c r="H1070" s="64"/>
      <c r="I1070" s="64"/>
      <c r="J1070" s="64"/>
      <c r="K1070" s="64"/>
      <c r="L1070" s="64"/>
      <c r="M1070" s="64"/>
      <c r="N1070" s="64"/>
      <c r="O1070" s="64"/>
      <c r="P1070" s="64"/>
      <c r="Q1070" s="64"/>
      <c r="R1070" s="64"/>
      <c r="S1070" s="64"/>
      <c r="T1070" s="64"/>
      <c r="U1070" s="64"/>
      <c r="V1070" s="64"/>
      <c r="W1070" s="64"/>
      <c r="X1070" s="64"/>
      <c r="Y1070" s="64"/>
      <c r="Z1070" s="64"/>
    </row>
    <row r="1071">
      <c r="A1071" s="65" t="str">
        <f>IFERROR(__xludf.DUMMYFUNCTION("""COMPUTED_VALUE"""),"-30.8984886530854")</f>
        <v>-30.8984886530854</v>
      </c>
      <c r="B1071" s="66" t="str">
        <f>IFERROR(__xludf.DUMMYFUNCTION("""COMPUTED_VALUE"""),"-55.5401961947276")</f>
        <v>-55.5401961947276</v>
      </c>
      <c r="C1071" s="66">
        <f>IFERROR(__xludf.DUMMYFUNCTION("""COMPUTED_VALUE"""),1.0)</f>
        <v>1</v>
      </c>
      <c r="D1071" s="66">
        <f>IFERROR(__xludf.DUMMYFUNCTION("""COMPUTED_VALUE"""),134.0)</f>
        <v>134</v>
      </c>
      <c r="E1071" s="66">
        <f>IFERROR(__xludf.DUMMYFUNCTION("""COMPUTED_VALUE"""),6.0)</f>
        <v>6</v>
      </c>
      <c r="F1071" s="67" t="str">
        <f>IFERROR(__xludf.DUMMYFUNCTION("""COMPUTED_VALUE"""),"https://www.google.com/maps/search/?api=1&amp;query=-30.8984886530854,-55.5401961947276")</f>
        <v>https://www.google.com/maps/search/?api=1&amp;query=-30.8984886530854,-55.5401961947276</v>
      </c>
      <c r="G1071" s="68" t="str">
        <f>IFERROR(__xludf.DUMMYFUNCTION("""COMPUTED_VALUE"""),"https://earth.google.com/web/search/-30.8984886530854,-55.5401961947276")</f>
        <v>https://earth.google.com/web/search/-30.8984886530854,-55.5401961947276</v>
      </c>
      <c r="H1071" s="64"/>
      <c r="I1071" s="64"/>
      <c r="J1071" s="64"/>
      <c r="K1071" s="64"/>
      <c r="L1071" s="64"/>
      <c r="M1071" s="64"/>
      <c r="N1071" s="64"/>
      <c r="O1071" s="64"/>
      <c r="P1071" s="64"/>
      <c r="Q1071" s="64"/>
      <c r="R1071" s="64"/>
      <c r="S1071" s="64"/>
      <c r="T1071" s="64"/>
      <c r="U1071" s="64"/>
      <c r="V1071" s="64"/>
      <c r="W1071" s="64"/>
      <c r="X1071" s="64"/>
      <c r="Y1071" s="64"/>
      <c r="Z1071" s="64"/>
    </row>
    <row r="1072">
      <c r="A1072" s="69" t="str">
        <f>IFERROR(__xludf.DUMMYFUNCTION("""COMPUTED_VALUE"""),"-30.8984421539642")</f>
        <v>-30.8984421539642</v>
      </c>
      <c r="B1072" s="61" t="str">
        <f>IFERROR(__xludf.DUMMYFUNCTION("""COMPUTED_VALUE"""),"-55.5401585538413")</f>
        <v>-55.5401585538413</v>
      </c>
      <c r="C1072" s="61">
        <f>IFERROR(__xludf.DUMMYFUNCTION("""COMPUTED_VALUE"""),1.0)</f>
        <v>1</v>
      </c>
      <c r="D1072" s="61">
        <f>IFERROR(__xludf.DUMMYFUNCTION("""COMPUTED_VALUE"""),134.0)</f>
        <v>134</v>
      </c>
      <c r="E1072" s="61">
        <f>IFERROR(__xludf.DUMMYFUNCTION("""COMPUTED_VALUE"""),7.0)</f>
        <v>7</v>
      </c>
      <c r="F1072" s="62" t="str">
        <f>IFERROR(__xludf.DUMMYFUNCTION("""COMPUTED_VALUE"""),"https://www.google.com/maps/search/?api=1&amp;query=-30.8984421539642,-55.5401585538413")</f>
        <v>https://www.google.com/maps/search/?api=1&amp;query=-30.8984421539642,-55.5401585538413</v>
      </c>
      <c r="G1072" s="63" t="str">
        <f>IFERROR(__xludf.DUMMYFUNCTION("""COMPUTED_VALUE"""),"https://earth.google.com/web/search/-30.8984421539642,-55.5401585538413")</f>
        <v>https://earth.google.com/web/search/-30.8984421539642,-55.5401585538413</v>
      </c>
      <c r="H1072" s="64"/>
      <c r="I1072" s="64"/>
      <c r="J1072" s="64"/>
      <c r="K1072" s="64"/>
      <c r="L1072" s="64"/>
      <c r="M1072" s="64"/>
      <c r="N1072" s="64"/>
      <c r="O1072" s="64"/>
      <c r="P1072" s="64"/>
      <c r="Q1072" s="64"/>
      <c r="R1072" s="64"/>
      <c r="S1072" s="64"/>
      <c r="T1072" s="64"/>
      <c r="U1072" s="64"/>
      <c r="V1072" s="64"/>
      <c r="W1072" s="64"/>
      <c r="X1072" s="64"/>
      <c r="Y1072" s="64"/>
      <c r="Z1072" s="64"/>
    </row>
    <row r="1073">
      <c r="A1073" s="65" t="str">
        <f>IFERROR(__xludf.DUMMYFUNCTION("""COMPUTED_VALUE"""),"-30.8978408447885")</f>
        <v>-30.8978408447885</v>
      </c>
      <c r="B1073" s="66" t="str">
        <f>IFERROR(__xludf.DUMMYFUNCTION("""COMPUTED_VALUE"""),"-55.5398331492407")</f>
        <v>-55.5398331492407</v>
      </c>
      <c r="C1073" s="66">
        <f>IFERROR(__xludf.DUMMYFUNCTION("""COMPUTED_VALUE"""),1.0)</f>
        <v>1</v>
      </c>
      <c r="D1073" s="66">
        <f>IFERROR(__xludf.DUMMYFUNCTION("""COMPUTED_VALUE"""),134.0)</f>
        <v>134</v>
      </c>
      <c r="E1073" s="66">
        <f>IFERROR(__xludf.DUMMYFUNCTION("""COMPUTED_VALUE"""),8.0)</f>
        <v>8</v>
      </c>
      <c r="F1073" s="67" t="str">
        <f>IFERROR(__xludf.DUMMYFUNCTION("""COMPUTED_VALUE"""),"https://www.google.com/maps/search/?api=1&amp;query=-30.8978408447885,-55.5398331492407")</f>
        <v>https://www.google.com/maps/search/?api=1&amp;query=-30.8978408447885,-55.5398331492407</v>
      </c>
      <c r="G1073" s="68" t="str">
        <f>IFERROR(__xludf.DUMMYFUNCTION("""COMPUTED_VALUE"""),"https://earth.google.com/web/search/-30.8978408447885,-55.5398331492407")</f>
        <v>https://earth.google.com/web/search/-30.8978408447885,-55.5398331492407</v>
      </c>
      <c r="H1073" s="64"/>
      <c r="I1073" s="64"/>
      <c r="J1073" s="64"/>
      <c r="K1073" s="64"/>
      <c r="L1073" s="64"/>
      <c r="M1073" s="64"/>
      <c r="N1073" s="64"/>
      <c r="O1073" s="64"/>
      <c r="P1073" s="64"/>
      <c r="Q1073" s="64"/>
      <c r="R1073" s="64"/>
      <c r="S1073" s="64"/>
      <c r="T1073" s="64"/>
      <c r="U1073" s="64"/>
      <c r="V1073" s="64"/>
      <c r="W1073" s="64"/>
      <c r="X1073" s="64"/>
      <c r="Y1073" s="64"/>
      <c r="Z1073" s="64"/>
    </row>
    <row r="1074">
      <c r="A1074" s="69" t="str">
        <f>IFERROR(__xludf.DUMMYFUNCTION("""COMPUTED_VALUE"""),"-30.8975821281769")</f>
        <v>-30.8975821281769</v>
      </c>
      <c r="B1074" s="61" t="str">
        <f>IFERROR(__xludf.DUMMYFUNCTION("""COMPUTED_VALUE"""),"-55.5403580931201")</f>
        <v>-55.5403580931201</v>
      </c>
      <c r="C1074" s="61">
        <f>IFERROR(__xludf.DUMMYFUNCTION("""COMPUTED_VALUE"""),1.0)</f>
        <v>1</v>
      </c>
      <c r="D1074" s="61">
        <f>IFERROR(__xludf.DUMMYFUNCTION("""COMPUTED_VALUE"""),134.0)</f>
        <v>134</v>
      </c>
      <c r="E1074" s="61">
        <f>IFERROR(__xludf.DUMMYFUNCTION("""COMPUTED_VALUE"""),9.0)</f>
        <v>9</v>
      </c>
      <c r="F1074" s="62" t="str">
        <f>IFERROR(__xludf.DUMMYFUNCTION("""COMPUTED_VALUE"""),"https://www.google.com/maps/search/?api=1&amp;query=-30.8975821281769,-55.5403580931201")</f>
        <v>https://www.google.com/maps/search/?api=1&amp;query=-30.8975821281769,-55.5403580931201</v>
      </c>
      <c r="G1074" s="63" t="str">
        <f>IFERROR(__xludf.DUMMYFUNCTION("""COMPUTED_VALUE"""),"https://earth.google.com/web/search/-30.8975821281769,-55.5403580931201")</f>
        <v>https://earth.google.com/web/search/-30.8975821281769,-55.5403580931201</v>
      </c>
      <c r="H1074" s="64"/>
      <c r="I1074" s="64"/>
      <c r="J1074" s="64"/>
      <c r="K1074" s="64"/>
      <c r="L1074" s="64"/>
      <c r="M1074" s="64"/>
      <c r="N1074" s="64"/>
      <c r="O1074" s="64"/>
      <c r="P1074" s="64"/>
      <c r="Q1074" s="64"/>
      <c r="R1074" s="64"/>
      <c r="S1074" s="64"/>
      <c r="T1074" s="64"/>
      <c r="U1074" s="64"/>
      <c r="V1074" s="64"/>
      <c r="W1074" s="64"/>
      <c r="X1074" s="64"/>
      <c r="Y1074" s="64"/>
      <c r="Z1074" s="64"/>
    </row>
    <row r="1075">
      <c r="A1075" s="65" t="str">
        <f>IFERROR(__xludf.DUMMYFUNCTION("""COMPUTED_VALUE"""),"-30.8974783729345")</f>
        <v>-30.8974783729345</v>
      </c>
      <c r="B1075" s="66" t="str">
        <f>IFERROR(__xludf.DUMMYFUNCTION("""COMPUTED_VALUE"""),"-5.5540531246774")</f>
        <v>-5.5540531246774</v>
      </c>
      <c r="C1075" s="66">
        <f>IFERROR(__xludf.DUMMYFUNCTION("""COMPUTED_VALUE"""),1.0)</f>
        <v>1</v>
      </c>
      <c r="D1075" s="66">
        <f>IFERROR(__xludf.DUMMYFUNCTION("""COMPUTED_VALUE"""),134.0)</f>
        <v>134</v>
      </c>
      <c r="E1075" s="66">
        <f>IFERROR(__xludf.DUMMYFUNCTION("""COMPUTED_VALUE"""),10.0)</f>
        <v>10</v>
      </c>
      <c r="F1075" s="67" t="str">
        <f>IFERROR(__xludf.DUMMYFUNCTION("""COMPUTED_VALUE"""),"https://www.google.com/maps/search/?api=1&amp;query=-30.8974783729345,-5.5540531246774")</f>
        <v>https://www.google.com/maps/search/?api=1&amp;query=-30.8974783729345,-5.5540531246774</v>
      </c>
      <c r="G1075" s="68" t="str">
        <f>IFERROR(__xludf.DUMMYFUNCTION("""COMPUTED_VALUE"""),"https://earth.google.com/web/search/-30.8974783729345,-5.5540531246774")</f>
        <v>https://earth.google.com/web/search/-30.8974783729345,-5.5540531246774</v>
      </c>
      <c r="H1075" s="64"/>
      <c r="I1075" s="64"/>
      <c r="J1075" s="64"/>
      <c r="K1075" s="64"/>
      <c r="L1075" s="64"/>
      <c r="M1075" s="64"/>
      <c r="N1075" s="64"/>
      <c r="O1075" s="64"/>
      <c r="P1075" s="64"/>
      <c r="Q1075" s="64"/>
      <c r="R1075" s="64"/>
      <c r="S1075" s="64"/>
      <c r="T1075" s="64"/>
      <c r="U1075" s="64"/>
      <c r="V1075" s="64"/>
      <c r="W1075" s="64"/>
      <c r="X1075" s="64"/>
      <c r="Y1075" s="64"/>
      <c r="Z1075" s="64"/>
    </row>
    <row r="1076">
      <c r="A1076" s="69" t="str">
        <f>IFERROR(__xludf.DUMMYFUNCTION("""COMPUTED_VALUE"""),"-30.8975478828478")</f>
        <v>-30.8975478828478</v>
      </c>
      <c r="B1076" s="61" t="str">
        <f>IFERROR(__xludf.DUMMYFUNCTION("""COMPUTED_VALUE"""),"-55.5406858415484")</f>
        <v>-55.5406858415484</v>
      </c>
      <c r="C1076" s="61">
        <f>IFERROR(__xludf.DUMMYFUNCTION("""COMPUTED_VALUE"""),1.0)</f>
        <v>1</v>
      </c>
      <c r="D1076" s="61">
        <f>IFERROR(__xludf.DUMMYFUNCTION("""COMPUTED_VALUE"""),134.0)</f>
        <v>134</v>
      </c>
      <c r="E1076" s="61">
        <f>IFERROR(__xludf.DUMMYFUNCTION("""COMPUTED_VALUE"""),11.0)</f>
        <v>11</v>
      </c>
      <c r="F1076" s="62" t="str">
        <f>IFERROR(__xludf.DUMMYFUNCTION("""COMPUTED_VALUE"""),"https://www.google.com/maps/search/?api=1&amp;query=-30.8975478828478,-55.5406858415484")</f>
        <v>https://www.google.com/maps/search/?api=1&amp;query=-30.8975478828478,-55.5406858415484</v>
      </c>
      <c r="G1076" s="63" t="str">
        <f>IFERROR(__xludf.DUMMYFUNCTION("""COMPUTED_VALUE"""),"https://earth.google.com/web/search/-30.8975478828478,-55.5406858415484")</f>
        <v>https://earth.google.com/web/search/-30.8975478828478,-55.5406858415484</v>
      </c>
      <c r="H1076" s="64"/>
      <c r="I1076" s="64"/>
      <c r="J1076" s="64"/>
      <c r="K1076" s="64"/>
      <c r="L1076" s="64"/>
      <c r="M1076" s="64"/>
      <c r="N1076" s="64"/>
      <c r="O1076" s="64"/>
      <c r="P1076" s="64"/>
      <c r="Q1076" s="64"/>
      <c r="R1076" s="64"/>
      <c r="S1076" s="64"/>
      <c r="T1076" s="64"/>
      <c r="U1076" s="64"/>
      <c r="V1076" s="64"/>
      <c r="W1076" s="64"/>
      <c r="X1076" s="64"/>
      <c r="Y1076" s="64"/>
      <c r="Z1076" s="64"/>
    </row>
    <row r="1077">
      <c r="A1077" s="65" t="str">
        <f>IFERROR(__xludf.DUMMYFUNCTION("""COMPUTED_VALUE"""),"-30.8976241747511")</f>
        <v>-30.8976241747511</v>
      </c>
      <c r="B1077" s="66" t="str">
        <f>IFERROR(__xludf.DUMMYFUNCTION("""COMPUTED_VALUE"""),"-55.5407232694226")</f>
        <v>-55.5407232694226</v>
      </c>
      <c r="C1077" s="66">
        <f>IFERROR(__xludf.DUMMYFUNCTION("""COMPUTED_VALUE"""),1.0)</f>
        <v>1</v>
      </c>
      <c r="D1077" s="66">
        <f>IFERROR(__xludf.DUMMYFUNCTION("""COMPUTED_VALUE"""),134.0)</f>
        <v>134</v>
      </c>
      <c r="E1077" s="66">
        <f>IFERROR(__xludf.DUMMYFUNCTION("""COMPUTED_VALUE"""),12.0)</f>
        <v>12</v>
      </c>
      <c r="F1077" s="67" t="str">
        <f>IFERROR(__xludf.DUMMYFUNCTION("""COMPUTED_VALUE"""),"https://www.google.com/maps/search/?api=1&amp;query=-30.8976241747511,-55.5407232694226")</f>
        <v>https://www.google.com/maps/search/?api=1&amp;query=-30.8976241747511,-55.5407232694226</v>
      </c>
      <c r="G1077" s="68" t="str">
        <f>IFERROR(__xludf.DUMMYFUNCTION("""COMPUTED_VALUE"""),"https://earth.google.com/web/search/-30.8976241747511,-55.5407232694226")</f>
        <v>https://earth.google.com/web/search/-30.8976241747511,-55.5407232694226</v>
      </c>
      <c r="H1077" s="64"/>
      <c r="I1077" s="64"/>
      <c r="J1077" s="64"/>
      <c r="K1077" s="64"/>
      <c r="L1077" s="64"/>
      <c r="M1077" s="64"/>
      <c r="N1077" s="64"/>
      <c r="O1077" s="64"/>
      <c r="P1077" s="64"/>
      <c r="Q1077" s="64"/>
      <c r="R1077" s="64"/>
      <c r="S1077" s="64"/>
      <c r="T1077" s="64"/>
      <c r="U1077" s="64"/>
      <c r="V1077" s="64"/>
      <c r="W1077" s="64"/>
      <c r="X1077" s="64"/>
      <c r="Y1077" s="64"/>
      <c r="Z1077" s="64"/>
    </row>
    <row r="1078">
      <c r="A1078" s="69" t="str">
        <f>IFERROR(__xludf.DUMMYFUNCTION("""COMPUTED_VALUE"""),"-30.8976715334368")</f>
        <v>-30.8976715334368</v>
      </c>
      <c r="B1078" s="61" t="str">
        <f>IFERROR(__xludf.DUMMYFUNCTION("""COMPUTED_VALUE"""),"-55.5407630372519")</f>
        <v>-55.5407630372519</v>
      </c>
      <c r="C1078" s="61">
        <f>IFERROR(__xludf.DUMMYFUNCTION("""COMPUTED_VALUE"""),1.0)</f>
        <v>1</v>
      </c>
      <c r="D1078" s="61">
        <f>IFERROR(__xludf.DUMMYFUNCTION("""COMPUTED_VALUE"""),134.0)</f>
        <v>134</v>
      </c>
      <c r="E1078" s="61">
        <f>IFERROR(__xludf.DUMMYFUNCTION("""COMPUTED_VALUE"""),13.0)</f>
        <v>13</v>
      </c>
      <c r="F1078" s="62" t="str">
        <f>IFERROR(__xludf.DUMMYFUNCTION("""COMPUTED_VALUE"""),"https://www.google.com/maps/search/?api=1&amp;query=-30.8976715334368,-55.5407630372519")</f>
        <v>https://www.google.com/maps/search/?api=1&amp;query=-30.8976715334368,-55.5407630372519</v>
      </c>
      <c r="G1078" s="63" t="str">
        <f>IFERROR(__xludf.DUMMYFUNCTION("""COMPUTED_VALUE"""),"https://earth.google.com/web/search/-30.8976715334368,-55.5407630372519")</f>
        <v>https://earth.google.com/web/search/-30.8976715334368,-55.5407630372519</v>
      </c>
      <c r="H1078" s="64"/>
      <c r="I1078" s="64"/>
      <c r="J1078" s="64"/>
      <c r="K1078" s="64"/>
      <c r="L1078" s="64"/>
      <c r="M1078" s="64"/>
      <c r="N1078" s="64"/>
      <c r="O1078" s="64"/>
      <c r="P1078" s="64"/>
      <c r="Q1078" s="64"/>
      <c r="R1078" s="64"/>
      <c r="S1078" s="64"/>
      <c r="T1078" s="64"/>
      <c r="U1078" s="64"/>
      <c r="V1078" s="64"/>
      <c r="W1078" s="64"/>
      <c r="X1078" s="64"/>
      <c r="Y1078" s="64"/>
      <c r="Z1078" s="64"/>
    </row>
    <row r="1079">
      <c r="A1079" s="65" t="str">
        <f>IFERROR(__xludf.DUMMYFUNCTION("""COMPUTED_VALUE"""),"-30.8978001702351")</f>
        <v>-30.8978001702351</v>
      </c>
      <c r="B1079" s="66" t="str">
        <f>IFERROR(__xludf.DUMMYFUNCTION("""COMPUTED_VALUE"""),"-5.5540851559951")</f>
        <v>-5.5540851559951</v>
      </c>
      <c r="C1079" s="66">
        <f>IFERROR(__xludf.DUMMYFUNCTION("""COMPUTED_VALUE"""),1.0)</f>
        <v>1</v>
      </c>
      <c r="D1079" s="66">
        <f>IFERROR(__xludf.DUMMYFUNCTION("""COMPUTED_VALUE"""),134.0)</f>
        <v>134</v>
      </c>
      <c r="E1079" s="66">
        <f>IFERROR(__xludf.DUMMYFUNCTION("""COMPUTED_VALUE"""),14.0)</f>
        <v>14</v>
      </c>
      <c r="F1079" s="67" t="str">
        <f>IFERROR(__xludf.DUMMYFUNCTION("""COMPUTED_VALUE"""),"https://www.google.com/maps/search/?api=1&amp;query=-30.8978001702351,-5.5540851559951")</f>
        <v>https://www.google.com/maps/search/?api=1&amp;query=-30.8978001702351,-5.5540851559951</v>
      </c>
      <c r="G1079" s="68" t="str">
        <f>IFERROR(__xludf.DUMMYFUNCTION("""COMPUTED_VALUE"""),"https://earth.google.com/web/search/-30.8978001702351,-5.5540851559951")</f>
        <v>https://earth.google.com/web/search/-30.8978001702351,-5.5540851559951</v>
      </c>
      <c r="H1079" s="64"/>
      <c r="I1079" s="64"/>
      <c r="J1079" s="64"/>
      <c r="K1079" s="64"/>
      <c r="L1079" s="64"/>
      <c r="M1079" s="64"/>
      <c r="N1079" s="64"/>
      <c r="O1079" s="64"/>
      <c r="P1079" s="64"/>
      <c r="Q1079" s="64"/>
      <c r="R1079" s="64"/>
      <c r="S1079" s="64"/>
      <c r="T1079" s="64"/>
      <c r="U1079" s="64"/>
      <c r="V1079" s="64"/>
      <c r="W1079" s="64"/>
      <c r="X1079" s="64"/>
      <c r="Y1079" s="64"/>
      <c r="Z1079" s="64"/>
    </row>
    <row r="1080">
      <c r="A1080" s="69" t="str">
        <f>IFERROR(__xludf.DUMMYFUNCTION("""COMPUTED_VALUE"""),"-30.8980241931231")</f>
        <v>-30.8980241931231</v>
      </c>
      <c r="B1080" s="61" t="str">
        <f>IFERROR(__xludf.DUMMYFUNCTION("""COMPUTED_VALUE"""),"-55.5410074041033")</f>
        <v>-55.5410074041033</v>
      </c>
      <c r="C1080" s="61">
        <f>IFERROR(__xludf.DUMMYFUNCTION("""COMPUTED_VALUE"""),1.0)</f>
        <v>1</v>
      </c>
      <c r="D1080" s="61">
        <f>IFERROR(__xludf.DUMMYFUNCTION("""COMPUTED_VALUE"""),134.0)</f>
        <v>134</v>
      </c>
      <c r="E1080" s="61">
        <f>IFERROR(__xludf.DUMMYFUNCTION("""COMPUTED_VALUE"""),15.0)</f>
        <v>15</v>
      </c>
      <c r="F1080" s="62" t="str">
        <f>IFERROR(__xludf.DUMMYFUNCTION("""COMPUTED_VALUE"""),"https://www.google.com/maps/search/?api=1&amp;query=-30.8980241931231,-55.5410074041033")</f>
        <v>https://www.google.com/maps/search/?api=1&amp;query=-30.8980241931231,-55.5410074041033</v>
      </c>
      <c r="G1080" s="63" t="str">
        <f>IFERROR(__xludf.DUMMYFUNCTION("""COMPUTED_VALUE"""),"https://earth.google.com/web/search/-30.8980241931231,-55.5410074041033")</f>
        <v>https://earth.google.com/web/search/-30.8980241931231,-55.5410074041033</v>
      </c>
      <c r="H1080" s="64"/>
      <c r="I1080" s="64"/>
      <c r="J1080" s="64"/>
      <c r="K1080" s="64"/>
      <c r="L1080" s="64"/>
      <c r="M1080" s="64"/>
      <c r="N1080" s="64"/>
      <c r="O1080" s="64"/>
      <c r="P1080" s="64"/>
      <c r="Q1080" s="64"/>
      <c r="R1080" s="64"/>
      <c r="S1080" s="64"/>
      <c r="T1080" s="64"/>
      <c r="U1080" s="64"/>
      <c r="V1080" s="64"/>
      <c r="W1080" s="64"/>
      <c r="X1080" s="64"/>
      <c r="Y1080" s="64"/>
      <c r="Z1080" s="64"/>
    </row>
    <row r="1081">
      <c r="A1081" s="65" t="str">
        <f>IFERROR(__xludf.DUMMYFUNCTION("""COMPUTED_VALUE"""),"-30.8977098323667")</f>
        <v>-30.8977098323667</v>
      </c>
      <c r="B1081" s="66" t="str">
        <f>IFERROR(__xludf.DUMMYFUNCTION("""COMPUTED_VALUE"""),"-55.5419379726466")</f>
        <v>-55.5419379726466</v>
      </c>
      <c r="C1081" s="66">
        <f>IFERROR(__xludf.DUMMYFUNCTION("""COMPUTED_VALUE"""),1.0)</f>
        <v>1</v>
      </c>
      <c r="D1081" s="66">
        <f>IFERROR(__xludf.DUMMYFUNCTION("""COMPUTED_VALUE"""),135.0)</f>
        <v>135</v>
      </c>
      <c r="E1081" s="66">
        <f>IFERROR(__xludf.DUMMYFUNCTION("""COMPUTED_VALUE"""),1.0)</f>
        <v>1</v>
      </c>
      <c r="F1081" s="67" t="str">
        <f>IFERROR(__xludf.DUMMYFUNCTION("""COMPUTED_VALUE"""),"https://www.google.com/maps/search/?api=1&amp;query=-30.8977098323667,-55.5419379726466")</f>
        <v>https://www.google.com/maps/search/?api=1&amp;query=-30.8977098323667,-55.5419379726466</v>
      </c>
      <c r="G1081" s="68" t="str">
        <f>IFERROR(__xludf.DUMMYFUNCTION("""COMPUTED_VALUE"""),"https://earth.google.com/web/search/-30.8977098323667,-55.5419379726466")</f>
        <v>https://earth.google.com/web/search/-30.8977098323667,-55.5419379726466</v>
      </c>
      <c r="H1081" s="64"/>
      <c r="I1081" s="64"/>
      <c r="J1081" s="64"/>
      <c r="K1081" s="64"/>
      <c r="L1081" s="64"/>
      <c r="M1081" s="64"/>
      <c r="N1081" s="64"/>
      <c r="O1081" s="64"/>
      <c r="P1081" s="64"/>
      <c r="Q1081" s="64"/>
      <c r="R1081" s="64"/>
      <c r="S1081" s="64"/>
      <c r="T1081" s="64"/>
      <c r="U1081" s="64"/>
      <c r="V1081" s="64"/>
      <c r="W1081" s="64"/>
      <c r="X1081" s="64"/>
      <c r="Y1081" s="64"/>
      <c r="Z1081" s="64"/>
    </row>
    <row r="1082">
      <c r="A1082" s="69" t="str">
        <f>IFERROR(__xludf.DUMMYFUNCTION("""COMPUTED_VALUE"""),"-30.8977304544947")</f>
        <v>-30.8977304544947</v>
      </c>
      <c r="B1082" s="61" t="str">
        <f>IFERROR(__xludf.DUMMYFUNCTION("""COMPUTED_VALUE"""),"-55.5418936245621")</f>
        <v>-55.5418936245621</v>
      </c>
      <c r="C1082" s="61">
        <f>IFERROR(__xludf.DUMMYFUNCTION("""COMPUTED_VALUE"""),1.0)</f>
        <v>1</v>
      </c>
      <c r="D1082" s="61">
        <f>IFERROR(__xludf.DUMMYFUNCTION("""COMPUTED_VALUE"""),135.0)</f>
        <v>135</v>
      </c>
      <c r="E1082" s="61">
        <f>IFERROR(__xludf.DUMMYFUNCTION("""COMPUTED_VALUE"""),2.0)</f>
        <v>2</v>
      </c>
      <c r="F1082" s="62" t="str">
        <f>IFERROR(__xludf.DUMMYFUNCTION("""COMPUTED_VALUE"""),"https://www.google.com/maps/search/?api=1&amp;query=-30.8977304544947,-55.5418936245621")</f>
        <v>https://www.google.com/maps/search/?api=1&amp;query=-30.8977304544947,-55.5418936245621</v>
      </c>
      <c r="G1082" s="63" t="str">
        <f>IFERROR(__xludf.DUMMYFUNCTION("""COMPUTED_VALUE"""),"https://earth.google.com/web/search/-30.8977304544947,-55.5418936245621")</f>
        <v>https://earth.google.com/web/search/-30.8977304544947,-55.5418936245621</v>
      </c>
      <c r="H1082" s="64"/>
      <c r="I1082" s="64"/>
      <c r="J1082" s="64"/>
      <c r="K1082" s="64"/>
      <c r="L1082" s="64"/>
      <c r="M1082" s="64"/>
      <c r="N1082" s="64"/>
      <c r="O1082" s="64"/>
      <c r="P1082" s="64"/>
      <c r="Q1082" s="64"/>
      <c r="R1082" s="64"/>
      <c r="S1082" s="64"/>
      <c r="T1082" s="64"/>
      <c r="U1082" s="64"/>
      <c r="V1082" s="64"/>
      <c r="W1082" s="64"/>
      <c r="X1082" s="64"/>
      <c r="Y1082" s="64"/>
      <c r="Z1082" s="64"/>
    </row>
    <row r="1083">
      <c r="A1083" s="65" t="str">
        <f>IFERROR(__xludf.DUMMYFUNCTION("""COMPUTED_VALUE"""),"-30.8977579481356")</f>
        <v>-30.8977579481356</v>
      </c>
      <c r="B1083" s="66" t="str">
        <f>IFERROR(__xludf.DUMMYFUNCTION("""COMPUTED_VALUE"""),"-55.5418479477575")</f>
        <v>-55.5418479477575</v>
      </c>
      <c r="C1083" s="66">
        <f>IFERROR(__xludf.DUMMYFUNCTION("""COMPUTED_VALUE"""),1.0)</f>
        <v>1</v>
      </c>
      <c r="D1083" s="66">
        <f>IFERROR(__xludf.DUMMYFUNCTION("""COMPUTED_VALUE"""),135.0)</f>
        <v>135</v>
      </c>
      <c r="E1083" s="66">
        <f>IFERROR(__xludf.DUMMYFUNCTION("""COMPUTED_VALUE"""),3.0)</f>
        <v>3</v>
      </c>
      <c r="F1083" s="67" t="str">
        <f>IFERROR(__xludf.DUMMYFUNCTION("""COMPUTED_VALUE"""),"https://www.google.com/maps/search/?api=1&amp;query=-30.8977579481356,-55.5418479477575")</f>
        <v>https://www.google.com/maps/search/?api=1&amp;query=-30.8977579481356,-55.5418479477575</v>
      </c>
      <c r="G1083" s="68" t="str">
        <f>IFERROR(__xludf.DUMMYFUNCTION("""COMPUTED_VALUE"""),"https://earth.google.com/web/search/-30.8977579481356,-55.5418479477575")</f>
        <v>https://earth.google.com/web/search/-30.8977579481356,-55.5418479477575</v>
      </c>
      <c r="H1083" s="64"/>
      <c r="I1083" s="64"/>
      <c r="J1083" s="64"/>
      <c r="K1083" s="64"/>
      <c r="L1083" s="64"/>
      <c r="M1083" s="64"/>
      <c r="N1083" s="64"/>
      <c r="O1083" s="64"/>
      <c r="P1083" s="64"/>
      <c r="Q1083" s="64"/>
      <c r="R1083" s="64"/>
      <c r="S1083" s="64"/>
      <c r="T1083" s="64"/>
      <c r="U1083" s="64"/>
      <c r="V1083" s="64"/>
      <c r="W1083" s="64"/>
      <c r="X1083" s="64"/>
      <c r="Y1083" s="64"/>
      <c r="Z1083" s="64"/>
    </row>
    <row r="1084">
      <c r="A1084" s="69" t="str">
        <f>IFERROR(__xludf.DUMMYFUNCTION("""COMPUTED_VALUE"""),"-30.8977952425105")</f>
        <v>-30.8977952425105</v>
      </c>
      <c r="B1084" s="61" t="str">
        <f>IFERROR(__xludf.DUMMYFUNCTION("""COMPUTED_VALUE"""),"-5.5541812626742")</f>
        <v>-5.5541812626742</v>
      </c>
      <c r="C1084" s="61">
        <f>IFERROR(__xludf.DUMMYFUNCTION("""COMPUTED_VALUE"""),1.0)</f>
        <v>1</v>
      </c>
      <c r="D1084" s="61">
        <f>IFERROR(__xludf.DUMMYFUNCTION("""COMPUTED_VALUE"""),135.0)</f>
        <v>135</v>
      </c>
      <c r="E1084" s="61">
        <f>IFERROR(__xludf.DUMMYFUNCTION("""COMPUTED_VALUE"""),4.0)</f>
        <v>4</v>
      </c>
      <c r="F1084" s="62" t="str">
        <f>IFERROR(__xludf.DUMMYFUNCTION("""COMPUTED_VALUE"""),"https://www.google.com/maps/search/?api=1&amp;query=-30.8977952425105,-5.5541812626742")</f>
        <v>https://www.google.com/maps/search/?api=1&amp;query=-30.8977952425105,-5.5541812626742</v>
      </c>
      <c r="G1084" s="63" t="str">
        <f>IFERROR(__xludf.DUMMYFUNCTION("""COMPUTED_VALUE"""),"https://earth.google.com/web/search/-30.8977952425105,-5.5541812626742")</f>
        <v>https://earth.google.com/web/search/-30.8977952425105,-5.5541812626742</v>
      </c>
      <c r="H1084" s="64"/>
      <c r="I1084" s="64"/>
      <c r="J1084" s="64"/>
      <c r="K1084" s="64"/>
      <c r="L1084" s="64"/>
      <c r="M1084" s="64"/>
      <c r="N1084" s="64"/>
      <c r="O1084" s="64"/>
      <c r="P1084" s="64"/>
      <c r="Q1084" s="64"/>
      <c r="R1084" s="64"/>
      <c r="S1084" s="64"/>
      <c r="T1084" s="64"/>
      <c r="U1084" s="64"/>
      <c r="V1084" s="64"/>
      <c r="W1084" s="64"/>
      <c r="X1084" s="64"/>
      <c r="Y1084" s="64"/>
      <c r="Z1084" s="64"/>
    </row>
    <row r="1085">
      <c r="A1085" s="65" t="str">
        <f>IFERROR(__xludf.DUMMYFUNCTION("""COMPUTED_VALUE"""),"-30.8978938164879")</f>
        <v>-30.8978938164879</v>
      </c>
      <c r="B1085" s="66" t="str">
        <f>IFERROR(__xludf.DUMMYFUNCTION("""COMPUTED_VALUE"""),"-55.5415946031383")</f>
        <v>-55.5415946031383</v>
      </c>
      <c r="C1085" s="66">
        <f>IFERROR(__xludf.DUMMYFUNCTION("""COMPUTED_VALUE"""),1.0)</f>
        <v>1</v>
      </c>
      <c r="D1085" s="66">
        <f>IFERROR(__xludf.DUMMYFUNCTION("""COMPUTED_VALUE"""),135.0)</f>
        <v>135</v>
      </c>
      <c r="E1085" s="66">
        <f>IFERROR(__xludf.DUMMYFUNCTION("""COMPUTED_VALUE"""),5.0)</f>
        <v>5</v>
      </c>
      <c r="F1085" s="67" t="str">
        <f>IFERROR(__xludf.DUMMYFUNCTION("""COMPUTED_VALUE"""),"https://www.google.com/maps/search/?api=1&amp;query=-30.8978938164879,-55.5415946031383")</f>
        <v>https://www.google.com/maps/search/?api=1&amp;query=-30.8978938164879,-55.5415946031383</v>
      </c>
      <c r="G1085" s="68" t="str">
        <f>IFERROR(__xludf.DUMMYFUNCTION("""COMPUTED_VALUE"""),"https://earth.google.com/web/search/-30.8978938164879,-55.5415946031383")</f>
        <v>https://earth.google.com/web/search/-30.8978938164879,-55.5415946031383</v>
      </c>
      <c r="H1085" s="64"/>
      <c r="I1085" s="64"/>
      <c r="J1085" s="64"/>
      <c r="K1085" s="64"/>
      <c r="L1085" s="64"/>
      <c r="M1085" s="64"/>
      <c r="N1085" s="64"/>
      <c r="O1085" s="64"/>
      <c r="P1085" s="64"/>
      <c r="Q1085" s="64"/>
      <c r="R1085" s="64"/>
      <c r="S1085" s="64"/>
      <c r="T1085" s="64"/>
      <c r="U1085" s="64"/>
      <c r="V1085" s="64"/>
      <c r="W1085" s="64"/>
      <c r="X1085" s="64"/>
      <c r="Y1085" s="64"/>
      <c r="Z1085" s="64"/>
    </row>
    <row r="1086">
      <c r="A1086" s="69" t="str">
        <f>IFERROR(__xludf.DUMMYFUNCTION("""COMPUTED_VALUE"""),"-30.8979107080996")</f>
        <v>-30.8979107080996</v>
      </c>
      <c r="B1086" s="61" t="str">
        <f>IFERROR(__xludf.DUMMYFUNCTION("""COMPUTED_VALUE"""),"-55.5415515016737")</f>
        <v>-55.5415515016737</v>
      </c>
      <c r="C1086" s="61">
        <f>IFERROR(__xludf.DUMMYFUNCTION("""COMPUTED_VALUE"""),1.0)</f>
        <v>1</v>
      </c>
      <c r="D1086" s="61">
        <f>IFERROR(__xludf.DUMMYFUNCTION("""COMPUTED_VALUE"""),135.0)</f>
        <v>135</v>
      </c>
      <c r="E1086" s="61">
        <f>IFERROR(__xludf.DUMMYFUNCTION("""COMPUTED_VALUE"""),6.0)</f>
        <v>6</v>
      </c>
      <c r="F1086" s="62" t="str">
        <f>IFERROR(__xludf.DUMMYFUNCTION("""COMPUTED_VALUE"""),"https://www.google.com/maps/search/?api=1&amp;query=-30.8979107080996,-55.5415515016737")</f>
        <v>https://www.google.com/maps/search/?api=1&amp;query=-30.8979107080996,-55.5415515016737</v>
      </c>
      <c r="G1086" s="63" t="str">
        <f>IFERROR(__xludf.DUMMYFUNCTION("""COMPUTED_VALUE"""),"https://earth.google.com/web/search/-30.8979107080996,-55.5415515016737")</f>
        <v>https://earth.google.com/web/search/-30.8979107080996,-55.5415515016737</v>
      </c>
      <c r="H1086" s="64"/>
      <c r="I1086" s="64"/>
      <c r="J1086" s="64"/>
      <c r="K1086" s="64"/>
      <c r="L1086" s="64"/>
      <c r="M1086" s="64"/>
      <c r="N1086" s="64"/>
      <c r="O1086" s="64"/>
      <c r="P1086" s="64"/>
      <c r="Q1086" s="64"/>
      <c r="R1086" s="64"/>
      <c r="S1086" s="64"/>
      <c r="T1086" s="64"/>
      <c r="U1086" s="64"/>
      <c r="V1086" s="64"/>
      <c r="W1086" s="64"/>
      <c r="X1086" s="64"/>
      <c r="Y1086" s="64"/>
      <c r="Z1086" s="64"/>
    </row>
    <row r="1087">
      <c r="A1087" s="65" t="str">
        <f>IFERROR(__xludf.DUMMYFUNCTION("""COMPUTED_VALUE"""),"-30.8979588529936")</f>
        <v>-30.8979588529936</v>
      </c>
      <c r="B1087" s="66" t="str">
        <f>IFERROR(__xludf.DUMMYFUNCTION("""COMPUTED_VALUE"""),"-55.5414541692595")</f>
        <v>-55.5414541692595</v>
      </c>
      <c r="C1087" s="66">
        <f>IFERROR(__xludf.DUMMYFUNCTION("""COMPUTED_VALUE"""),1.0)</f>
        <v>1</v>
      </c>
      <c r="D1087" s="66">
        <f>IFERROR(__xludf.DUMMYFUNCTION("""COMPUTED_VALUE"""),135.0)</f>
        <v>135</v>
      </c>
      <c r="E1087" s="66">
        <f>IFERROR(__xludf.DUMMYFUNCTION("""COMPUTED_VALUE"""),7.0)</f>
        <v>7</v>
      </c>
      <c r="F1087" s="67" t="str">
        <f>IFERROR(__xludf.DUMMYFUNCTION("""COMPUTED_VALUE"""),"https://www.google.com/maps/search/?api=1&amp;query=-30.8979588529936,-55.5414541692595")</f>
        <v>https://www.google.com/maps/search/?api=1&amp;query=-30.8979588529936,-55.5414541692595</v>
      </c>
      <c r="G1087" s="68" t="str">
        <f>IFERROR(__xludf.DUMMYFUNCTION("""COMPUTED_VALUE"""),"https://earth.google.com/web/search/-30.8979588529936,-55.5414541692595")</f>
        <v>https://earth.google.com/web/search/-30.8979588529936,-55.5414541692595</v>
      </c>
      <c r="H1087" s="64"/>
      <c r="I1087" s="64"/>
      <c r="J1087" s="64"/>
      <c r="K1087" s="64"/>
      <c r="L1087" s="64"/>
      <c r="M1087" s="64"/>
      <c r="N1087" s="64"/>
      <c r="O1087" s="64"/>
      <c r="P1087" s="64"/>
      <c r="Q1087" s="64"/>
      <c r="R1087" s="64"/>
      <c r="S1087" s="64"/>
      <c r="T1087" s="64"/>
      <c r="U1087" s="64"/>
      <c r="V1087" s="64"/>
      <c r="W1087" s="64"/>
      <c r="X1087" s="64"/>
      <c r="Y1087" s="64"/>
      <c r="Z1087" s="64"/>
    </row>
    <row r="1088">
      <c r="A1088" s="69" t="str">
        <f>IFERROR(__xludf.DUMMYFUNCTION("""COMPUTED_VALUE"""),"-30.8979981246765")</f>
        <v>-30.8979981246765</v>
      </c>
      <c r="B1088" s="61" t="str">
        <f>IFERROR(__xludf.DUMMYFUNCTION("""COMPUTED_VALUE"""),"-55.5413497459045")</f>
        <v>-55.5413497459045</v>
      </c>
      <c r="C1088" s="61">
        <f>IFERROR(__xludf.DUMMYFUNCTION("""COMPUTED_VALUE"""),1.0)</f>
        <v>1</v>
      </c>
      <c r="D1088" s="61">
        <f>IFERROR(__xludf.DUMMYFUNCTION("""COMPUTED_VALUE"""),135.0)</f>
        <v>135</v>
      </c>
      <c r="E1088" s="61">
        <f>IFERROR(__xludf.DUMMYFUNCTION("""COMPUTED_VALUE"""),8.0)</f>
        <v>8</v>
      </c>
      <c r="F1088" s="62" t="str">
        <f>IFERROR(__xludf.DUMMYFUNCTION("""COMPUTED_VALUE"""),"https://www.google.com/maps/search/?api=1&amp;query=-30.8979981246765,-55.5413497459045")</f>
        <v>https://www.google.com/maps/search/?api=1&amp;query=-30.8979981246765,-55.5413497459045</v>
      </c>
      <c r="G1088" s="63" t="str">
        <f>IFERROR(__xludf.DUMMYFUNCTION("""COMPUTED_VALUE"""),"https://earth.google.com/web/search/-30.8979981246765,-55.5413497459045")</f>
        <v>https://earth.google.com/web/search/-30.8979981246765,-55.5413497459045</v>
      </c>
      <c r="H1088" s="64"/>
      <c r="I1088" s="64"/>
      <c r="J1088" s="64"/>
      <c r="K1088" s="64"/>
      <c r="L1088" s="64"/>
      <c r="M1088" s="64"/>
      <c r="N1088" s="64"/>
      <c r="O1088" s="64"/>
      <c r="P1088" s="64"/>
      <c r="Q1088" s="64"/>
      <c r="R1088" s="64"/>
      <c r="S1088" s="64"/>
      <c r="T1088" s="64"/>
      <c r="U1088" s="64"/>
      <c r="V1088" s="64"/>
      <c r="W1088" s="64"/>
      <c r="X1088" s="64"/>
      <c r="Y1088" s="64"/>
      <c r="Z1088" s="64"/>
    </row>
    <row r="1089">
      <c r="A1089" s="65" t="str">
        <f>IFERROR(__xludf.DUMMYFUNCTION("""COMPUTED_VALUE"""),"-30.8980688866958")</f>
        <v>-30.8980688866958</v>
      </c>
      <c r="B1089" s="66" t="str">
        <f>IFERROR(__xludf.DUMMYFUNCTION("""COMPUTED_VALUE"""),"-55.5412593826228")</f>
        <v>-55.5412593826228</v>
      </c>
      <c r="C1089" s="66">
        <f>IFERROR(__xludf.DUMMYFUNCTION("""COMPUTED_VALUE"""),1.0)</f>
        <v>1</v>
      </c>
      <c r="D1089" s="66">
        <f>IFERROR(__xludf.DUMMYFUNCTION("""COMPUTED_VALUE"""),135.0)</f>
        <v>135</v>
      </c>
      <c r="E1089" s="66">
        <f>IFERROR(__xludf.DUMMYFUNCTION("""COMPUTED_VALUE"""),9.0)</f>
        <v>9</v>
      </c>
      <c r="F1089" s="67" t="str">
        <f>IFERROR(__xludf.DUMMYFUNCTION("""COMPUTED_VALUE"""),"https://www.google.com/maps/search/?api=1&amp;query=-30.8980688866958,-55.5412593826228")</f>
        <v>https://www.google.com/maps/search/?api=1&amp;query=-30.8980688866958,-55.5412593826228</v>
      </c>
      <c r="G1089" s="68" t="str">
        <f>IFERROR(__xludf.DUMMYFUNCTION("""COMPUTED_VALUE"""),"https://earth.google.com/web/search/-30.8980688866958,-55.5412593826228")</f>
        <v>https://earth.google.com/web/search/-30.8980688866958,-55.5412593826228</v>
      </c>
      <c r="H1089" s="64"/>
      <c r="I1089" s="64"/>
      <c r="J1089" s="64"/>
      <c r="K1089" s="64"/>
      <c r="L1089" s="64"/>
      <c r="M1089" s="64"/>
      <c r="N1089" s="64"/>
      <c r="O1089" s="64"/>
      <c r="P1089" s="64"/>
      <c r="Q1089" s="64"/>
      <c r="R1089" s="64"/>
      <c r="S1089" s="64"/>
      <c r="T1089" s="64"/>
      <c r="U1089" s="64"/>
      <c r="V1089" s="64"/>
      <c r="W1089" s="64"/>
      <c r="X1089" s="64"/>
      <c r="Y1089" s="64"/>
      <c r="Z1089" s="64"/>
    </row>
    <row r="1090">
      <c r="A1090" s="69" t="str">
        <f>IFERROR(__xludf.DUMMYFUNCTION("""COMPUTED_VALUE"""),"-30.8980172644362")</f>
        <v>-30.8980172644362</v>
      </c>
      <c r="B1090" s="61" t="str">
        <f>IFERROR(__xludf.DUMMYFUNCTION("""COMPUTED_VALUE"""),"-55.5411293065341")</f>
        <v>-55.5411293065341</v>
      </c>
      <c r="C1090" s="61">
        <f>IFERROR(__xludf.DUMMYFUNCTION("""COMPUTED_VALUE"""),1.0)</f>
        <v>1</v>
      </c>
      <c r="D1090" s="61">
        <f>IFERROR(__xludf.DUMMYFUNCTION("""COMPUTED_VALUE"""),135.0)</f>
        <v>135</v>
      </c>
      <c r="E1090" s="61">
        <f>IFERROR(__xludf.DUMMYFUNCTION("""COMPUTED_VALUE"""),10.0)</f>
        <v>10</v>
      </c>
      <c r="F1090" s="62" t="str">
        <f>IFERROR(__xludf.DUMMYFUNCTION("""COMPUTED_VALUE"""),"https://www.google.com/maps/search/?api=1&amp;query=-30.8980172644362,-55.5411293065341")</f>
        <v>https://www.google.com/maps/search/?api=1&amp;query=-30.8980172644362,-55.5411293065341</v>
      </c>
      <c r="G1090" s="63" t="str">
        <f>IFERROR(__xludf.DUMMYFUNCTION("""COMPUTED_VALUE"""),"https://earth.google.com/web/search/-30.8980172644362,-55.5411293065341")</f>
        <v>https://earth.google.com/web/search/-30.8980172644362,-55.5411293065341</v>
      </c>
      <c r="H1090" s="64"/>
      <c r="I1090" s="64"/>
      <c r="J1090" s="64"/>
      <c r="K1090" s="64"/>
      <c r="L1090" s="64"/>
      <c r="M1090" s="64"/>
      <c r="N1090" s="64"/>
      <c r="O1090" s="64"/>
      <c r="P1090" s="64"/>
      <c r="Q1090" s="64"/>
      <c r="R1090" s="64"/>
      <c r="S1090" s="64"/>
      <c r="T1090" s="64"/>
      <c r="U1090" s="64"/>
      <c r="V1090" s="64"/>
      <c r="W1090" s="64"/>
      <c r="X1090" s="64"/>
      <c r="Y1090" s="64"/>
      <c r="Z1090" s="64"/>
    </row>
    <row r="1091">
      <c r="A1091" s="65" t="str">
        <f>IFERROR(__xludf.DUMMYFUNCTION("""COMPUTED_VALUE"""),"-30.8979529051311")</f>
        <v>-30.8979529051311</v>
      </c>
      <c r="B1091" s="66" t="str">
        <f>IFERROR(__xludf.DUMMYFUNCTION("""COMPUTED_VALUE"""),"-5.5541082071278")</f>
        <v>-5.5541082071278</v>
      </c>
      <c r="C1091" s="66">
        <f>IFERROR(__xludf.DUMMYFUNCTION("""COMPUTED_VALUE"""),1.0)</f>
        <v>1</v>
      </c>
      <c r="D1091" s="66">
        <f>IFERROR(__xludf.DUMMYFUNCTION("""COMPUTED_VALUE"""),135.0)</f>
        <v>135</v>
      </c>
      <c r="E1091" s="66">
        <f>IFERROR(__xludf.DUMMYFUNCTION("""COMPUTED_VALUE"""),11.0)</f>
        <v>11</v>
      </c>
      <c r="F1091" s="67" t="str">
        <f>IFERROR(__xludf.DUMMYFUNCTION("""COMPUTED_VALUE"""),"https://www.google.com/maps/search/?api=1&amp;query=-30.8979529051311,-5.5541082071278")</f>
        <v>https://www.google.com/maps/search/?api=1&amp;query=-30.8979529051311,-5.5541082071278</v>
      </c>
      <c r="G1091" s="68" t="str">
        <f>IFERROR(__xludf.DUMMYFUNCTION("""COMPUTED_VALUE"""),"https://earth.google.com/web/search/-30.8979529051311,-5.5541082071278")</f>
        <v>https://earth.google.com/web/search/-30.8979529051311,-5.5541082071278</v>
      </c>
      <c r="H1091" s="64"/>
      <c r="I1091" s="64"/>
      <c r="J1091" s="64"/>
      <c r="K1091" s="64"/>
      <c r="L1091" s="64"/>
      <c r="M1091" s="64"/>
      <c r="N1091" s="64"/>
      <c r="O1091" s="64"/>
      <c r="P1091" s="64"/>
      <c r="Q1091" s="64"/>
      <c r="R1091" s="64"/>
      <c r="S1091" s="64"/>
      <c r="T1091" s="64"/>
      <c r="U1091" s="64"/>
      <c r="V1091" s="64"/>
      <c r="W1091" s="64"/>
      <c r="X1091" s="64"/>
      <c r="Y1091" s="64"/>
      <c r="Z1091" s="64"/>
    </row>
    <row r="1092">
      <c r="A1092" s="69" t="str">
        <f>IFERROR(__xludf.DUMMYFUNCTION("""COMPUTED_VALUE"""),"-30.8974666285866")</f>
        <v>-30.8974666285866</v>
      </c>
      <c r="B1092" s="61" t="str">
        <f>IFERROR(__xludf.DUMMYFUNCTION("""COMPUTED_VALUE"""),"-55.5407460755374")</f>
        <v>-55.5407460755374</v>
      </c>
      <c r="C1092" s="61">
        <f>IFERROR(__xludf.DUMMYFUNCTION("""COMPUTED_VALUE"""),1.0)</f>
        <v>1</v>
      </c>
      <c r="D1092" s="61">
        <f>IFERROR(__xludf.DUMMYFUNCTION("""COMPUTED_VALUE"""),135.0)</f>
        <v>135</v>
      </c>
      <c r="E1092" s="61">
        <f>IFERROR(__xludf.DUMMYFUNCTION("""COMPUTED_VALUE"""),12.0)</f>
        <v>12</v>
      </c>
      <c r="F1092" s="62" t="str">
        <f>IFERROR(__xludf.DUMMYFUNCTION("""COMPUTED_VALUE"""),"https://www.google.com/maps/search/?api=1&amp;query=-30.8974666285866,-55.5407460755374")</f>
        <v>https://www.google.com/maps/search/?api=1&amp;query=-30.8974666285866,-55.5407460755374</v>
      </c>
      <c r="G1092" s="63" t="str">
        <f>IFERROR(__xludf.DUMMYFUNCTION("""COMPUTED_VALUE"""),"https://earth.google.com/web/search/-30.8974666285866,-55.5407460755374")</f>
        <v>https://earth.google.com/web/search/-30.8974666285866,-55.5407460755374</v>
      </c>
      <c r="H1092" s="64"/>
      <c r="I1092" s="64"/>
      <c r="J1092" s="64"/>
      <c r="K1092" s="64"/>
      <c r="L1092" s="64"/>
      <c r="M1092" s="64"/>
      <c r="N1092" s="64"/>
      <c r="O1092" s="64"/>
      <c r="P1092" s="64"/>
      <c r="Q1092" s="64"/>
      <c r="R1092" s="64"/>
      <c r="S1092" s="64"/>
      <c r="T1092" s="64"/>
      <c r="U1092" s="64"/>
      <c r="V1092" s="64"/>
      <c r="W1092" s="64"/>
      <c r="X1092" s="64"/>
      <c r="Y1092" s="64"/>
      <c r="Z1092" s="64"/>
    </row>
    <row r="1093">
      <c r="A1093" s="65" t="str">
        <f>IFERROR(__xludf.DUMMYFUNCTION("""COMPUTED_VALUE"""),"-30.8973302216526")</f>
        <v>-30.8973302216526</v>
      </c>
      <c r="B1093" s="66" t="str">
        <f>IFERROR(__xludf.DUMMYFUNCTION("""COMPUTED_VALUE"""),"-55.5408226919036")</f>
        <v>-55.5408226919036</v>
      </c>
      <c r="C1093" s="66">
        <f>IFERROR(__xludf.DUMMYFUNCTION("""COMPUTED_VALUE"""),1.0)</f>
        <v>1</v>
      </c>
      <c r="D1093" s="66">
        <f>IFERROR(__xludf.DUMMYFUNCTION("""COMPUTED_VALUE"""),135.0)</f>
        <v>135</v>
      </c>
      <c r="E1093" s="66">
        <f>IFERROR(__xludf.DUMMYFUNCTION("""COMPUTED_VALUE"""),13.0)</f>
        <v>13</v>
      </c>
      <c r="F1093" s="67" t="str">
        <f>IFERROR(__xludf.DUMMYFUNCTION("""COMPUTED_VALUE"""),"https://www.google.com/maps/search/?api=1&amp;query=-30.8973302216526,-55.5408226919036")</f>
        <v>https://www.google.com/maps/search/?api=1&amp;query=-30.8973302216526,-55.5408226919036</v>
      </c>
      <c r="G1093" s="68" t="str">
        <f>IFERROR(__xludf.DUMMYFUNCTION("""COMPUTED_VALUE"""),"https://earth.google.com/web/search/-30.8973302216526,-55.5408226919036")</f>
        <v>https://earth.google.com/web/search/-30.8973302216526,-55.5408226919036</v>
      </c>
      <c r="H1093" s="64"/>
      <c r="I1093" s="64"/>
      <c r="J1093" s="64"/>
      <c r="K1093" s="64"/>
      <c r="L1093" s="64"/>
      <c r="M1093" s="64"/>
      <c r="N1093" s="64"/>
      <c r="O1093" s="64"/>
      <c r="P1093" s="64"/>
      <c r="Q1093" s="64"/>
      <c r="R1093" s="64"/>
      <c r="S1093" s="64"/>
      <c r="T1093" s="64"/>
      <c r="U1093" s="64"/>
      <c r="V1093" s="64"/>
      <c r="W1093" s="64"/>
      <c r="X1093" s="64"/>
      <c r="Y1093" s="64"/>
      <c r="Z1093" s="64"/>
    </row>
    <row r="1094">
      <c r="A1094" s="69" t="str">
        <f>IFERROR(__xludf.DUMMYFUNCTION("""COMPUTED_VALUE"""),"-30.8972171118245")</f>
        <v>-30.8972171118245</v>
      </c>
      <c r="B1094" s="61" t="str">
        <f>IFERROR(__xludf.DUMMYFUNCTION("""COMPUTED_VALUE"""),"-55.5410393285147")</f>
        <v>-55.5410393285147</v>
      </c>
      <c r="C1094" s="61">
        <f>IFERROR(__xludf.DUMMYFUNCTION("""COMPUTED_VALUE"""),1.0)</f>
        <v>1</v>
      </c>
      <c r="D1094" s="61">
        <f>IFERROR(__xludf.DUMMYFUNCTION("""COMPUTED_VALUE"""),135.0)</f>
        <v>135</v>
      </c>
      <c r="E1094" s="61">
        <f>IFERROR(__xludf.DUMMYFUNCTION("""COMPUTED_VALUE"""),14.0)</f>
        <v>14</v>
      </c>
      <c r="F1094" s="62" t="str">
        <f>IFERROR(__xludf.DUMMYFUNCTION("""COMPUTED_VALUE"""),"https://www.google.com/maps/search/?api=1&amp;query=-30.8972171118245,-55.5410393285147")</f>
        <v>https://www.google.com/maps/search/?api=1&amp;query=-30.8972171118245,-55.5410393285147</v>
      </c>
      <c r="G1094" s="63" t="str">
        <f>IFERROR(__xludf.DUMMYFUNCTION("""COMPUTED_VALUE"""),"https://earth.google.com/web/search/-30.8972171118245,-55.5410393285147")</f>
        <v>https://earth.google.com/web/search/-30.8972171118245,-55.5410393285147</v>
      </c>
      <c r="H1094" s="64"/>
      <c r="I1094" s="64"/>
      <c r="J1094" s="64"/>
      <c r="K1094" s="64"/>
      <c r="L1094" s="64"/>
      <c r="M1094" s="64"/>
      <c r="N1094" s="64"/>
      <c r="O1094" s="64"/>
      <c r="P1094" s="64"/>
      <c r="Q1094" s="64"/>
      <c r="R1094" s="64"/>
      <c r="S1094" s="64"/>
      <c r="T1094" s="64"/>
      <c r="U1094" s="64"/>
      <c r="V1094" s="64"/>
      <c r="W1094" s="64"/>
      <c r="X1094" s="64"/>
      <c r="Y1094" s="64"/>
      <c r="Z1094" s="64"/>
    </row>
    <row r="1095">
      <c r="A1095" s="65" t="str">
        <f>IFERROR(__xludf.DUMMYFUNCTION("""COMPUTED_VALUE"""),"-30.8991185273018")</f>
        <v>-30.8991185273018</v>
      </c>
      <c r="B1095" s="66" t="str">
        <f>IFERROR(__xludf.DUMMYFUNCTION("""COMPUTED_VALUE"""),"-55.5354067809209")</f>
        <v>-55.5354067809209</v>
      </c>
      <c r="C1095" s="66">
        <f>IFERROR(__xludf.DUMMYFUNCTION("""COMPUTED_VALUE"""),1.0)</f>
        <v>1</v>
      </c>
      <c r="D1095" s="66">
        <f>IFERROR(__xludf.DUMMYFUNCTION("""COMPUTED_VALUE"""),124.0)</f>
        <v>124</v>
      </c>
      <c r="E1095" s="66">
        <f>IFERROR(__xludf.DUMMYFUNCTION("""COMPUTED_VALUE"""),1.0)</f>
        <v>1</v>
      </c>
      <c r="F1095" s="67" t="str">
        <f>IFERROR(__xludf.DUMMYFUNCTION("""COMPUTED_VALUE"""),"https://www.google.com/maps/search/?api=1&amp;query=-30.8991185273018,-55.5354067809209")</f>
        <v>https://www.google.com/maps/search/?api=1&amp;query=-30.8991185273018,-55.5354067809209</v>
      </c>
      <c r="G1095" s="68" t="str">
        <f>IFERROR(__xludf.DUMMYFUNCTION("""COMPUTED_VALUE"""),"https://earth.google.com/web/search/-30.8991185273018,-55.5354067809209")</f>
        <v>https://earth.google.com/web/search/-30.8991185273018,-55.5354067809209</v>
      </c>
      <c r="H1095" s="64"/>
      <c r="I1095" s="64"/>
      <c r="J1095" s="64"/>
      <c r="K1095" s="64"/>
      <c r="L1095" s="64"/>
      <c r="M1095" s="64"/>
      <c r="N1095" s="64"/>
      <c r="O1095" s="64"/>
      <c r="P1095" s="64"/>
      <c r="Q1095" s="64"/>
      <c r="R1095" s="64"/>
      <c r="S1095" s="64"/>
      <c r="T1095" s="64"/>
      <c r="U1095" s="64"/>
      <c r="V1095" s="64"/>
      <c r="W1095" s="64"/>
      <c r="X1095" s="64"/>
      <c r="Y1095" s="64"/>
      <c r="Z1095" s="64"/>
    </row>
    <row r="1096">
      <c r="A1096" s="69" t="str">
        <f>IFERROR(__xludf.DUMMYFUNCTION("""COMPUTED_VALUE"""),"-30.8992627663952")</f>
        <v>-30.8992627663952</v>
      </c>
      <c r="B1096" s="61" t="str">
        <f>IFERROR(__xludf.DUMMYFUNCTION("""COMPUTED_VALUE"""),"-55.5351300070335")</f>
        <v>-55.5351300070335</v>
      </c>
      <c r="C1096" s="61">
        <f>IFERROR(__xludf.DUMMYFUNCTION("""COMPUTED_VALUE"""),1.0)</f>
        <v>1</v>
      </c>
      <c r="D1096" s="61">
        <f>IFERROR(__xludf.DUMMYFUNCTION("""COMPUTED_VALUE"""),124.0)</f>
        <v>124</v>
      </c>
      <c r="E1096" s="61">
        <f>IFERROR(__xludf.DUMMYFUNCTION("""COMPUTED_VALUE"""),2.0)</f>
        <v>2</v>
      </c>
      <c r="F1096" s="62" t="str">
        <f>IFERROR(__xludf.DUMMYFUNCTION("""COMPUTED_VALUE"""),"https://www.google.com/maps/search/?api=1&amp;query=-30.8992627663952,-55.5351300070335")</f>
        <v>https://www.google.com/maps/search/?api=1&amp;query=-30.8992627663952,-55.5351300070335</v>
      </c>
      <c r="G1096" s="63" t="str">
        <f>IFERROR(__xludf.DUMMYFUNCTION("""COMPUTED_VALUE"""),"https://earth.google.com/web/search/-30.8992627663952,-55.5351300070335")</f>
        <v>https://earth.google.com/web/search/-30.8992627663952,-55.5351300070335</v>
      </c>
      <c r="H1096" s="64"/>
      <c r="I1096" s="64"/>
      <c r="J1096" s="64"/>
      <c r="K1096" s="64"/>
      <c r="L1096" s="64"/>
      <c r="M1096" s="64"/>
      <c r="N1096" s="64"/>
      <c r="O1096" s="64"/>
      <c r="P1096" s="64"/>
      <c r="Q1096" s="64"/>
      <c r="R1096" s="64"/>
      <c r="S1096" s="64"/>
      <c r="T1096" s="64"/>
      <c r="U1096" s="64"/>
      <c r="V1096" s="64"/>
      <c r="W1096" s="64"/>
      <c r="X1096" s="64"/>
      <c r="Y1096" s="64"/>
      <c r="Z1096" s="64"/>
    </row>
    <row r="1097">
      <c r="A1097" s="65" t="str">
        <f>IFERROR(__xludf.DUMMYFUNCTION("""COMPUTED_VALUE"""),"-30.8993007165468")</f>
        <v>-30.8993007165468</v>
      </c>
      <c r="B1097" s="66" t="str">
        <f>IFERROR(__xludf.DUMMYFUNCTION("""COMPUTED_VALUE"""),"-55.5350487530961")</f>
        <v>-55.5350487530961</v>
      </c>
      <c r="C1097" s="66">
        <f>IFERROR(__xludf.DUMMYFUNCTION("""COMPUTED_VALUE"""),1.0)</f>
        <v>1</v>
      </c>
      <c r="D1097" s="66">
        <f>IFERROR(__xludf.DUMMYFUNCTION("""COMPUTED_VALUE"""),124.0)</f>
        <v>124</v>
      </c>
      <c r="E1097" s="66">
        <f>IFERROR(__xludf.DUMMYFUNCTION("""COMPUTED_VALUE"""),3.0)</f>
        <v>3</v>
      </c>
      <c r="F1097" s="67" t="str">
        <f>IFERROR(__xludf.DUMMYFUNCTION("""COMPUTED_VALUE"""),"https://www.google.com/maps/search/?api=1&amp;query=-30.8993007165468,-55.5350487530961")</f>
        <v>https://www.google.com/maps/search/?api=1&amp;query=-30.8993007165468,-55.5350487530961</v>
      </c>
      <c r="G1097" s="68" t="str">
        <f>IFERROR(__xludf.DUMMYFUNCTION("""COMPUTED_VALUE"""),"https://earth.google.com/web/search/-30.8993007165468,-55.5350487530961")</f>
        <v>https://earth.google.com/web/search/-30.8993007165468,-55.5350487530961</v>
      </c>
      <c r="H1097" s="64"/>
      <c r="I1097" s="64"/>
      <c r="J1097" s="64"/>
      <c r="K1097" s="64"/>
      <c r="L1097" s="64"/>
      <c r="M1097" s="64"/>
      <c r="N1097" s="64"/>
      <c r="O1097" s="64"/>
      <c r="P1097" s="64"/>
      <c r="Q1097" s="64"/>
      <c r="R1097" s="64"/>
      <c r="S1097" s="64"/>
      <c r="T1097" s="64"/>
      <c r="U1097" s="64"/>
      <c r="V1097" s="64"/>
      <c r="W1097" s="64"/>
      <c r="X1097" s="64"/>
      <c r="Y1097" s="64"/>
      <c r="Z1097" s="64"/>
    </row>
    <row r="1098">
      <c r="A1098" s="69" t="str">
        <f>IFERROR(__xludf.DUMMYFUNCTION("""COMPUTED_VALUE"""),"-30.8998243707252")</f>
        <v>-30.8998243707252</v>
      </c>
      <c r="B1098" s="61" t="str">
        <f>IFERROR(__xludf.DUMMYFUNCTION("""COMPUTED_VALUE"""),"-55.5348442015356")</f>
        <v>-55.5348442015356</v>
      </c>
      <c r="C1098" s="61">
        <f>IFERROR(__xludf.DUMMYFUNCTION("""COMPUTED_VALUE"""),1.0)</f>
        <v>1</v>
      </c>
      <c r="D1098" s="61">
        <f>IFERROR(__xludf.DUMMYFUNCTION("""COMPUTED_VALUE"""),124.0)</f>
        <v>124</v>
      </c>
      <c r="E1098" s="61">
        <f>IFERROR(__xludf.DUMMYFUNCTION("""COMPUTED_VALUE"""),4.0)</f>
        <v>4</v>
      </c>
      <c r="F1098" s="62" t="str">
        <f>IFERROR(__xludf.DUMMYFUNCTION("""COMPUTED_VALUE"""),"https://www.google.com/maps/search/?api=1&amp;query=-30.8998243707252,-55.5348442015356")</f>
        <v>https://www.google.com/maps/search/?api=1&amp;query=-30.8998243707252,-55.5348442015356</v>
      </c>
      <c r="G1098" s="63" t="str">
        <f>IFERROR(__xludf.DUMMYFUNCTION("""COMPUTED_VALUE"""),"https://earth.google.com/web/search/-30.8998243707252,-55.5348442015356")</f>
        <v>https://earth.google.com/web/search/-30.8998243707252,-55.5348442015356</v>
      </c>
      <c r="H1098" s="64"/>
      <c r="I1098" s="64"/>
      <c r="J1098" s="64"/>
      <c r="K1098" s="64"/>
      <c r="L1098" s="64"/>
      <c r="M1098" s="64"/>
      <c r="N1098" s="64"/>
      <c r="O1098" s="64"/>
      <c r="P1098" s="64"/>
      <c r="Q1098" s="64"/>
      <c r="R1098" s="64"/>
      <c r="S1098" s="64"/>
      <c r="T1098" s="64"/>
      <c r="U1098" s="64"/>
      <c r="V1098" s="64"/>
      <c r="W1098" s="64"/>
      <c r="X1098" s="64"/>
      <c r="Y1098" s="64"/>
      <c r="Z1098" s="64"/>
    </row>
    <row r="1099">
      <c r="A1099" s="65" t="str">
        <f>IFERROR(__xludf.DUMMYFUNCTION("""COMPUTED_VALUE"""),"-30.8999887271415")</f>
        <v>-30.8999887271415</v>
      </c>
      <c r="B1099" s="66" t="str">
        <f>IFERROR(__xludf.DUMMYFUNCTION("""COMPUTED_VALUE"""),"-55.5349860175962")</f>
        <v>-55.5349860175962</v>
      </c>
      <c r="C1099" s="66">
        <f>IFERROR(__xludf.DUMMYFUNCTION("""COMPUTED_VALUE"""),1.0)</f>
        <v>1</v>
      </c>
      <c r="D1099" s="66">
        <f>IFERROR(__xludf.DUMMYFUNCTION("""COMPUTED_VALUE"""),124.0)</f>
        <v>124</v>
      </c>
      <c r="E1099" s="66">
        <f>IFERROR(__xludf.DUMMYFUNCTION("""COMPUTED_VALUE"""),5.0)</f>
        <v>5</v>
      </c>
      <c r="F1099" s="67" t="str">
        <f>IFERROR(__xludf.DUMMYFUNCTION("""COMPUTED_VALUE"""),"https://www.google.com/maps/search/?api=1&amp;query=-30.8999887271415,-55.5349860175962")</f>
        <v>https://www.google.com/maps/search/?api=1&amp;query=-30.8999887271415,-55.5349860175962</v>
      </c>
      <c r="G1099" s="68" t="str">
        <f>IFERROR(__xludf.DUMMYFUNCTION("""COMPUTED_VALUE"""),"https://earth.google.com/web/search/-30.8999887271415,-55.5349860175962")</f>
        <v>https://earth.google.com/web/search/-30.8999887271415,-55.5349860175962</v>
      </c>
      <c r="H1099" s="64"/>
      <c r="I1099" s="64"/>
      <c r="J1099" s="64"/>
      <c r="K1099" s="64"/>
      <c r="L1099" s="64"/>
      <c r="M1099" s="64"/>
      <c r="N1099" s="64"/>
      <c r="O1099" s="64"/>
      <c r="P1099" s="64"/>
      <c r="Q1099" s="64"/>
      <c r="R1099" s="64"/>
      <c r="S1099" s="64"/>
      <c r="T1099" s="64"/>
      <c r="U1099" s="64"/>
      <c r="V1099" s="64"/>
      <c r="W1099" s="64"/>
      <c r="X1099" s="64"/>
      <c r="Y1099" s="64"/>
      <c r="Z1099" s="64"/>
    </row>
    <row r="1100">
      <c r="A1100" s="69" t="str">
        <f>IFERROR(__xludf.DUMMYFUNCTION("""COMPUTED_VALUE"""),"-30.9001494910488")</f>
        <v>-30.9001494910488</v>
      </c>
      <c r="B1100" s="61" t="str">
        <f>IFERROR(__xludf.DUMMYFUNCTION("""COMPUTED_VALUE"""),"-55.5350796502981")</f>
        <v>-55.5350796502981</v>
      </c>
      <c r="C1100" s="61">
        <f>IFERROR(__xludf.DUMMYFUNCTION("""COMPUTED_VALUE"""),1.0)</f>
        <v>1</v>
      </c>
      <c r="D1100" s="61">
        <f>IFERROR(__xludf.DUMMYFUNCTION("""COMPUTED_VALUE"""),124.0)</f>
        <v>124</v>
      </c>
      <c r="E1100" s="61">
        <f>IFERROR(__xludf.DUMMYFUNCTION("""COMPUTED_VALUE"""),6.0)</f>
        <v>6</v>
      </c>
      <c r="F1100" s="62" t="str">
        <f>IFERROR(__xludf.DUMMYFUNCTION("""COMPUTED_VALUE"""),"https://www.google.com/maps/search/?api=1&amp;query=-30.9001494910488,-55.5350796502981")</f>
        <v>https://www.google.com/maps/search/?api=1&amp;query=-30.9001494910488,-55.5350796502981</v>
      </c>
      <c r="G1100" s="63" t="str">
        <f>IFERROR(__xludf.DUMMYFUNCTION("""COMPUTED_VALUE"""),"https://earth.google.com/web/search/-30.9001494910488,-55.5350796502981")</f>
        <v>https://earth.google.com/web/search/-30.9001494910488,-55.5350796502981</v>
      </c>
      <c r="H1100" s="64"/>
      <c r="I1100" s="64"/>
      <c r="J1100" s="64"/>
      <c r="K1100" s="64"/>
      <c r="L1100" s="64"/>
      <c r="M1100" s="64"/>
      <c r="N1100" s="64"/>
      <c r="O1100" s="64"/>
      <c r="P1100" s="64"/>
      <c r="Q1100" s="64"/>
      <c r="R1100" s="64"/>
      <c r="S1100" s="64"/>
      <c r="T1100" s="64"/>
      <c r="U1100" s="64"/>
      <c r="V1100" s="64"/>
      <c r="W1100" s="64"/>
      <c r="X1100" s="64"/>
      <c r="Y1100" s="64"/>
      <c r="Z1100" s="64"/>
    </row>
    <row r="1101">
      <c r="A1101" s="65" t="str">
        <f>IFERROR(__xludf.DUMMYFUNCTION("""COMPUTED_VALUE"""),"-30.9001931999452")</f>
        <v>-30.9001931999452</v>
      </c>
      <c r="B1101" s="66" t="str">
        <f>IFERROR(__xludf.DUMMYFUNCTION("""COMPUTED_VALUE"""),"-55.5352153001735")</f>
        <v>-55.5352153001735</v>
      </c>
      <c r="C1101" s="66">
        <f>IFERROR(__xludf.DUMMYFUNCTION("""COMPUTED_VALUE"""),1.0)</f>
        <v>1</v>
      </c>
      <c r="D1101" s="66">
        <f>IFERROR(__xludf.DUMMYFUNCTION("""COMPUTED_VALUE"""),124.0)</f>
        <v>124</v>
      </c>
      <c r="E1101" s="66">
        <f>IFERROR(__xludf.DUMMYFUNCTION("""COMPUTED_VALUE"""),7.0)</f>
        <v>7</v>
      </c>
      <c r="F1101" s="67" t="str">
        <f>IFERROR(__xludf.DUMMYFUNCTION("""COMPUTED_VALUE"""),"https://www.google.com/maps/search/?api=1&amp;query=-30.9001931999452,-55.5352153001735")</f>
        <v>https://www.google.com/maps/search/?api=1&amp;query=-30.9001931999452,-55.5352153001735</v>
      </c>
      <c r="G1101" s="68" t="str">
        <f>IFERROR(__xludf.DUMMYFUNCTION("""COMPUTED_VALUE"""),"https://earth.google.com/web/search/-30.9001931999452,-55.5352153001735")</f>
        <v>https://earth.google.com/web/search/-30.9001931999452,-55.5352153001735</v>
      </c>
      <c r="H1101" s="64"/>
      <c r="I1101" s="64"/>
      <c r="J1101" s="64"/>
      <c r="K1101" s="64"/>
      <c r="L1101" s="64"/>
      <c r="M1101" s="64"/>
      <c r="N1101" s="64"/>
      <c r="O1101" s="64"/>
      <c r="P1101" s="64"/>
      <c r="Q1101" s="64"/>
      <c r="R1101" s="64"/>
      <c r="S1101" s="64"/>
      <c r="T1101" s="64"/>
      <c r="U1101" s="64"/>
      <c r="V1101" s="64"/>
      <c r="W1101" s="64"/>
      <c r="X1101" s="64"/>
      <c r="Y1101" s="64"/>
      <c r="Z1101" s="64"/>
    </row>
    <row r="1102">
      <c r="A1102" s="69" t="str">
        <f>IFERROR(__xludf.DUMMYFUNCTION("""COMPUTED_VALUE"""),"-3.0900125083475")</f>
        <v>-3.0900125083475</v>
      </c>
      <c r="B1102" s="61" t="str">
        <f>IFERROR(__xludf.DUMMYFUNCTION("""COMPUTED_VALUE"""),"-55.5353351457291")</f>
        <v>-55.5353351457291</v>
      </c>
      <c r="C1102" s="61">
        <f>IFERROR(__xludf.DUMMYFUNCTION("""COMPUTED_VALUE"""),1.0)</f>
        <v>1</v>
      </c>
      <c r="D1102" s="61">
        <f>IFERROR(__xludf.DUMMYFUNCTION("""COMPUTED_VALUE"""),124.0)</f>
        <v>124</v>
      </c>
      <c r="E1102" s="61">
        <f>IFERROR(__xludf.DUMMYFUNCTION("""COMPUTED_VALUE"""),8.0)</f>
        <v>8</v>
      </c>
      <c r="F1102" s="62" t="str">
        <f>IFERROR(__xludf.DUMMYFUNCTION("""COMPUTED_VALUE"""),"https://www.google.com/maps/search/?api=1&amp;query=-3.0900125083475,-55.5353351457291")</f>
        <v>https://www.google.com/maps/search/?api=1&amp;query=-3.0900125083475,-55.5353351457291</v>
      </c>
      <c r="G1102" s="63" t="str">
        <f>IFERROR(__xludf.DUMMYFUNCTION("""COMPUTED_VALUE"""),"https://earth.google.com/web/search/-3.0900125083475,-55.5353351457291")</f>
        <v>https://earth.google.com/web/search/-3.0900125083475,-55.5353351457291</v>
      </c>
      <c r="H1102" s="64"/>
      <c r="I1102" s="64"/>
      <c r="J1102" s="64"/>
      <c r="K1102" s="64"/>
      <c r="L1102" s="64"/>
      <c r="M1102" s="64"/>
      <c r="N1102" s="64"/>
      <c r="O1102" s="64"/>
      <c r="P1102" s="64"/>
      <c r="Q1102" s="64"/>
      <c r="R1102" s="64"/>
      <c r="S1102" s="64"/>
      <c r="T1102" s="64"/>
      <c r="U1102" s="64"/>
      <c r="V1102" s="64"/>
      <c r="W1102" s="64"/>
      <c r="X1102" s="64"/>
      <c r="Y1102" s="64"/>
      <c r="Z1102" s="64"/>
    </row>
    <row r="1103">
      <c r="A1103" s="65" t="str">
        <f>IFERROR(__xludf.DUMMYFUNCTION("""COMPUTED_VALUE"""),"-0.3090002739567")</f>
        <v>-0.3090002739567</v>
      </c>
      <c r="B1103" s="66" t="str">
        <f>IFERROR(__xludf.DUMMYFUNCTION("""COMPUTED_VALUE"""),"-55.5355092746382")</f>
        <v>-55.5355092746382</v>
      </c>
      <c r="C1103" s="66">
        <f>IFERROR(__xludf.DUMMYFUNCTION("""COMPUTED_VALUE"""),1.0)</f>
        <v>1</v>
      </c>
      <c r="D1103" s="66">
        <f>IFERROR(__xludf.DUMMYFUNCTION("""COMPUTED_VALUE"""),124.0)</f>
        <v>124</v>
      </c>
      <c r="E1103" s="66">
        <f>IFERROR(__xludf.DUMMYFUNCTION("""COMPUTED_VALUE"""),9.0)</f>
        <v>9</v>
      </c>
      <c r="F1103" s="67" t="str">
        <f>IFERROR(__xludf.DUMMYFUNCTION("""COMPUTED_VALUE"""),"https://www.google.com/maps/search/?api=1&amp;query=-0.3090002739567,-55.5355092746382")</f>
        <v>https://www.google.com/maps/search/?api=1&amp;query=-0.3090002739567,-55.5355092746382</v>
      </c>
      <c r="G1103" s="68" t="str">
        <f>IFERROR(__xludf.DUMMYFUNCTION("""COMPUTED_VALUE"""),"https://earth.google.com/web/search/-0.3090002739567,-55.5355092746382")</f>
        <v>https://earth.google.com/web/search/-0.3090002739567,-55.5355092746382</v>
      </c>
      <c r="H1103" s="64"/>
      <c r="I1103" s="64"/>
      <c r="J1103" s="64"/>
      <c r="K1103" s="64"/>
      <c r="L1103" s="64"/>
      <c r="M1103" s="64"/>
      <c r="N1103" s="64"/>
      <c r="O1103" s="64"/>
      <c r="P1103" s="64"/>
      <c r="Q1103" s="64"/>
      <c r="R1103" s="64"/>
      <c r="S1103" s="64"/>
      <c r="T1103" s="64"/>
      <c r="U1103" s="64"/>
      <c r="V1103" s="64"/>
      <c r="W1103" s="64"/>
      <c r="X1103" s="64"/>
      <c r="Y1103" s="64"/>
      <c r="Z1103" s="64"/>
    </row>
    <row r="1104">
      <c r="A1104" s="69" t="str">
        <f>IFERROR(__xludf.DUMMYFUNCTION("""COMPUTED_VALUE"""),"-30.8999580929387")</f>
        <v>-30.8999580929387</v>
      </c>
      <c r="B1104" s="61" t="str">
        <f>IFERROR(__xludf.DUMMYFUNCTION("""COMPUTED_VALUE"""),"-55.5356157719271")</f>
        <v>-55.5356157719271</v>
      </c>
      <c r="C1104" s="61">
        <f>IFERROR(__xludf.DUMMYFUNCTION("""COMPUTED_VALUE"""),1.0)</f>
        <v>1</v>
      </c>
      <c r="D1104" s="61">
        <f>IFERROR(__xludf.DUMMYFUNCTION("""COMPUTED_VALUE"""),124.0)</f>
        <v>124</v>
      </c>
      <c r="E1104" s="61">
        <f>IFERROR(__xludf.DUMMYFUNCTION("""COMPUTED_VALUE"""),10.0)</f>
        <v>10</v>
      </c>
      <c r="F1104" s="62" t="str">
        <f>IFERROR(__xludf.DUMMYFUNCTION("""COMPUTED_VALUE"""),"https://www.google.com/maps/search/?api=1&amp;query=-30.8999580929387,-55.5356157719271")</f>
        <v>https://www.google.com/maps/search/?api=1&amp;query=-30.8999580929387,-55.5356157719271</v>
      </c>
      <c r="G1104" s="63" t="str">
        <f>IFERROR(__xludf.DUMMYFUNCTION("""COMPUTED_VALUE"""),"https://earth.google.com/web/search/-30.8999580929387,-55.5356157719271")</f>
        <v>https://earth.google.com/web/search/-30.8999580929387,-55.5356157719271</v>
      </c>
      <c r="H1104" s="64"/>
      <c r="I1104" s="64"/>
      <c r="J1104" s="64"/>
      <c r="K1104" s="64"/>
      <c r="L1104" s="64"/>
      <c r="M1104" s="64"/>
      <c r="N1104" s="64"/>
      <c r="O1104" s="64"/>
      <c r="P1104" s="64"/>
      <c r="Q1104" s="64"/>
      <c r="R1104" s="64"/>
      <c r="S1104" s="64"/>
      <c r="T1104" s="64"/>
      <c r="U1104" s="64"/>
      <c r="V1104" s="64"/>
      <c r="W1104" s="64"/>
      <c r="X1104" s="64"/>
      <c r="Y1104" s="64"/>
      <c r="Z1104" s="64"/>
    </row>
    <row r="1105">
      <c r="A1105" s="65" t="str">
        <f>IFERROR(__xludf.DUMMYFUNCTION("""COMPUTED_VALUE"""),"-3.0899923335301")</f>
        <v>-3.0899923335301</v>
      </c>
      <c r="B1105" s="66" t="str">
        <f>IFERROR(__xludf.DUMMYFUNCTION("""COMPUTED_VALUE"""),"-55.5357023826731")</f>
        <v>-55.5357023826731</v>
      </c>
      <c r="C1105" s="66">
        <f>IFERROR(__xludf.DUMMYFUNCTION("""COMPUTED_VALUE"""),1.0)</f>
        <v>1</v>
      </c>
      <c r="D1105" s="66">
        <f>IFERROR(__xludf.DUMMYFUNCTION("""COMPUTED_VALUE"""),124.0)</f>
        <v>124</v>
      </c>
      <c r="E1105" s="66">
        <f>IFERROR(__xludf.DUMMYFUNCTION("""COMPUTED_VALUE"""),11.0)</f>
        <v>11</v>
      </c>
      <c r="F1105" s="67" t="str">
        <f>IFERROR(__xludf.DUMMYFUNCTION("""COMPUTED_VALUE"""),"https://www.google.com/maps/search/?api=1&amp;query=-3.0899923335301,-55.5357023826731")</f>
        <v>https://www.google.com/maps/search/?api=1&amp;query=-3.0899923335301,-55.5357023826731</v>
      </c>
      <c r="G1105" s="68" t="str">
        <f>IFERROR(__xludf.DUMMYFUNCTION("""COMPUTED_VALUE"""),"https://earth.google.com/web/search/-3.0899923335301,-55.5357023826731")</f>
        <v>https://earth.google.com/web/search/-3.0899923335301,-55.5357023826731</v>
      </c>
      <c r="H1105" s="64"/>
      <c r="I1105" s="64"/>
      <c r="J1105" s="64"/>
      <c r="K1105" s="64"/>
      <c r="L1105" s="64"/>
      <c r="M1105" s="64"/>
      <c r="N1105" s="64"/>
      <c r="O1105" s="64"/>
      <c r="P1105" s="64"/>
      <c r="Q1105" s="64"/>
      <c r="R1105" s="64"/>
      <c r="S1105" s="64"/>
      <c r="T1105" s="64"/>
      <c r="U1105" s="64"/>
      <c r="V1105" s="64"/>
      <c r="W1105" s="64"/>
      <c r="X1105" s="64"/>
      <c r="Y1105" s="64"/>
      <c r="Z1105" s="64"/>
    </row>
    <row r="1106">
      <c r="A1106" s="69" t="str">
        <f>IFERROR(__xludf.DUMMYFUNCTION("""COMPUTED_VALUE"""),"-30.8998849478153")</f>
        <v>-30.8998849478153</v>
      </c>
      <c r="B1106" s="61" t="str">
        <f>IFERROR(__xludf.DUMMYFUNCTION("""COMPUTED_VALUE"""),"-55.5357824611749")</f>
        <v>-55.5357824611749</v>
      </c>
      <c r="C1106" s="61">
        <f>IFERROR(__xludf.DUMMYFUNCTION("""COMPUTED_VALUE"""),1.0)</f>
        <v>1</v>
      </c>
      <c r="D1106" s="61">
        <f>IFERROR(__xludf.DUMMYFUNCTION("""COMPUTED_VALUE"""),124.0)</f>
        <v>124</v>
      </c>
      <c r="E1106" s="61">
        <f>IFERROR(__xludf.DUMMYFUNCTION("""COMPUTED_VALUE"""),12.0)</f>
        <v>12</v>
      </c>
      <c r="F1106" s="62" t="str">
        <f>IFERROR(__xludf.DUMMYFUNCTION("""COMPUTED_VALUE"""),"https://www.google.com/maps/search/?api=1&amp;query=-30.8998849478153,-55.5357824611749")</f>
        <v>https://www.google.com/maps/search/?api=1&amp;query=-30.8998849478153,-55.5357824611749</v>
      </c>
      <c r="G1106" s="63" t="str">
        <f>IFERROR(__xludf.DUMMYFUNCTION("""COMPUTED_VALUE"""),"https://earth.google.com/web/search/-30.8998849478153,-55.5357824611749")</f>
        <v>https://earth.google.com/web/search/-30.8998849478153,-55.5357824611749</v>
      </c>
      <c r="H1106" s="64"/>
      <c r="I1106" s="64"/>
      <c r="J1106" s="64"/>
      <c r="K1106" s="64"/>
      <c r="L1106" s="64"/>
      <c r="M1106" s="64"/>
      <c r="N1106" s="64"/>
      <c r="O1106" s="64"/>
      <c r="P1106" s="64"/>
      <c r="Q1106" s="64"/>
      <c r="R1106" s="64"/>
      <c r="S1106" s="64"/>
      <c r="T1106" s="64"/>
      <c r="U1106" s="64"/>
      <c r="V1106" s="64"/>
      <c r="W1106" s="64"/>
      <c r="X1106" s="64"/>
      <c r="Y1106" s="64"/>
      <c r="Z1106" s="64"/>
    </row>
    <row r="1107">
      <c r="A1107" s="65" t="str">
        <f>IFERROR(__xludf.DUMMYFUNCTION("""COMPUTED_VALUE"""),"-30.8998517313611")</f>
        <v>-30.8998517313611</v>
      </c>
      <c r="B1107" s="66" t="str">
        <f>IFERROR(__xludf.DUMMYFUNCTION("""COMPUTED_VALUE"""),"-55.5358507610829")</f>
        <v>-55.5358507610829</v>
      </c>
      <c r="C1107" s="66">
        <f>IFERROR(__xludf.DUMMYFUNCTION("""COMPUTED_VALUE"""),1.0)</f>
        <v>1</v>
      </c>
      <c r="D1107" s="66">
        <f>IFERROR(__xludf.DUMMYFUNCTION("""COMPUTED_VALUE"""),124.0)</f>
        <v>124</v>
      </c>
      <c r="E1107" s="66">
        <f>IFERROR(__xludf.DUMMYFUNCTION("""COMPUTED_VALUE"""),13.0)</f>
        <v>13</v>
      </c>
      <c r="F1107" s="67" t="str">
        <f>IFERROR(__xludf.DUMMYFUNCTION("""COMPUTED_VALUE"""),"https://www.google.com/maps/search/?api=1&amp;query=-30.8998517313611,-55.5358507610829")</f>
        <v>https://www.google.com/maps/search/?api=1&amp;query=-30.8998517313611,-55.5358507610829</v>
      </c>
      <c r="G1107" s="68" t="str">
        <f>IFERROR(__xludf.DUMMYFUNCTION("""COMPUTED_VALUE"""),"https://earth.google.com/web/search/-30.8998517313611,-55.5358507610829")</f>
        <v>https://earth.google.com/web/search/-30.8998517313611,-55.5358507610829</v>
      </c>
      <c r="H1107" s="64"/>
      <c r="I1107" s="64"/>
      <c r="J1107" s="64"/>
      <c r="K1107" s="64"/>
      <c r="L1107" s="64"/>
      <c r="M1107" s="64"/>
      <c r="N1107" s="64"/>
      <c r="O1107" s="64"/>
      <c r="P1107" s="64"/>
      <c r="Q1107" s="64"/>
      <c r="R1107" s="64"/>
      <c r="S1107" s="64"/>
      <c r="T1107" s="64"/>
      <c r="U1107" s="64"/>
      <c r="V1107" s="64"/>
      <c r="W1107" s="64"/>
      <c r="X1107" s="64"/>
      <c r="Y1107" s="64"/>
      <c r="Z1107" s="64"/>
    </row>
    <row r="1108">
      <c r="A1108" s="69" t="str">
        <f>IFERROR(__xludf.DUMMYFUNCTION("""COMPUTED_VALUE"""),"-30.8998046099616")</f>
        <v>-30.8998046099616</v>
      </c>
      <c r="B1108" s="61" t="str">
        <f>IFERROR(__xludf.DUMMYFUNCTION("""COMPUTED_VALUE"""),"-5.5535928193997")</f>
        <v>-5.5535928193997</v>
      </c>
      <c r="C1108" s="61">
        <f>IFERROR(__xludf.DUMMYFUNCTION("""COMPUTED_VALUE"""),1.0)</f>
        <v>1</v>
      </c>
      <c r="D1108" s="61">
        <f>IFERROR(__xludf.DUMMYFUNCTION("""COMPUTED_VALUE"""),124.0)</f>
        <v>124</v>
      </c>
      <c r="E1108" s="61">
        <f>IFERROR(__xludf.DUMMYFUNCTION("""COMPUTED_VALUE"""),14.0)</f>
        <v>14</v>
      </c>
      <c r="F1108" s="62" t="str">
        <f>IFERROR(__xludf.DUMMYFUNCTION("""COMPUTED_VALUE"""),"https://www.google.com/maps/search/?api=1&amp;query=-30.8998046099616,-5.5535928193997")</f>
        <v>https://www.google.com/maps/search/?api=1&amp;query=-30.8998046099616,-5.5535928193997</v>
      </c>
      <c r="G1108" s="63" t="str">
        <f>IFERROR(__xludf.DUMMYFUNCTION("""COMPUTED_VALUE"""),"https://earth.google.com/web/search/-30.8998046099616,-5.5535928193997")</f>
        <v>https://earth.google.com/web/search/-30.8998046099616,-5.5535928193997</v>
      </c>
      <c r="H1108" s="64"/>
      <c r="I1108" s="64"/>
      <c r="J1108" s="64"/>
      <c r="K1108" s="64"/>
      <c r="L1108" s="64"/>
      <c r="M1108" s="64"/>
      <c r="N1108" s="64"/>
      <c r="O1108" s="64"/>
      <c r="P1108" s="64"/>
      <c r="Q1108" s="64"/>
      <c r="R1108" s="64"/>
      <c r="S1108" s="64"/>
      <c r="T1108" s="64"/>
      <c r="U1108" s="64"/>
      <c r="V1108" s="64"/>
      <c r="W1108" s="64"/>
      <c r="X1108" s="64"/>
      <c r="Y1108" s="64"/>
      <c r="Z1108" s="64"/>
    </row>
    <row r="1109">
      <c r="A1109" s="65" t="str">
        <f>IFERROR(__xludf.DUMMYFUNCTION("""COMPUTED_VALUE"""),"-30.8997442166078")</f>
        <v>-30.8997442166078</v>
      </c>
      <c r="B1109" s="66" t="str">
        <f>IFERROR(__xludf.DUMMYFUNCTION("""COMPUTED_VALUE"""),"-55.5359113913063")</f>
        <v>-55.5359113913063</v>
      </c>
      <c r="C1109" s="66">
        <f>IFERROR(__xludf.DUMMYFUNCTION("""COMPUTED_VALUE"""),1.0)</f>
        <v>1</v>
      </c>
      <c r="D1109" s="66">
        <f>IFERROR(__xludf.DUMMYFUNCTION("""COMPUTED_VALUE"""),124.0)</f>
        <v>124</v>
      </c>
      <c r="E1109" s="66">
        <f>IFERROR(__xludf.DUMMYFUNCTION("""COMPUTED_VALUE"""),15.0)</f>
        <v>15</v>
      </c>
      <c r="F1109" s="67" t="str">
        <f>IFERROR(__xludf.DUMMYFUNCTION("""COMPUTED_VALUE"""),"https://www.google.com/maps/search/?api=1&amp;query=-30.8997442166078,-55.5359113913063")</f>
        <v>https://www.google.com/maps/search/?api=1&amp;query=-30.8997442166078,-55.5359113913063</v>
      </c>
      <c r="G1109" s="68" t="str">
        <f>IFERROR(__xludf.DUMMYFUNCTION("""COMPUTED_VALUE"""),"https://earth.google.com/web/search/-30.8997442166078,-55.5359113913063")</f>
        <v>https://earth.google.com/web/search/-30.8997442166078,-55.5359113913063</v>
      </c>
      <c r="H1109" s="64"/>
      <c r="I1109" s="64"/>
      <c r="J1109" s="64"/>
      <c r="K1109" s="64"/>
      <c r="L1109" s="64"/>
      <c r="M1109" s="64"/>
      <c r="N1109" s="64"/>
      <c r="O1109" s="64"/>
      <c r="P1109" s="64"/>
      <c r="Q1109" s="64"/>
      <c r="R1109" s="64"/>
      <c r="S1109" s="64"/>
      <c r="T1109" s="64"/>
      <c r="U1109" s="64"/>
      <c r="V1109" s="64"/>
      <c r="W1109" s="64"/>
      <c r="X1109" s="64"/>
      <c r="Y1109" s="64"/>
      <c r="Z1109" s="64"/>
    </row>
    <row r="1110">
      <c r="A1110" s="69" t="str">
        <f>IFERROR(__xludf.DUMMYFUNCTION("""COMPUTED_VALUE"""),"-30.8996841400908")</f>
        <v>-30.8996841400908</v>
      </c>
      <c r="B1110" s="61" t="str">
        <f>IFERROR(__xludf.DUMMYFUNCTION("""COMPUTED_VALUE"""),"-55.5358918692092")</f>
        <v>-55.5358918692092</v>
      </c>
      <c r="C1110" s="61">
        <f>IFERROR(__xludf.DUMMYFUNCTION("""COMPUTED_VALUE"""),1.0)</f>
        <v>1</v>
      </c>
      <c r="D1110" s="61">
        <f>IFERROR(__xludf.DUMMYFUNCTION("""COMPUTED_VALUE"""),124.0)</f>
        <v>124</v>
      </c>
      <c r="E1110" s="61">
        <f>IFERROR(__xludf.DUMMYFUNCTION("""COMPUTED_VALUE"""),16.0)</f>
        <v>16</v>
      </c>
      <c r="F1110" s="62" t="str">
        <f>IFERROR(__xludf.DUMMYFUNCTION("""COMPUTED_VALUE"""),"https://www.google.com/maps/search/?api=1&amp;query=-30.8996841400908,-55.5358918692092")</f>
        <v>https://www.google.com/maps/search/?api=1&amp;query=-30.8996841400908,-55.5358918692092</v>
      </c>
      <c r="G1110" s="63" t="str">
        <f>IFERROR(__xludf.DUMMYFUNCTION("""COMPUTED_VALUE"""),"https://earth.google.com/web/search/-30.8996841400908,-55.5358918692092")</f>
        <v>https://earth.google.com/web/search/-30.8996841400908,-55.5358918692092</v>
      </c>
      <c r="H1110" s="64"/>
      <c r="I1110" s="64"/>
      <c r="J1110" s="64"/>
      <c r="K1110" s="64"/>
      <c r="L1110" s="64"/>
      <c r="M1110" s="64"/>
      <c r="N1110" s="64"/>
      <c r="O1110" s="64"/>
      <c r="P1110" s="64"/>
      <c r="Q1110" s="64"/>
      <c r="R1110" s="64"/>
      <c r="S1110" s="64"/>
      <c r="T1110" s="64"/>
      <c r="U1110" s="64"/>
      <c r="V1110" s="64"/>
      <c r="W1110" s="64"/>
      <c r="X1110" s="64"/>
      <c r="Y1110" s="64"/>
      <c r="Z1110" s="64"/>
    </row>
    <row r="1111">
      <c r="A1111" s="65" t="str">
        <f>IFERROR(__xludf.DUMMYFUNCTION("""COMPUTED_VALUE"""),"-3.0899585985188")</f>
        <v>-3.0899585985188</v>
      </c>
      <c r="B1111" s="66" t="str">
        <f>IFERROR(__xludf.DUMMYFUNCTION("""COMPUTED_VALUE"""),"-5.5535832362631")</f>
        <v>-5.5535832362631</v>
      </c>
      <c r="C1111" s="66">
        <f>IFERROR(__xludf.DUMMYFUNCTION("""COMPUTED_VALUE"""),1.0)</f>
        <v>1</v>
      </c>
      <c r="D1111" s="66">
        <f>IFERROR(__xludf.DUMMYFUNCTION("""COMPUTED_VALUE"""),124.0)</f>
        <v>124</v>
      </c>
      <c r="E1111" s="66">
        <f>IFERROR(__xludf.DUMMYFUNCTION("""COMPUTED_VALUE"""),17.0)</f>
        <v>17</v>
      </c>
      <c r="F1111" s="67" t="str">
        <f>IFERROR(__xludf.DUMMYFUNCTION("""COMPUTED_VALUE"""),"https://www.google.com/maps/search/?api=1&amp;query=-3.0899585985188,-5.5535832362631")</f>
        <v>https://www.google.com/maps/search/?api=1&amp;query=-3.0899585985188,-5.5535832362631</v>
      </c>
      <c r="G1111" s="68" t="str">
        <f>IFERROR(__xludf.DUMMYFUNCTION("""COMPUTED_VALUE"""),"https://earth.google.com/web/search/-3.0899585985188,-5.5535832362631")</f>
        <v>https://earth.google.com/web/search/-3.0899585985188,-5.5535832362631</v>
      </c>
      <c r="H1111" s="64"/>
      <c r="I1111" s="64"/>
      <c r="J1111" s="64"/>
      <c r="K1111" s="64"/>
      <c r="L1111" s="64"/>
      <c r="M1111" s="64"/>
      <c r="N1111" s="64"/>
      <c r="O1111" s="64"/>
      <c r="P1111" s="64"/>
      <c r="Q1111" s="64"/>
      <c r="R1111" s="64"/>
      <c r="S1111" s="64"/>
      <c r="T1111" s="64"/>
      <c r="U1111" s="64"/>
      <c r="V1111" s="64"/>
      <c r="W1111" s="64"/>
      <c r="X1111" s="64"/>
      <c r="Y1111" s="64"/>
      <c r="Z1111" s="64"/>
    </row>
    <row r="1112">
      <c r="A1112" s="69" t="str">
        <f>IFERROR(__xludf.DUMMYFUNCTION("""COMPUTED_VALUE"""),"-30.8993771809669")</f>
        <v>-30.8993771809669</v>
      </c>
      <c r="B1112" s="61" t="str">
        <f>IFERROR(__xludf.DUMMYFUNCTION("""COMPUTED_VALUE"""),"-5.5535694627268")</f>
        <v>-5.5535694627268</v>
      </c>
      <c r="C1112" s="61">
        <f>IFERROR(__xludf.DUMMYFUNCTION("""COMPUTED_VALUE"""),1.0)</f>
        <v>1</v>
      </c>
      <c r="D1112" s="61">
        <f>IFERROR(__xludf.DUMMYFUNCTION("""COMPUTED_VALUE"""),124.0)</f>
        <v>124</v>
      </c>
      <c r="E1112" s="61">
        <f>IFERROR(__xludf.DUMMYFUNCTION("""COMPUTED_VALUE"""),18.0)</f>
        <v>18</v>
      </c>
      <c r="F1112" s="62" t="str">
        <f>IFERROR(__xludf.DUMMYFUNCTION("""COMPUTED_VALUE"""),"https://www.google.com/maps/search/?api=1&amp;query=-30.8993771809669,-5.5535694627268")</f>
        <v>https://www.google.com/maps/search/?api=1&amp;query=-30.8993771809669,-5.5535694627268</v>
      </c>
      <c r="G1112" s="63" t="str">
        <f>IFERROR(__xludf.DUMMYFUNCTION("""COMPUTED_VALUE"""),"https://earth.google.com/web/search/-30.8993771809669,-5.5535694627268")</f>
        <v>https://earth.google.com/web/search/-30.8993771809669,-5.5535694627268</v>
      </c>
      <c r="H1112" s="64"/>
      <c r="I1112" s="64"/>
      <c r="J1112" s="64"/>
      <c r="K1112" s="64"/>
      <c r="L1112" s="64"/>
      <c r="M1112" s="64"/>
      <c r="N1112" s="64"/>
      <c r="O1112" s="64"/>
      <c r="P1112" s="64"/>
      <c r="Q1112" s="64"/>
      <c r="R1112" s="64"/>
      <c r="S1112" s="64"/>
      <c r="T1112" s="64"/>
      <c r="U1112" s="64"/>
      <c r="V1112" s="64"/>
      <c r="W1112" s="64"/>
      <c r="X1112" s="64"/>
      <c r="Y1112" s="64"/>
      <c r="Z1112" s="64"/>
    </row>
    <row r="1113">
      <c r="A1113" s="65" t="str">
        <f>IFERROR(__xludf.DUMMYFUNCTION("""COMPUTED_VALUE"""),"-30.8992510644691")</f>
        <v>-30.8992510644691</v>
      </c>
      <c r="B1113" s="66" t="str">
        <f>IFERROR(__xludf.DUMMYFUNCTION("""COMPUTED_VALUE"""),"-55.5355752495292")</f>
        <v>-55.5355752495292</v>
      </c>
      <c r="C1113" s="66">
        <f>IFERROR(__xludf.DUMMYFUNCTION("""COMPUTED_VALUE"""),1.0)</f>
        <v>1</v>
      </c>
      <c r="D1113" s="66">
        <f>IFERROR(__xludf.DUMMYFUNCTION("""COMPUTED_VALUE"""),124.0)</f>
        <v>124</v>
      </c>
      <c r="E1113" s="66">
        <f>IFERROR(__xludf.DUMMYFUNCTION("""COMPUTED_VALUE"""),19.0)</f>
        <v>19</v>
      </c>
      <c r="F1113" s="67" t="str">
        <f>IFERROR(__xludf.DUMMYFUNCTION("""COMPUTED_VALUE"""),"https://www.google.com/maps/search/?api=1&amp;query=-30.8992510644691,-55.5355752495292")</f>
        <v>https://www.google.com/maps/search/?api=1&amp;query=-30.8992510644691,-55.5355752495292</v>
      </c>
      <c r="G1113" s="68" t="str">
        <f>IFERROR(__xludf.DUMMYFUNCTION("""COMPUTED_VALUE"""),"https://earth.google.com/web/search/-30.8992510644691,-55.5355752495292")</f>
        <v>https://earth.google.com/web/search/-30.8992510644691,-55.5355752495292</v>
      </c>
      <c r="H1113" s="64"/>
      <c r="I1113" s="64"/>
      <c r="J1113" s="64"/>
      <c r="K1113" s="64"/>
      <c r="L1113" s="64"/>
      <c r="M1113" s="64"/>
      <c r="N1113" s="64"/>
      <c r="O1113" s="64"/>
      <c r="P1113" s="64"/>
      <c r="Q1113" s="64"/>
      <c r="R1113" s="64"/>
      <c r="S1113" s="64"/>
      <c r="T1113" s="64"/>
      <c r="U1113" s="64"/>
      <c r="V1113" s="64"/>
      <c r="W1113" s="64"/>
      <c r="X1113" s="64"/>
      <c r="Y1113" s="64"/>
      <c r="Z1113" s="64"/>
    </row>
    <row r="1114">
      <c r="A1114" s="69" t="str">
        <f>IFERROR(__xludf.DUMMYFUNCTION("""COMPUTED_VALUE"""),"-30.8991444988936")</f>
        <v>-30.8991444988936</v>
      </c>
      <c r="B1114" s="61" t="str">
        <f>IFERROR(__xludf.DUMMYFUNCTION("""COMPUTED_VALUE"""),"-55.5355117403194")</f>
        <v>-55.5355117403194</v>
      </c>
      <c r="C1114" s="61">
        <f>IFERROR(__xludf.DUMMYFUNCTION("""COMPUTED_VALUE"""),1.0)</f>
        <v>1</v>
      </c>
      <c r="D1114" s="61">
        <f>IFERROR(__xludf.DUMMYFUNCTION("""COMPUTED_VALUE"""),124.0)</f>
        <v>124</v>
      </c>
      <c r="E1114" s="61">
        <f>IFERROR(__xludf.DUMMYFUNCTION("""COMPUTED_VALUE"""),20.0)</f>
        <v>20</v>
      </c>
      <c r="F1114" s="62" t="str">
        <f>IFERROR(__xludf.DUMMYFUNCTION("""COMPUTED_VALUE"""),"https://www.google.com/maps/search/?api=1&amp;query=-30.8991444988936,-55.5355117403194")</f>
        <v>https://www.google.com/maps/search/?api=1&amp;query=-30.8991444988936,-55.5355117403194</v>
      </c>
      <c r="G1114" s="63" t="str">
        <f>IFERROR(__xludf.DUMMYFUNCTION("""COMPUTED_VALUE"""),"https://earth.google.com/web/search/-30.8991444988936,-55.5355117403194")</f>
        <v>https://earth.google.com/web/search/-30.8991444988936,-55.5355117403194</v>
      </c>
      <c r="H1114" s="64"/>
      <c r="I1114" s="64"/>
      <c r="J1114" s="64"/>
      <c r="K1114" s="64"/>
      <c r="L1114" s="64"/>
      <c r="M1114" s="64"/>
      <c r="N1114" s="64"/>
      <c r="O1114" s="64"/>
      <c r="P1114" s="64"/>
      <c r="Q1114" s="64"/>
      <c r="R1114" s="64"/>
      <c r="S1114" s="64"/>
      <c r="T1114" s="64"/>
      <c r="U1114" s="64"/>
      <c r="V1114" s="64"/>
      <c r="W1114" s="64"/>
      <c r="X1114" s="64"/>
      <c r="Y1114" s="64"/>
      <c r="Z1114" s="64"/>
    </row>
    <row r="1115">
      <c r="A1115" s="65" t="str">
        <f>IFERROR(__xludf.DUMMYFUNCTION("""COMPUTED_VALUE"""),"-30.8986458727635")</f>
        <v>-30.8986458727635</v>
      </c>
      <c r="B1115" s="66" t="str">
        <f>IFERROR(__xludf.DUMMYFUNCTION("""COMPUTED_VALUE"""),"-55.5363072733032")</f>
        <v>-55.5363072733032</v>
      </c>
      <c r="C1115" s="66">
        <f>IFERROR(__xludf.DUMMYFUNCTION("""COMPUTED_VALUE"""),1.0)</f>
        <v>1</v>
      </c>
      <c r="D1115" s="66">
        <f>IFERROR(__xludf.DUMMYFUNCTION("""COMPUTED_VALUE"""),123.0)</f>
        <v>123</v>
      </c>
      <c r="E1115" s="66">
        <f>IFERROR(__xludf.DUMMYFUNCTION("""COMPUTED_VALUE"""),1.0)</f>
        <v>1</v>
      </c>
      <c r="F1115" s="67" t="str">
        <f>IFERROR(__xludf.DUMMYFUNCTION("""COMPUTED_VALUE"""),"https://www.google.com/maps/search/?api=1&amp;query=-30.8986458727635,-55.5363072733032")</f>
        <v>https://www.google.com/maps/search/?api=1&amp;query=-30.8986458727635,-55.5363072733032</v>
      </c>
      <c r="G1115" s="68" t="str">
        <f>IFERROR(__xludf.DUMMYFUNCTION("""COMPUTED_VALUE"""),"https://earth.google.com/web/search/-30.8986458727635,-55.5363072733032")</f>
        <v>https://earth.google.com/web/search/-30.8986458727635,-55.5363072733032</v>
      </c>
      <c r="H1115" s="64"/>
      <c r="I1115" s="64"/>
      <c r="J1115" s="64"/>
      <c r="K1115" s="64"/>
      <c r="L1115" s="64"/>
      <c r="M1115" s="64"/>
      <c r="N1115" s="64"/>
      <c r="O1115" s="64"/>
      <c r="P1115" s="64"/>
      <c r="Q1115" s="64"/>
      <c r="R1115" s="64"/>
      <c r="S1115" s="64"/>
      <c r="T1115" s="64"/>
      <c r="U1115" s="64"/>
      <c r="V1115" s="64"/>
      <c r="W1115" s="64"/>
      <c r="X1115" s="64"/>
      <c r="Y1115" s="64"/>
      <c r="Z1115" s="64"/>
    </row>
    <row r="1116">
      <c r="A1116" s="69" t="str">
        <f>IFERROR(__xludf.DUMMYFUNCTION("""COMPUTED_VALUE"""),"-30.8987198591351")</f>
        <v>-30.8987198591351</v>
      </c>
      <c r="B1116" s="61" t="str">
        <f>IFERROR(__xludf.DUMMYFUNCTION("""COMPUTED_VALUE"""),"-55.5361691359901")</f>
        <v>-55.5361691359901</v>
      </c>
      <c r="C1116" s="61">
        <f>IFERROR(__xludf.DUMMYFUNCTION("""COMPUTED_VALUE"""),1.0)</f>
        <v>1</v>
      </c>
      <c r="D1116" s="61">
        <f>IFERROR(__xludf.DUMMYFUNCTION("""COMPUTED_VALUE"""),123.0)</f>
        <v>123</v>
      </c>
      <c r="E1116" s="61">
        <f>IFERROR(__xludf.DUMMYFUNCTION("""COMPUTED_VALUE"""),2.0)</f>
        <v>2</v>
      </c>
      <c r="F1116" s="62" t="str">
        <f>IFERROR(__xludf.DUMMYFUNCTION("""COMPUTED_VALUE"""),"https://www.google.com/maps/search/?api=1&amp;query=-30.8987198591351,-55.5361691359901")</f>
        <v>https://www.google.com/maps/search/?api=1&amp;query=-30.8987198591351,-55.5361691359901</v>
      </c>
      <c r="G1116" s="63" t="str">
        <f>IFERROR(__xludf.DUMMYFUNCTION("""COMPUTED_VALUE"""),"https://earth.google.com/web/search/-30.8987198591351,-55.5361691359901")</f>
        <v>https://earth.google.com/web/search/-30.8987198591351,-55.5361691359901</v>
      </c>
      <c r="H1116" s="64"/>
      <c r="I1116" s="64"/>
      <c r="J1116" s="64"/>
      <c r="K1116" s="64"/>
      <c r="L1116" s="64"/>
      <c r="M1116" s="64"/>
      <c r="N1116" s="64"/>
      <c r="O1116" s="64"/>
      <c r="P1116" s="64"/>
      <c r="Q1116" s="64"/>
      <c r="R1116" s="64"/>
      <c r="S1116" s="64"/>
      <c r="T1116" s="64"/>
      <c r="U1116" s="64"/>
      <c r="V1116" s="64"/>
      <c r="W1116" s="64"/>
      <c r="X1116" s="64"/>
      <c r="Y1116" s="64"/>
      <c r="Z1116" s="64"/>
    </row>
    <row r="1117">
      <c r="A1117" s="65" t="str">
        <f>IFERROR(__xludf.DUMMYFUNCTION("""COMPUTED_VALUE"""),"-30.8987417328002")</f>
        <v>-30.8987417328002</v>
      </c>
      <c r="B1117" s="66" t="str">
        <f>IFERROR(__xludf.DUMMYFUNCTION("""COMPUTED_VALUE"""),"-55.5360960035778")</f>
        <v>-55.5360960035778</v>
      </c>
      <c r="C1117" s="66">
        <f>IFERROR(__xludf.DUMMYFUNCTION("""COMPUTED_VALUE"""),1.0)</f>
        <v>1</v>
      </c>
      <c r="D1117" s="66">
        <f>IFERROR(__xludf.DUMMYFUNCTION("""COMPUTED_VALUE"""),123.0)</f>
        <v>123</v>
      </c>
      <c r="E1117" s="66">
        <f>IFERROR(__xludf.DUMMYFUNCTION("""COMPUTED_VALUE"""),3.0)</f>
        <v>3</v>
      </c>
      <c r="F1117" s="67" t="str">
        <f>IFERROR(__xludf.DUMMYFUNCTION("""COMPUTED_VALUE"""),"https://www.google.com/maps/search/?api=1&amp;query=-30.8987417328002,-55.5360960035778")</f>
        <v>https://www.google.com/maps/search/?api=1&amp;query=-30.8987417328002,-55.5360960035778</v>
      </c>
      <c r="G1117" s="68" t="str">
        <f>IFERROR(__xludf.DUMMYFUNCTION("""COMPUTED_VALUE"""),"https://earth.google.com/web/search/-30.8987417328002,-55.5360960035778")</f>
        <v>https://earth.google.com/web/search/-30.8987417328002,-55.5360960035778</v>
      </c>
      <c r="H1117" s="64"/>
      <c r="I1117" s="64"/>
      <c r="J1117" s="64"/>
      <c r="K1117" s="64"/>
      <c r="L1117" s="64"/>
      <c r="M1117" s="64"/>
      <c r="N1117" s="64"/>
      <c r="O1117" s="64"/>
      <c r="P1117" s="64"/>
      <c r="Q1117" s="64"/>
      <c r="R1117" s="64"/>
      <c r="S1117" s="64"/>
      <c r="T1117" s="64"/>
      <c r="U1117" s="64"/>
      <c r="V1117" s="64"/>
      <c r="W1117" s="64"/>
      <c r="X1117" s="64"/>
      <c r="Y1117" s="64"/>
      <c r="Z1117" s="64"/>
    </row>
    <row r="1118">
      <c r="A1118" s="69" t="str">
        <f>IFERROR(__xludf.DUMMYFUNCTION("""COMPUTED_VALUE"""),"-30.8988394409903")</f>
        <v>-30.8988394409903</v>
      </c>
      <c r="B1118" s="61" t="str">
        <f>IFERROR(__xludf.DUMMYFUNCTION("""COMPUTED_VALUE"""),"-55.5359478615424")</f>
        <v>-55.5359478615424</v>
      </c>
      <c r="C1118" s="61">
        <f>IFERROR(__xludf.DUMMYFUNCTION("""COMPUTED_VALUE"""),1.0)</f>
        <v>1</v>
      </c>
      <c r="D1118" s="61">
        <f>IFERROR(__xludf.DUMMYFUNCTION("""COMPUTED_VALUE"""),123.0)</f>
        <v>123</v>
      </c>
      <c r="E1118" s="61">
        <f>IFERROR(__xludf.DUMMYFUNCTION("""COMPUTED_VALUE"""),4.0)</f>
        <v>4</v>
      </c>
      <c r="F1118" s="62" t="str">
        <f>IFERROR(__xludf.DUMMYFUNCTION("""COMPUTED_VALUE"""),"https://www.google.com/maps/search/?api=1&amp;query=-30.8988394409903,-55.5359478615424")</f>
        <v>https://www.google.com/maps/search/?api=1&amp;query=-30.8988394409903,-55.5359478615424</v>
      </c>
      <c r="G1118" s="63" t="str">
        <f>IFERROR(__xludf.DUMMYFUNCTION("""COMPUTED_VALUE"""),"https://earth.google.com/web/search/-30.8988394409903,-55.5359478615424")</f>
        <v>https://earth.google.com/web/search/-30.8988394409903,-55.5359478615424</v>
      </c>
      <c r="H1118" s="64"/>
      <c r="I1118" s="64"/>
      <c r="J1118" s="64"/>
      <c r="K1118" s="64"/>
      <c r="L1118" s="64"/>
      <c r="M1118" s="64"/>
      <c r="N1118" s="64"/>
      <c r="O1118" s="64"/>
      <c r="P1118" s="64"/>
      <c r="Q1118" s="64"/>
      <c r="R1118" s="64"/>
      <c r="S1118" s="64"/>
      <c r="T1118" s="64"/>
      <c r="U1118" s="64"/>
      <c r="V1118" s="64"/>
      <c r="W1118" s="64"/>
      <c r="X1118" s="64"/>
      <c r="Y1118" s="64"/>
      <c r="Z1118" s="64"/>
    </row>
    <row r="1119">
      <c r="A1119" s="65" t="str">
        <f>IFERROR(__xludf.DUMMYFUNCTION("""COMPUTED_VALUE"""),"-30.8988649762234")</f>
        <v>-30.8988649762234</v>
      </c>
      <c r="B1119" s="66" t="str">
        <f>IFERROR(__xludf.DUMMYFUNCTION("""COMPUTED_VALUE"""),"-55.5358741915437")</f>
        <v>-55.5358741915437</v>
      </c>
      <c r="C1119" s="66">
        <f>IFERROR(__xludf.DUMMYFUNCTION("""COMPUTED_VALUE"""),1.0)</f>
        <v>1</v>
      </c>
      <c r="D1119" s="66">
        <f>IFERROR(__xludf.DUMMYFUNCTION("""COMPUTED_VALUE"""),123.0)</f>
        <v>123</v>
      </c>
      <c r="E1119" s="66">
        <f>IFERROR(__xludf.DUMMYFUNCTION("""COMPUTED_VALUE"""),5.0)</f>
        <v>5</v>
      </c>
      <c r="F1119" s="67" t="str">
        <f>IFERROR(__xludf.DUMMYFUNCTION("""COMPUTED_VALUE"""),"https://www.google.com/maps/search/?api=1&amp;query=-30.8988649762234,-55.5358741915437")</f>
        <v>https://www.google.com/maps/search/?api=1&amp;query=-30.8988649762234,-55.5358741915437</v>
      </c>
      <c r="G1119" s="68" t="str">
        <f>IFERROR(__xludf.DUMMYFUNCTION("""COMPUTED_VALUE"""),"https://earth.google.com/web/search/-30.8988649762234,-55.5358741915437")</f>
        <v>https://earth.google.com/web/search/-30.8988649762234,-55.5358741915437</v>
      </c>
      <c r="H1119" s="64"/>
      <c r="I1119" s="64"/>
      <c r="J1119" s="64"/>
      <c r="K1119" s="64"/>
      <c r="L1119" s="64"/>
      <c r="M1119" s="64"/>
      <c r="N1119" s="64"/>
      <c r="O1119" s="64"/>
      <c r="P1119" s="64"/>
      <c r="Q1119" s="64"/>
      <c r="R1119" s="64"/>
      <c r="S1119" s="64"/>
      <c r="T1119" s="64"/>
      <c r="U1119" s="64"/>
      <c r="V1119" s="64"/>
      <c r="W1119" s="64"/>
      <c r="X1119" s="64"/>
      <c r="Y1119" s="64"/>
      <c r="Z1119" s="64"/>
    </row>
    <row r="1120">
      <c r="A1120" s="69" t="str">
        <f>IFERROR(__xludf.DUMMYFUNCTION("""COMPUTED_VALUE"""),"-30.8989412545956")</f>
        <v>-30.8989412545956</v>
      </c>
      <c r="B1120" s="61" t="str">
        <f>IFERROR(__xludf.DUMMYFUNCTION("""COMPUTED_VALUE"""),"-55.5357222761619")</f>
        <v>-55.5357222761619</v>
      </c>
      <c r="C1120" s="61">
        <f>IFERROR(__xludf.DUMMYFUNCTION("""COMPUTED_VALUE"""),1.0)</f>
        <v>1</v>
      </c>
      <c r="D1120" s="61">
        <f>IFERROR(__xludf.DUMMYFUNCTION("""COMPUTED_VALUE"""),123.0)</f>
        <v>123</v>
      </c>
      <c r="E1120" s="61">
        <f>IFERROR(__xludf.DUMMYFUNCTION("""COMPUTED_VALUE"""),6.0)</f>
        <v>6</v>
      </c>
      <c r="F1120" s="62" t="str">
        <f>IFERROR(__xludf.DUMMYFUNCTION("""COMPUTED_VALUE"""),"https://www.google.com/maps/search/?api=1&amp;query=-30.8989412545956,-55.5357222761619")</f>
        <v>https://www.google.com/maps/search/?api=1&amp;query=-30.8989412545956,-55.5357222761619</v>
      </c>
      <c r="G1120" s="63" t="str">
        <f>IFERROR(__xludf.DUMMYFUNCTION("""COMPUTED_VALUE"""),"https://earth.google.com/web/search/-30.8989412545956,-55.5357222761619")</f>
        <v>https://earth.google.com/web/search/-30.8989412545956,-55.5357222761619</v>
      </c>
      <c r="H1120" s="64"/>
      <c r="I1120" s="64"/>
      <c r="J1120" s="64"/>
      <c r="K1120" s="64"/>
      <c r="L1120" s="64"/>
      <c r="M1120" s="64"/>
      <c r="N1120" s="64"/>
      <c r="O1120" s="64"/>
      <c r="P1120" s="64"/>
      <c r="Q1120" s="64"/>
      <c r="R1120" s="64"/>
      <c r="S1120" s="64"/>
      <c r="T1120" s="64"/>
      <c r="U1120" s="64"/>
      <c r="V1120" s="64"/>
      <c r="W1120" s="64"/>
      <c r="X1120" s="64"/>
      <c r="Y1120" s="64"/>
      <c r="Z1120" s="64"/>
    </row>
    <row r="1121">
      <c r="A1121" s="65" t="str">
        <f>IFERROR(__xludf.DUMMYFUNCTION("""COMPUTED_VALUE"""),"-30.8993855389561")</f>
        <v>-30.8993855389561</v>
      </c>
      <c r="B1121" s="66" t="str">
        <f>IFERROR(__xludf.DUMMYFUNCTION("""COMPUTED_VALUE"""),"-55.5357843964096")</f>
        <v>-55.5357843964096</v>
      </c>
      <c r="C1121" s="66">
        <f>IFERROR(__xludf.DUMMYFUNCTION("""COMPUTED_VALUE"""),1.0)</f>
        <v>1</v>
      </c>
      <c r="D1121" s="66">
        <f>IFERROR(__xludf.DUMMYFUNCTION("""COMPUTED_VALUE"""),123.0)</f>
        <v>123</v>
      </c>
      <c r="E1121" s="66">
        <f>IFERROR(__xludf.DUMMYFUNCTION("""COMPUTED_VALUE"""),7.0)</f>
        <v>7</v>
      </c>
      <c r="F1121" s="67" t="str">
        <f>IFERROR(__xludf.DUMMYFUNCTION("""COMPUTED_VALUE"""),"https://www.google.com/maps/search/?api=1&amp;query=-30.8993855389561,-55.5357843964096")</f>
        <v>https://www.google.com/maps/search/?api=1&amp;query=-30.8993855389561,-55.5357843964096</v>
      </c>
      <c r="G1121" s="68" t="str">
        <f>IFERROR(__xludf.DUMMYFUNCTION("""COMPUTED_VALUE"""),"https://earth.google.com/web/search/-30.8993855389561,-55.5357843964096")</f>
        <v>https://earth.google.com/web/search/-30.8993855389561,-55.5357843964096</v>
      </c>
      <c r="H1121" s="64"/>
      <c r="I1121" s="64"/>
      <c r="J1121" s="64"/>
      <c r="K1121" s="64"/>
      <c r="L1121" s="64"/>
      <c r="M1121" s="64"/>
      <c r="N1121" s="64"/>
      <c r="O1121" s="64"/>
      <c r="P1121" s="64"/>
      <c r="Q1121" s="64"/>
      <c r="R1121" s="64"/>
      <c r="S1121" s="64"/>
      <c r="T1121" s="64"/>
      <c r="U1121" s="64"/>
      <c r="V1121" s="64"/>
      <c r="W1121" s="64"/>
      <c r="X1121" s="64"/>
      <c r="Y1121" s="64"/>
      <c r="Z1121" s="64"/>
    </row>
    <row r="1122">
      <c r="A1122" s="69" t="str">
        <f>IFERROR(__xludf.DUMMYFUNCTION("""COMPUTED_VALUE"""),"-30.8994320830532")</f>
        <v>-30.8994320830532</v>
      </c>
      <c r="B1122" s="61" t="str">
        <f>IFERROR(__xludf.DUMMYFUNCTION("""COMPUTED_VALUE"""),"-55.5358200493181")</f>
        <v>-55.5358200493181</v>
      </c>
      <c r="C1122" s="61">
        <f>IFERROR(__xludf.DUMMYFUNCTION("""COMPUTED_VALUE"""),1.0)</f>
        <v>1</v>
      </c>
      <c r="D1122" s="61">
        <f>IFERROR(__xludf.DUMMYFUNCTION("""COMPUTED_VALUE"""),123.0)</f>
        <v>123</v>
      </c>
      <c r="E1122" s="61">
        <f>IFERROR(__xludf.DUMMYFUNCTION("""COMPUTED_VALUE"""),8.0)</f>
        <v>8</v>
      </c>
      <c r="F1122" s="62" t="str">
        <f>IFERROR(__xludf.DUMMYFUNCTION("""COMPUTED_VALUE"""),"https://www.google.com/maps/search/?api=1&amp;query=-30.8994320830532,-55.5358200493181")</f>
        <v>https://www.google.com/maps/search/?api=1&amp;query=-30.8994320830532,-55.5358200493181</v>
      </c>
      <c r="G1122" s="63" t="str">
        <f>IFERROR(__xludf.DUMMYFUNCTION("""COMPUTED_VALUE"""),"https://earth.google.com/web/search/-30.8994320830532,-55.5358200493181")</f>
        <v>https://earth.google.com/web/search/-30.8994320830532,-55.5358200493181</v>
      </c>
      <c r="H1122" s="64"/>
      <c r="I1122" s="64"/>
      <c r="J1122" s="64"/>
      <c r="K1122" s="64"/>
      <c r="L1122" s="64"/>
      <c r="M1122" s="64"/>
      <c r="N1122" s="64"/>
      <c r="O1122" s="64"/>
      <c r="P1122" s="64"/>
      <c r="Q1122" s="64"/>
      <c r="R1122" s="64"/>
      <c r="S1122" s="64"/>
      <c r="T1122" s="64"/>
      <c r="U1122" s="64"/>
      <c r="V1122" s="64"/>
      <c r="W1122" s="64"/>
      <c r="X1122" s="64"/>
      <c r="Y1122" s="64"/>
      <c r="Z1122" s="64"/>
    </row>
    <row r="1123">
      <c r="A1123" s="65" t="str">
        <f>IFERROR(__xludf.DUMMYFUNCTION("""COMPUTED_VALUE"""),"-30.8994698381431")</f>
        <v>-30.8994698381431</v>
      </c>
      <c r="B1123" s="66" t="str">
        <f>IFERROR(__xludf.DUMMYFUNCTION("""COMPUTED_VALUE"""),"-55.5358824207205")</f>
        <v>-55.5358824207205</v>
      </c>
      <c r="C1123" s="66">
        <f>IFERROR(__xludf.DUMMYFUNCTION("""COMPUTED_VALUE"""),1.0)</f>
        <v>1</v>
      </c>
      <c r="D1123" s="66">
        <f>IFERROR(__xludf.DUMMYFUNCTION("""COMPUTED_VALUE"""),123.0)</f>
        <v>123</v>
      </c>
      <c r="E1123" s="66">
        <f>IFERROR(__xludf.DUMMYFUNCTION("""COMPUTED_VALUE"""),9.0)</f>
        <v>9</v>
      </c>
      <c r="F1123" s="67" t="str">
        <f>IFERROR(__xludf.DUMMYFUNCTION("""COMPUTED_VALUE"""),"https://www.google.com/maps/search/?api=1&amp;query=-30.8994698381431,-55.5358824207205")</f>
        <v>https://www.google.com/maps/search/?api=1&amp;query=-30.8994698381431,-55.5358824207205</v>
      </c>
      <c r="G1123" s="68" t="str">
        <f>IFERROR(__xludf.DUMMYFUNCTION("""COMPUTED_VALUE"""),"https://earth.google.com/web/search/-30.8994698381431,-55.5358824207205")</f>
        <v>https://earth.google.com/web/search/-30.8994698381431,-55.5358824207205</v>
      </c>
      <c r="H1123" s="64"/>
      <c r="I1123" s="64"/>
      <c r="J1123" s="64"/>
      <c r="K1123" s="64"/>
      <c r="L1123" s="64"/>
      <c r="M1123" s="64"/>
      <c r="N1123" s="64"/>
      <c r="O1123" s="64"/>
      <c r="P1123" s="64"/>
      <c r="Q1123" s="64"/>
      <c r="R1123" s="64"/>
      <c r="S1123" s="64"/>
      <c r="T1123" s="64"/>
      <c r="U1123" s="64"/>
      <c r="V1123" s="64"/>
      <c r="W1123" s="64"/>
      <c r="X1123" s="64"/>
      <c r="Y1123" s="64"/>
      <c r="Z1123" s="64"/>
    </row>
    <row r="1124">
      <c r="A1124" s="69" t="str">
        <f>IFERROR(__xludf.DUMMYFUNCTION("""COMPUTED_VALUE"""),"-30.8995161161859")</f>
        <v>-30.8995161161859</v>
      </c>
      <c r="B1124" s="61" t="str">
        <f>IFERROR(__xludf.DUMMYFUNCTION("""COMPUTED_VALUE"""),"-55.5359156178134")</f>
        <v>-55.5359156178134</v>
      </c>
      <c r="C1124" s="61">
        <f>IFERROR(__xludf.DUMMYFUNCTION("""COMPUTED_VALUE"""),1.0)</f>
        <v>1</v>
      </c>
      <c r="D1124" s="61">
        <f>IFERROR(__xludf.DUMMYFUNCTION("""COMPUTED_VALUE"""),123.0)</f>
        <v>123</v>
      </c>
      <c r="E1124" s="61">
        <f>IFERROR(__xludf.DUMMYFUNCTION("""COMPUTED_VALUE"""),10.0)</f>
        <v>10</v>
      </c>
      <c r="F1124" s="62" t="str">
        <f>IFERROR(__xludf.DUMMYFUNCTION("""COMPUTED_VALUE"""),"https://www.google.com/maps/search/?api=1&amp;query=-30.8995161161859,-55.5359156178134")</f>
        <v>https://www.google.com/maps/search/?api=1&amp;query=-30.8995161161859,-55.5359156178134</v>
      </c>
      <c r="G1124" s="63" t="str">
        <f>IFERROR(__xludf.DUMMYFUNCTION("""COMPUTED_VALUE"""),"https://earth.google.com/web/search/-30.8995161161859,-55.5359156178134")</f>
        <v>https://earth.google.com/web/search/-30.8995161161859,-55.5359156178134</v>
      </c>
      <c r="H1124" s="64"/>
      <c r="I1124" s="64"/>
      <c r="J1124" s="64"/>
      <c r="K1124" s="64"/>
      <c r="L1124" s="64"/>
      <c r="M1124" s="64"/>
      <c r="N1124" s="64"/>
      <c r="O1124" s="64"/>
      <c r="P1124" s="64"/>
      <c r="Q1124" s="64"/>
      <c r="R1124" s="64"/>
      <c r="S1124" s="64"/>
      <c r="T1124" s="64"/>
      <c r="U1124" s="64"/>
      <c r="V1124" s="64"/>
      <c r="W1124" s="64"/>
      <c r="X1124" s="64"/>
      <c r="Y1124" s="64"/>
      <c r="Z1124" s="64"/>
    </row>
    <row r="1125">
      <c r="A1125" s="65" t="str">
        <f>IFERROR(__xludf.DUMMYFUNCTION("""COMPUTED_VALUE"""),"-30.8995816437679")</f>
        <v>-30.8995816437679</v>
      </c>
      <c r="B1125" s="66" t="str">
        <f>IFERROR(__xludf.DUMMYFUNCTION("""COMPUTED_VALUE"""),"-55.5359273132256")</f>
        <v>-55.5359273132256</v>
      </c>
      <c r="C1125" s="66">
        <f>IFERROR(__xludf.DUMMYFUNCTION("""COMPUTED_VALUE"""),1.0)</f>
        <v>1</v>
      </c>
      <c r="D1125" s="66">
        <f>IFERROR(__xludf.DUMMYFUNCTION("""COMPUTED_VALUE"""),123.0)</f>
        <v>123</v>
      </c>
      <c r="E1125" s="66">
        <f>IFERROR(__xludf.DUMMYFUNCTION("""COMPUTED_VALUE"""),11.0)</f>
        <v>11</v>
      </c>
      <c r="F1125" s="67" t="str">
        <f>IFERROR(__xludf.DUMMYFUNCTION("""COMPUTED_VALUE"""),"https://www.google.com/maps/search/?api=1&amp;query=-30.8995816437679,-55.5359273132256")</f>
        <v>https://www.google.com/maps/search/?api=1&amp;query=-30.8995816437679,-55.5359273132256</v>
      </c>
      <c r="G1125" s="68" t="str">
        <f>IFERROR(__xludf.DUMMYFUNCTION("""COMPUTED_VALUE"""),"https://earth.google.com/web/search/-30.8995816437679,-55.5359273132256")</f>
        <v>https://earth.google.com/web/search/-30.8995816437679,-55.5359273132256</v>
      </c>
      <c r="H1125" s="64"/>
      <c r="I1125" s="64"/>
      <c r="J1125" s="64"/>
      <c r="K1125" s="64"/>
      <c r="L1125" s="64"/>
      <c r="M1125" s="64"/>
      <c r="N1125" s="64"/>
      <c r="O1125" s="64"/>
      <c r="P1125" s="64"/>
      <c r="Q1125" s="64"/>
      <c r="R1125" s="64"/>
      <c r="S1125" s="64"/>
      <c r="T1125" s="64"/>
      <c r="U1125" s="64"/>
      <c r="V1125" s="64"/>
      <c r="W1125" s="64"/>
      <c r="X1125" s="64"/>
      <c r="Y1125" s="64"/>
      <c r="Z1125" s="64"/>
    </row>
    <row r="1126">
      <c r="A1126" s="69" t="str">
        <f>IFERROR(__xludf.DUMMYFUNCTION("""COMPUTED_VALUE"""),"-3.0899667827062")</f>
        <v>-3.0899667827062</v>
      </c>
      <c r="B1126" s="61" t="str">
        <f>IFERROR(__xludf.DUMMYFUNCTION("""COMPUTED_VALUE"""),"-55.5359940727543")</f>
        <v>-55.5359940727543</v>
      </c>
      <c r="C1126" s="61">
        <f>IFERROR(__xludf.DUMMYFUNCTION("""COMPUTED_VALUE"""),1.0)</f>
        <v>1</v>
      </c>
      <c r="D1126" s="61">
        <f>IFERROR(__xludf.DUMMYFUNCTION("""COMPUTED_VALUE"""),123.0)</f>
        <v>123</v>
      </c>
      <c r="E1126" s="61">
        <f>IFERROR(__xludf.DUMMYFUNCTION("""COMPUTED_VALUE"""),12.0)</f>
        <v>12</v>
      </c>
      <c r="F1126" s="62" t="str">
        <f>IFERROR(__xludf.DUMMYFUNCTION("""COMPUTED_VALUE"""),"https://www.google.com/maps/search/?api=1&amp;query=-3.0899667827062,-55.5359940727543")</f>
        <v>https://www.google.com/maps/search/?api=1&amp;query=-3.0899667827062,-55.5359940727543</v>
      </c>
      <c r="G1126" s="63" t="str">
        <f>IFERROR(__xludf.DUMMYFUNCTION("""COMPUTED_VALUE"""),"https://earth.google.com/web/search/-3.0899667827062,-55.5359940727543")</f>
        <v>https://earth.google.com/web/search/-3.0899667827062,-55.5359940727543</v>
      </c>
      <c r="H1126" s="64"/>
      <c r="I1126" s="64"/>
      <c r="J1126" s="64"/>
      <c r="K1126" s="64"/>
      <c r="L1126" s="64"/>
      <c r="M1126" s="64"/>
      <c r="N1126" s="64"/>
      <c r="O1126" s="64"/>
      <c r="P1126" s="64"/>
      <c r="Q1126" s="64"/>
      <c r="R1126" s="64"/>
      <c r="S1126" s="64"/>
      <c r="T1126" s="64"/>
      <c r="U1126" s="64"/>
      <c r="V1126" s="64"/>
      <c r="W1126" s="64"/>
      <c r="X1126" s="64"/>
      <c r="Y1126" s="64"/>
      <c r="Z1126" s="64"/>
    </row>
    <row r="1127">
      <c r="A1127" s="65" t="str">
        <f>IFERROR(__xludf.DUMMYFUNCTION("""COMPUTED_VALUE"""),"-30.8997110449716")</f>
        <v>-30.8997110449716</v>
      </c>
      <c r="B1127" s="66" t="str">
        <f>IFERROR(__xludf.DUMMYFUNCTION("""COMPUTED_VALUE"""),"-55.5360244853794")</f>
        <v>-55.5360244853794</v>
      </c>
      <c r="C1127" s="66">
        <f>IFERROR(__xludf.DUMMYFUNCTION("""COMPUTED_VALUE"""),1.0)</f>
        <v>1</v>
      </c>
      <c r="D1127" s="66">
        <f>IFERROR(__xludf.DUMMYFUNCTION("""COMPUTED_VALUE"""),123.0)</f>
        <v>123</v>
      </c>
      <c r="E1127" s="66">
        <f>IFERROR(__xludf.DUMMYFUNCTION("""COMPUTED_VALUE"""),13.0)</f>
        <v>13</v>
      </c>
      <c r="F1127" s="67" t="str">
        <f>IFERROR(__xludf.DUMMYFUNCTION("""COMPUTED_VALUE"""),"https://www.google.com/maps/search/?api=1&amp;query=-30.8997110449716,-55.5360244853794")</f>
        <v>https://www.google.com/maps/search/?api=1&amp;query=-30.8997110449716,-55.5360244853794</v>
      </c>
      <c r="G1127" s="68" t="str">
        <f>IFERROR(__xludf.DUMMYFUNCTION("""COMPUTED_VALUE"""),"https://earth.google.com/web/search/-30.8997110449716,-55.5360244853794")</f>
        <v>https://earth.google.com/web/search/-30.8997110449716,-55.5360244853794</v>
      </c>
      <c r="H1127" s="64"/>
      <c r="I1127" s="64"/>
      <c r="J1127" s="64"/>
      <c r="K1127" s="64"/>
      <c r="L1127" s="64"/>
      <c r="M1127" s="64"/>
      <c r="N1127" s="64"/>
      <c r="O1127" s="64"/>
      <c r="P1127" s="64"/>
      <c r="Q1127" s="64"/>
      <c r="R1127" s="64"/>
      <c r="S1127" s="64"/>
      <c r="T1127" s="64"/>
      <c r="U1127" s="64"/>
      <c r="V1127" s="64"/>
      <c r="W1127" s="64"/>
      <c r="X1127" s="64"/>
      <c r="Y1127" s="64"/>
      <c r="Z1127" s="64"/>
    </row>
    <row r="1128">
      <c r="A1128" s="69" t="str">
        <f>IFERROR(__xludf.DUMMYFUNCTION("""COMPUTED_VALUE"""),"-30.8996828066695")</f>
        <v>-30.8996828066695</v>
      </c>
      <c r="B1128" s="61" t="str">
        <f>IFERROR(__xludf.DUMMYFUNCTION("""COMPUTED_VALUE"""),"-55.5361705267261")</f>
        <v>-55.5361705267261</v>
      </c>
      <c r="C1128" s="61">
        <f>IFERROR(__xludf.DUMMYFUNCTION("""COMPUTED_VALUE"""),1.0)</f>
        <v>1</v>
      </c>
      <c r="D1128" s="61">
        <f>IFERROR(__xludf.DUMMYFUNCTION("""COMPUTED_VALUE"""),123.0)</f>
        <v>123</v>
      </c>
      <c r="E1128" s="61">
        <f>IFERROR(__xludf.DUMMYFUNCTION("""COMPUTED_VALUE"""),14.0)</f>
        <v>14</v>
      </c>
      <c r="F1128" s="62" t="str">
        <f>IFERROR(__xludf.DUMMYFUNCTION("""COMPUTED_VALUE"""),"https://www.google.com/maps/search/?api=1&amp;query=-30.8996828066695,-55.5361705267261")</f>
        <v>https://www.google.com/maps/search/?api=1&amp;query=-30.8996828066695,-55.5361705267261</v>
      </c>
      <c r="G1128" s="63" t="str">
        <f>IFERROR(__xludf.DUMMYFUNCTION("""COMPUTED_VALUE"""),"https://earth.google.com/web/search/-30.8996828066695,-55.5361705267261")</f>
        <v>https://earth.google.com/web/search/-30.8996828066695,-55.5361705267261</v>
      </c>
      <c r="H1128" s="64"/>
      <c r="I1128" s="64"/>
      <c r="J1128" s="64"/>
      <c r="K1128" s="64"/>
      <c r="L1128" s="64"/>
      <c r="M1128" s="64"/>
      <c r="N1128" s="64"/>
      <c r="O1128" s="64"/>
      <c r="P1128" s="64"/>
      <c r="Q1128" s="64"/>
      <c r="R1128" s="64"/>
      <c r="S1128" s="64"/>
      <c r="T1128" s="64"/>
      <c r="U1128" s="64"/>
      <c r="V1128" s="64"/>
      <c r="W1128" s="64"/>
      <c r="X1128" s="64"/>
      <c r="Y1128" s="64"/>
      <c r="Z1128" s="64"/>
    </row>
    <row r="1129">
      <c r="A1129" s="65" t="str">
        <f>IFERROR(__xludf.DUMMYFUNCTION("""COMPUTED_VALUE"""),"-30.8996693462714")</f>
        <v>-30.8996693462714</v>
      </c>
      <c r="B1129" s="66" t="str">
        <f>IFERROR(__xludf.DUMMYFUNCTION("""COMPUTED_VALUE"""),"-55.5362159603479")</f>
        <v>-55.5362159603479</v>
      </c>
      <c r="C1129" s="66">
        <f>IFERROR(__xludf.DUMMYFUNCTION("""COMPUTED_VALUE"""),1.0)</f>
        <v>1</v>
      </c>
      <c r="D1129" s="66">
        <f>IFERROR(__xludf.DUMMYFUNCTION("""COMPUTED_VALUE"""),123.0)</f>
        <v>123</v>
      </c>
      <c r="E1129" s="66">
        <f>IFERROR(__xludf.DUMMYFUNCTION("""COMPUTED_VALUE"""),15.0)</f>
        <v>15</v>
      </c>
      <c r="F1129" s="67" t="str">
        <f>IFERROR(__xludf.DUMMYFUNCTION("""COMPUTED_VALUE"""),"https://www.google.com/maps/search/?api=1&amp;query=-30.8996693462714,-55.5362159603479")</f>
        <v>https://www.google.com/maps/search/?api=1&amp;query=-30.8996693462714,-55.5362159603479</v>
      </c>
      <c r="G1129" s="68" t="str">
        <f>IFERROR(__xludf.DUMMYFUNCTION("""COMPUTED_VALUE"""),"https://earth.google.com/web/search/-30.8996693462714,-55.5362159603479")</f>
        <v>https://earth.google.com/web/search/-30.8996693462714,-55.5362159603479</v>
      </c>
      <c r="H1129" s="64"/>
      <c r="I1129" s="64"/>
      <c r="J1129" s="64"/>
      <c r="K1129" s="64"/>
      <c r="L1129" s="64"/>
      <c r="M1129" s="64"/>
      <c r="N1129" s="64"/>
      <c r="O1129" s="64"/>
      <c r="P1129" s="64"/>
      <c r="Q1129" s="64"/>
      <c r="R1129" s="64"/>
      <c r="S1129" s="64"/>
      <c r="T1129" s="64"/>
      <c r="U1129" s="64"/>
      <c r="V1129" s="64"/>
      <c r="W1129" s="64"/>
      <c r="X1129" s="64"/>
      <c r="Y1129" s="64"/>
      <c r="Z1129" s="64"/>
    </row>
    <row r="1130">
      <c r="A1130" s="69" t="str">
        <f>IFERROR(__xludf.DUMMYFUNCTION("""COMPUTED_VALUE"""),"-3.0899592635948")</f>
        <v>-3.0899592635948</v>
      </c>
      <c r="B1130" s="61" t="str">
        <f>IFERROR(__xludf.DUMMYFUNCTION("""COMPUTED_VALUE"""),"-55.5363443643395")</f>
        <v>-55.5363443643395</v>
      </c>
      <c r="C1130" s="61">
        <f>IFERROR(__xludf.DUMMYFUNCTION("""COMPUTED_VALUE"""),1.0)</f>
        <v>1</v>
      </c>
      <c r="D1130" s="61">
        <f>IFERROR(__xludf.DUMMYFUNCTION("""COMPUTED_VALUE"""),123.0)</f>
        <v>123</v>
      </c>
      <c r="E1130" s="61">
        <f>IFERROR(__xludf.DUMMYFUNCTION("""COMPUTED_VALUE"""),16.0)</f>
        <v>16</v>
      </c>
      <c r="F1130" s="62" t="str">
        <f>IFERROR(__xludf.DUMMYFUNCTION("""COMPUTED_VALUE"""),"https://www.google.com/maps/search/?api=1&amp;query=-3.0899592635948,-55.5363443643395")</f>
        <v>https://www.google.com/maps/search/?api=1&amp;query=-3.0899592635948,-55.5363443643395</v>
      </c>
      <c r="G1130" s="63" t="str">
        <f>IFERROR(__xludf.DUMMYFUNCTION("""COMPUTED_VALUE"""),"https://earth.google.com/web/search/-3.0899592635948,-55.5363443643395")</f>
        <v>https://earth.google.com/web/search/-3.0899592635948,-55.5363443643395</v>
      </c>
      <c r="H1130" s="64"/>
      <c r="I1130" s="64"/>
      <c r="J1130" s="64"/>
      <c r="K1130" s="64"/>
      <c r="L1130" s="64"/>
      <c r="M1130" s="64"/>
      <c r="N1130" s="64"/>
      <c r="O1130" s="64"/>
      <c r="P1130" s="64"/>
      <c r="Q1130" s="64"/>
      <c r="R1130" s="64"/>
      <c r="S1130" s="64"/>
      <c r="T1130" s="64"/>
      <c r="U1130" s="64"/>
      <c r="V1130" s="64"/>
      <c r="W1130" s="64"/>
      <c r="X1130" s="64"/>
      <c r="Y1130" s="64"/>
      <c r="Z1130" s="64"/>
    </row>
    <row r="1131">
      <c r="A1131" s="65" t="str">
        <f>IFERROR(__xludf.DUMMYFUNCTION("""COMPUTED_VALUE"""),"-30.8995637699041")</f>
        <v>-30.8995637699041</v>
      </c>
      <c r="B1131" s="66" t="str">
        <f>IFERROR(__xludf.DUMMYFUNCTION("""COMPUTED_VALUE"""),"-55.5364051697746")</f>
        <v>-55.5364051697746</v>
      </c>
      <c r="C1131" s="66">
        <f>IFERROR(__xludf.DUMMYFUNCTION("""COMPUTED_VALUE"""),1.0)</f>
        <v>1</v>
      </c>
      <c r="D1131" s="66">
        <f>IFERROR(__xludf.DUMMYFUNCTION("""COMPUTED_VALUE"""),123.0)</f>
        <v>123</v>
      </c>
      <c r="E1131" s="66">
        <f>IFERROR(__xludf.DUMMYFUNCTION("""COMPUTED_VALUE"""),17.0)</f>
        <v>17</v>
      </c>
      <c r="F1131" s="67" t="str">
        <f>IFERROR(__xludf.DUMMYFUNCTION("""COMPUTED_VALUE"""),"https://www.google.com/maps/search/?api=1&amp;query=-30.8995637699041,-55.5364051697746")</f>
        <v>https://www.google.com/maps/search/?api=1&amp;query=-30.8995637699041,-55.5364051697746</v>
      </c>
      <c r="G1131" s="68" t="str">
        <f>IFERROR(__xludf.DUMMYFUNCTION("""COMPUTED_VALUE"""),"https://earth.google.com/web/search/-30.8995637699041,-55.5364051697746")</f>
        <v>https://earth.google.com/web/search/-30.8995637699041,-55.5364051697746</v>
      </c>
      <c r="H1131" s="64"/>
      <c r="I1131" s="64"/>
      <c r="J1131" s="64"/>
      <c r="K1131" s="64"/>
      <c r="L1131" s="64"/>
      <c r="M1131" s="64"/>
      <c r="N1131" s="64"/>
      <c r="O1131" s="64"/>
      <c r="P1131" s="64"/>
      <c r="Q1131" s="64"/>
      <c r="R1131" s="64"/>
      <c r="S1131" s="64"/>
      <c r="T1131" s="64"/>
      <c r="U1131" s="64"/>
      <c r="V1131" s="64"/>
      <c r="W1131" s="64"/>
      <c r="X1131" s="64"/>
      <c r="Y1131" s="64"/>
      <c r="Z1131" s="64"/>
    </row>
    <row r="1132">
      <c r="A1132" s="69" t="str">
        <f>IFERROR(__xludf.DUMMYFUNCTION("""COMPUTED_VALUE"""),"-30.8995295526835")</f>
        <v>-30.8995295526835</v>
      </c>
      <c r="B1132" s="61" t="str">
        <f>IFERROR(__xludf.DUMMYFUNCTION("""COMPUTED_VALUE"""),"-55.5364505755152")</f>
        <v>-55.5364505755152</v>
      </c>
      <c r="C1132" s="61">
        <f>IFERROR(__xludf.DUMMYFUNCTION("""COMPUTED_VALUE"""),1.0)</f>
        <v>1</v>
      </c>
      <c r="D1132" s="61">
        <f>IFERROR(__xludf.DUMMYFUNCTION("""COMPUTED_VALUE"""),123.0)</f>
        <v>123</v>
      </c>
      <c r="E1132" s="61">
        <f>IFERROR(__xludf.DUMMYFUNCTION("""COMPUTED_VALUE"""),18.0)</f>
        <v>18</v>
      </c>
      <c r="F1132" s="62" t="str">
        <f>IFERROR(__xludf.DUMMYFUNCTION("""COMPUTED_VALUE"""),"https://www.google.com/maps/search/?api=1&amp;query=-30.8995295526835,-55.5364505755152")</f>
        <v>https://www.google.com/maps/search/?api=1&amp;query=-30.8995295526835,-55.5364505755152</v>
      </c>
      <c r="G1132" s="63" t="str">
        <f>IFERROR(__xludf.DUMMYFUNCTION("""COMPUTED_VALUE"""),"https://earth.google.com/web/search/-30.8995295526835,-55.5364505755152")</f>
        <v>https://earth.google.com/web/search/-30.8995295526835,-55.5364505755152</v>
      </c>
      <c r="H1132" s="64"/>
      <c r="I1132" s="64"/>
      <c r="J1132" s="64"/>
      <c r="K1132" s="64"/>
      <c r="L1132" s="64"/>
      <c r="M1132" s="64"/>
      <c r="N1132" s="64"/>
      <c r="O1132" s="64"/>
      <c r="P1132" s="64"/>
      <c r="Q1132" s="64"/>
      <c r="R1132" s="64"/>
      <c r="S1132" s="64"/>
      <c r="T1132" s="64"/>
      <c r="U1132" s="64"/>
      <c r="V1132" s="64"/>
      <c r="W1132" s="64"/>
      <c r="X1132" s="64"/>
      <c r="Y1132" s="64"/>
      <c r="Z1132" s="64"/>
    </row>
    <row r="1133">
      <c r="A1133" s="65" t="str">
        <f>IFERROR(__xludf.DUMMYFUNCTION("""COMPUTED_VALUE"""),"-30.8995026840696")</f>
        <v>-30.8995026840696</v>
      </c>
      <c r="B1133" s="66" t="str">
        <f>IFERROR(__xludf.DUMMYFUNCTION("""COMPUTED_VALUE"""),"-55.5365076915064")</f>
        <v>-55.5365076915064</v>
      </c>
      <c r="C1133" s="66">
        <f>IFERROR(__xludf.DUMMYFUNCTION("""COMPUTED_VALUE"""),1.0)</f>
        <v>1</v>
      </c>
      <c r="D1133" s="66">
        <f>IFERROR(__xludf.DUMMYFUNCTION("""COMPUTED_VALUE"""),123.0)</f>
        <v>123</v>
      </c>
      <c r="E1133" s="66">
        <f>IFERROR(__xludf.DUMMYFUNCTION("""COMPUTED_VALUE"""),19.0)</f>
        <v>19</v>
      </c>
      <c r="F1133" s="67" t="str">
        <f>IFERROR(__xludf.DUMMYFUNCTION("""COMPUTED_VALUE"""),"https://www.google.com/maps/search/?api=1&amp;query=-30.8995026840696,-55.5365076915064")</f>
        <v>https://www.google.com/maps/search/?api=1&amp;query=-30.8995026840696,-55.5365076915064</v>
      </c>
      <c r="G1133" s="68" t="str">
        <f>IFERROR(__xludf.DUMMYFUNCTION("""COMPUTED_VALUE"""),"https://earth.google.com/web/search/-30.8995026840696,-55.5365076915064")</f>
        <v>https://earth.google.com/web/search/-30.8995026840696,-55.5365076915064</v>
      </c>
      <c r="H1133" s="64"/>
      <c r="I1133" s="64"/>
      <c r="J1133" s="64"/>
      <c r="K1133" s="64"/>
      <c r="L1133" s="64"/>
      <c r="M1133" s="64"/>
      <c r="N1133" s="64"/>
      <c r="O1133" s="64"/>
      <c r="P1133" s="64"/>
      <c r="Q1133" s="64"/>
      <c r="R1133" s="64"/>
      <c r="S1133" s="64"/>
      <c r="T1133" s="64"/>
      <c r="U1133" s="64"/>
      <c r="V1133" s="64"/>
      <c r="W1133" s="64"/>
      <c r="X1133" s="64"/>
      <c r="Y1133" s="64"/>
      <c r="Z1133" s="64"/>
    </row>
    <row r="1134">
      <c r="A1134" s="69" t="str">
        <f>IFERROR(__xludf.DUMMYFUNCTION("""COMPUTED_VALUE"""),"-30.8994395609662")</f>
        <v>-30.8994395609662</v>
      </c>
      <c r="B1134" s="61" t="str">
        <f>IFERROR(__xludf.DUMMYFUNCTION("""COMPUTED_VALUE"""),"-55.5366278137268")</f>
        <v>-55.5366278137268</v>
      </c>
      <c r="C1134" s="61">
        <f>IFERROR(__xludf.DUMMYFUNCTION("""COMPUTED_VALUE"""),1.0)</f>
        <v>1</v>
      </c>
      <c r="D1134" s="61">
        <f>IFERROR(__xludf.DUMMYFUNCTION("""COMPUTED_VALUE"""),123.0)</f>
        <v>123</v>
      </c>
      <c r="E1134" s="61">
        <f>IFERROR(__xludf.DUMMYFUNCTION("""COMPUTED_VALUE"""),20.0)</f>
        <v>20</v>
      </c>
      <c r="F1134" s="62" t="str">
        <f>IFERROR(__xludf.DUMMYFUNCTION("""COMPUTED_VALUE"""),"https://www.google.com/maps/search/?api=1&amp;query=-30.8994395609662,-55.5366278137268")</f>
        <v>https://www.google.com/maps/search/?api=1&amp;query=-30.8994395609662,-55.5366278137268</v>
      </c>
      <c r="G1134" s="63" t="str">
        <f>IFERROR(__xludf.DUMMYFUNCTION("""COMPUTED_VALUE"""),"https://earth.google.com/web/search/-30.8994395609662,-55.5366278137268")</f>
        <v>https://earth.google.com/web/search/-30.8994395609662,-55.5366278137268</v>
      </c>
      <c r="H1134" s="64"/>
      <c r="I1134" s="64"/>
      <c r="J1134" s="64"/>
      <c r="K1134" s="64"/>
      <c r="L1134" s="64"/>
      <c r="M1134" s="64"/>
      <c r="N1134" s="64"/>
      <c r="O1134" s="64"/>
      <c r="P1134" s="64"/>
      <c r="Q1134" s="64"/>
      <c r="R1134" s="64"/>
      <c r="S1134" s="64"/>
      <c r="T1134" s="64"/>
      <c r="U1134" s="64"/>
      <c r="V1134" s="64"/>
      <c r="W1134" s="64"/>
      <c r="X1134" s="64"/>
      <c r="Y1134" s="64"/>
      <c r="Z1134" s="64"/>
    </row>
    <row r="1135">
      <c r="A1135" s="65" t="str">
        <f>IFERROR(__xludf.DUMMYFUNCTION("""COMPUTED_VALUE"""),"-30.8993935564574")</f>
        <v>-30.8993935564574</v>
      </c>
      <c r="B1135" s="66" t="str">
        <f>IFERROR(__xludf.DUMMYFUNCTION("""COMPUTED_VALUE"""),"-55.5367084877386")</f>
        <v>-55.5367084877386</v>
      </c>
      <c r="C1135" s="66">
        <f>IFERROR(__xludf.DUMMYFUNCTION("""COMPUTED_VALUE"""),1.0)</f>
        <v>1</v>
      </c>
      <c r="D1135" s="66">
        <f>IFERROR(__xludf.DUMMYFUNCTION("""COMPUTED_VALUE"""),123.0)</f>
        <v>123</v>
      </c>
      <c r="E1135" s="66">
        <f>IFERROR(__xludf.DUMMYFUNCTION("""COMPUTED_VALUE"""),21.0)</f>
        <v>21</v>
      </c>
      <c r="F1135" s="67" t="str">
        <f>IFERROR(__xludf.DUMMYFUNCTION("""COMPUTED_VALUE"""),"https://www.google.com/maps/search/?api=1&amp;query=-30.8993935564574,-55.5367084877386")</f>
        <v>https://www.google.com/maps/search/?api=1&amp;query=-30.8993935564574,-55.5367084877386</v>
      </c>
      <c r="G1135" s="68" t="str">
        <f>IFERROR(__xludf.DUMMYFUNCTION("""COMPUTED_VALUE"""),"https://earth.google.com/web/search/-30.8993935564574,-55.5367084877386")</f>
        <v>https://earth.google.com/web/search/-30.8993935564574,-55.5367084877386</v>
      </c>
      <c r="H1135" s="64"/>
      <c r="I1135" s="64"/>
      <c r="J1135" s="64"/>
      <c r="K1135" s="64"/>
      <c r="L1135" s="64"/>
      <c r="M1135" s="64"/>
      <c r="N1135" s="64"/>
      <c r="O1135" s="64"/>
      <c r="P1135" s="64"/>
      <c r="Q1135" s="64"/>
      <c r="R1135" s="64"/>
      <c r="S1135" s="64"/>
      <c r="T1135" s="64"/>
      <c r="U1135" s="64"/>
      <c r="V1135" s="64"/>
      <c r="W1135" s="64"/>
      <c r="X1135" s="64"/>
      <c r="Y1135" s="64"/>
      <c r="Z1135" s="64"/>
    </row>
    <row r="1136">
      <c r="A1136" s="69" t="str">
        <f>IFERROR(__xludf.DUMMYFUNCTION("""COMPUTED_VALUE"""),"-30.8993312874459")</f>
        <v>-30.8993312874459</v>
      </c>
      <c r="B1136" s="61" t="str">
        <f>IFERROR(__xludf.DUMMYFUNCTION("""COMPUTED_VALUE"""),"-55.5368351734478")</f>
        <v>-55.5368351734478</v>
      </c>
      <c r="C1136" s="61">
        <f>IFERROR(__xludf.DUMMYFUNCTION("""COMPUTED_VALUE"""),1.0)</f>
        <v>1</v>
      </c>
      <c r="D1136" s="61">
        <f>IFERROR(__xludf.DUMMYFUNCTION("""COMPUTED_VALUE"""),123.0)</f>
        <v>123</v>
      </c>
      <c r="E1136" s="61">
        <f>IFERROR(__xludf.DUMMYFUNCTION("""COMPUTED_VALUE"""),22.0)</f>
        <v>22</v>
      </c>
      <c r="F1136" s="62" t="str">
        <f>IFERROR(__xludf.DUMMYFUNCTION("""COMPUTED_VALUE"""),"https://www.google.com/maps/search/?api=1&amp;query=-30.8993312874459,-55.5368351734478")</f>
        <v>https://www.google.com/maps/search/?api=1&amp;query=-30.8993312874459,-55.5368351734478</v>
      </c>
      <c r="G1136" s="63" t="str">
        <f>IFERROR(__xludf.DUMMYFUNCTION("""COMPUTED_VALUE"""),"https://earth.google.com/web/search/-30.8993312874459,-55.5368351734478")</f>
        <v>https://earth.google.com/web/search/-30.8993312874459,-55.5368351734478</v>
      </c>
      <c r="H1136" s="64"/>
      <c r="I1136" s="64"/>
      <c r="J1136" s="64"/>
      <c r="K1136" s="64"/>
      <c r="L1136" s="64"/>
      <c r="M1136" s="64"/>
      <c r="N1136" s="64"/>
      <c r="O1136" s="64"/>
      <c r="P1136" s="64"/>
      <c r="Q1136" s="64"/>
      <c r="R1136" s="64"/>
      <c r="S1136" s="64"/>
      <c r="T1136" s="64"/>
      <c r="U1136" s="64"/>
      <c r="V1136" s="64"/>
      <c r="W1136" s="64"/>
      <c r="X1136" s="64"/>
      <c r="Y1136" s="64"/>
      <c r="Z1136" s="64"/>
    </row>
    <row r="1137">
      <c r="A1137" s="65" t="str">
        <f>IFERROR(__xludf.DUMMYFUNCTION("""COMPUTED_VALUE"""),"-30.8992462474534")</f>
        <v>-30.8992462474534</v>
      </c>
      <c r="B1137" s="66" t="str">
        <f>IFERROR(__xludf.DUMMYFUNCTION("""COMPUTED_VALUE"""),"-55.5368169692202")</f>
        <v>-55.5368169692202</v>
      </c>
      <c r="C1137" s="66">
        <f>IFERROR(__xludf.DUMMYFUNCTION("""COMPUTED_VALUE"""),1.0)</f>
        <v>1</v>
      </c>
      <c r="D1137" s="66">
        <f>IFERROR(__xludf.DUMMYFUNCTION("""COMPUTED_VALUE"""),123.0)</f>
        <v>123</v>
      </c>
      <c r="E1137" s="66">
        <f>IFERROR(__xludf.DUMMYFUNCTION("""COMPUTED_VALUE"""),24.0)</f>
        <v>24</v>
      </c>
      <c r="F1137" s="67" t="str">
        <f>IFERROR(__xludf.DUMMYFUNCTION("""COMPUTED_VALUE"""),"https://www.google.com/maps/search/?api=1&amp;query=-30.8992462474534,-55.5368169692202")</f>
        <v>https://www.google.com/maps/search/?api=1&amp;query=-30.8992462474534,-55.5368169692202</v>
      </c>
      <c r="G1137" s="68" t="str">
        <f>IFERROR(__xludf.DUMMYFUNCTION("""COMPUTED_VALUE"""),"https://earth.google.com/web/search/-30.8992462474534,-55.5368169692202")</f>
        <v>https://earth.google.com/web/search/-30.8992462474534,-55.5368169692202</v>
      </c>
      <c r="H1137" s="64"/>
      <c r="I1137" s="64"/>
      <c r="J1137" s="64"/>
      <c r="K1137" s="64"/>
      <c r="L1137" s="64"/>
      <c r="M1137" s="64"/>
      <c r="N1137" s="64"/>
      <c r="O1137" s="64"/>
      <c r="P1137" s="64"/>
      <c r="Q1137" s="64"/>
      <c r="R1137" s="64"/>
      <c r="S1137" s="64"/>
      <c r="T1137" s="64"/>
      <c r="U1137" s="64"/>
      <c r="V1137" s="64"/>
      <c r="W1137" s="64"/>
      <c r="X1137" s="64"/>
      <c r="Y1137" s="64"/>
      <c r="Z1137" s="64"/>
    </row>
    <row r="1138">
      <c r="A1138" s="69" t="str">
        <f>IFERROR(__xludf.DUMMYFUNCTION("""COMPUTED_VALUE"""),"-30.8991743877247")</f>
        <v>-30.8991743877247</v>
      </c>
      <c r="B1138" s="61" t="str">
        <f>IFERROR(__xludf.DUMMYFUNCTION("""COMPUTED_VALUE"""),"-55.5367662457434")</f>
        <v>-55.5367662457434</v>
      </c>
      <c r="C1138" s="61">
        <f>IFERROR(__xludf.DUMMYFUNCTION("""COMPUTED_VALUE"""),1.0)</f>
        <v>1</v>
      </c>
      <c r="D1138" s="61">
        <f>IFERROR(__xludf.DUMMYFUNCTION("""COMPUTED_VALUE"""),123.0)</f>
        <v>123</v>
      </c>
      <c r="E1138" s="61">
        <f>IFERROR(__xludf.DUMMYFUNCTION("""COMPUTED_VALUE"""),25.0)</f>
        <v>25</v>
      </c>
      <c r="F1138" s="62" t="str">
        <f>IFERROR(__xludf.DUMMYFUNCTION("""COMPUTED_VALUE"""),"https://www.google.com/maps/search/?api=1&amp;query=-30.8991743877247,-55.5367662457434")</f>
        <v>https://www.google.com/maps/search/?api=1&amp;query=-30.8991743877247,-55.5367662457434</v>
      </c>
      <c r="G1138" s="63" t="str">
        <f>IFERROR(__xludf.DUMMYFUNCTION("""COMPUTED_VALUE"""),"https://earth.google.com/web/search/-30.8991743877247,-55.5367662457434")</f>
        <v>https://earth.google.com/web/search/-30.8991743877247,-55.5367662457434</v>
      </c>
      <c r="H1138" s="64"/>
      <c r="I1138" s="64"/>
      <c r="J1138" s="64"/>
      <c r="K1138" s="64"/>
      <c r="L1138" s="64"/>
      <c r="M1138" s="64"/>
      <c r="N1138" s="64"/>
      <c r="O1138" s="64"/>
      <c r="P1138" s="64"/>
      <c r="Q1138" s="64"/>
      <c r="R1138" s="64"/>
      <c r="S1138" s="64"/>
      <c r="T1138" s="64"/>
      <c r="U1138" s="64"/>
      <c r="V1138" s="64"/>
      <c r="W1138" s="64"/>
      <c r="X1138" s="64"/>
      <c r="Y1138" s="64"/>
      <c r="Z1138" s="64"/>
    </row>
    <row r="1139">
      <c r="A1139" s="65" t="str">
        <f>IFERROR(__xludf.DUMMYFUNCTION("""COMPUTED_VALUE"""),"-30.8991175275474")</f>
        <v>-30.8991175275474</v>
      </c>
      <c r="B1139" s="66" t="str">
        <f>IFERROR(__xludf.DUMMYFUNCTION("""COMPUTED_VALUE"""),"-55.5367111694036")</f>
        <v>-55.5367111694036</v>
      </c>
      <c r="C1139" s="66">
        <f>IFERROR(__xludf.DUMMYFUNCTION("""COMPUTED_VALUE"""),1.0)</f>
        <v>1</v>
      </c>
      <c r="D1139" s="66">
        <f>IFERROR(__xludf.DUMMYFUNCTION("""COMPUTED_VALUE"""),123.0)</f>
        <v>123</v>
      </c>
      <c r="E1139" s="66">
        <f>IFERROR(__xludf.DUMMYFUNCTION("""COMPUTED_VALUE"""),26.0)</f>
        <v>26</v>
      </c>
      <c r="F1139" s="67" t="str">
        <f>IFERROR(__xludf.DUMMYFUNCTION("""COMPUTED_VALUE"""),"https://www.google.com/maps/search/?api=1&amp;query=-30.8991175275474,-55.5367111694036")</f>
        <v>https://www.google.com/maps/search/?api=1&amp;query=-30.8991175275474,-55.5367111694036</v>
      </c>
      <c r="G1139" s="68" t="str">
        <f>IFERROR(__xludf.DUMMYFUNCTION("""COMPUTED_VALUE"""),"https://earth.google.com/web/search/-30.8991175275474,-55.5367111694036")</f>
        <v>https://earth.google.com/web/search/-30.8991175275474,-55.5367111694036</v>
      </c>
      <c r="H1139" s="64"/>
      <c r="I1139" s="64"/>
      <c r="J1139" s="64"/>
      <c r="K1139" s="64"/>
      <c r="L1139" s="64"/>
      <c r="M1139" s="64"/>
      <c r="N1139" s="64"/>
      <c r="O1139" s="64"/>
      <c r="P1139" s="64"/>
      <c r="Q1139" s="64"/>
      <c r="R1139" s="64"/>
      <c r="S1139" s="64"/>
      <c r="T1139" s="64"/>
      <c r="U1139" s="64"/>
      <c r="V1139" s="64"/>
      <c r="W1139" s="64"/>
      <c r="X1139" s="64"/>
      <c r="Y1139" s="64"/>
      <c r="Z1139" s="64"/>
    </row>
    <row r="1140">
      <c r="A1140" s="69" t="str">
        <f>IFERROR(__xludf.DUMMYFUNCTION("""COMPUTED_VALUE"""),"-0.3089900739035")</f>
        <v>-0.3089900739035</v>
      </c>
      <c r="B1140" s="61" t="str">
        <f>IFERROR(__xludf.DUMMYFUNCTION("""COMPUTED_VALUE"""),"-55.5366443176832")</f>
        <v>-55.5366443176832</v>
      </c>
      <c r="C1140" s="61">
        <f>IFERROR(__xludf.DUMMYFUNCTION("""COMPUTED_VALUE"""),1.0)</f>
        <v>1</v>
      </c>
      <c r="D1140" s="61">
        <f>IFERROR(__xludf.DUMMYFUNCTION("""COMPUTED_VALUE"""),123.0)</f>
        <v>123</v>
      </c>
      <c r="E1140" s="61">
        <f>IFERROR(__xludf.DUMMYFUNCTION("""COMPUTED_VALUE"""),27.0)</f>
        <v>27</v>
      </c>
      <c r="F1140" s="62" t="str">
        <f>IFERROR(__xludf.DUMMYFUNCTION("""COMPUTED_VALUE"""),"https://www.google.com/maps/search/?api=1&amp;query=-0.3089900739035,-55.5366443176832")</f>
        <v>https://www.google.com/maps/search/?api=1&amp;query=-0.3089900739035,-55.5366443176832</v>
      </c>
      <c r="G1140" s="63" t="str">
        <f>IFERROR(__xludf.DUMMYFUNCTION("""COMPUTED_VALUE"""),"https://earth.google.com/web/search/-0.3089900739035,-55.5366443176832")</f>
        <v>https://earth.google.com/web/search/-0.3089900739035,-55.5366443176832</v>
      </c>
      <c r="H1140" s="64"/>
      <c r="I1140" s="64"/>
      <c r="J1140" s="64"/>
      <c r="K1140" s="64"/>
      <c r="L1140" s="64"/>
      <c r="M1140" s="64"/>
      <c r="N1140" s="64"/>
      <c r="O1140" s="64"/>
      <c r="P1140" s="64"/>
      <c r="Q1140" s="64"/>
      <c r="R1140" s="64"/>
      <c r="S1140" s="64"/>
      <c r="T1140" s="64"/>
      <c r="U1140" s="64"/>
      <c r="V1140" s="64"/>
      <c r="W1140" s="64"/>
      <c r="X1140" s="64"/>
      <c r="Y1140" s="64"/>
      <c r="Z1140" s="64"/>
    </row>
    <row r="1141">
      <c r="A1141" s="65" t="str">
        <f>IFERROR(__xludf.DUMMYFUNCTION("""COMPUTED_VALUE"""),"-30.8988921923372")</f>
        <v>-30.8988921923372</v>
      </c>
      <c r="B1141" s="66" t="str">
        <f>IFERROR(__xludf.DUMMYFUNCTION("""COMPUTED_VALUE"""),"-55.5365559588614")</f>
        <v>-55.5365559588614</v>
      </c>
      <c r="C1141" s="66">
        <f>IFERROR(__xludf.DUMMYFUNCTION("""COMPUTED_VALUE"""),1.0)</f>
        <v>1</v>
      </c>
      <c r="D1141" s="66">
        <f>IFERROR(__xludf.DUMMYFUNCTION("""COMPUTED_VALUE"""),123.0)</f>
        <v>123</v>
      </c>
      <c r="E1141" s="66">
        <f>IFERROR(__xludf.DUMMYFUNCTION("""COMPUTED_VALUE"""),28.0)</f>
        <v>28</v>
      </c>
      <c r="F1141" s="67" t="str">
        <f>IFERROR(__xludf.DUMMYFUNCTION("""COMPUTED_VALUE"""),"https://www.google.com/maps/search/?api=1&amp;query=-30.8988921923372,-55.5365559588614")</f>
        <v>https://www.google.com/maps/search/?api=1&amp;query=-30.8988921923372,-55.5365559588614</v>
      </c>
      <c r="G1141" s="68" t="str">
        <f>IFERROR(__xludf.DUMMYFUNCTION("""COMPUTED_VALUE"""),"https://earth.google.com/web/search/-30.8988921923372,-55.5365559588614")</f>
        <v>https://earth.google.com/web/search/-30.8988921923372,-55.5365559588614</v>
      </c>
      <c r="H1141" s="64"/>
      <c r="I1141" s="64"/>
      <c r="J1141" s="64"/>
      <c r="K1141" s="64"/>
      <c r="L1141" s="64"/>
      <c r="M1141" s="64"/>
      <c r="N1141" s="64"/>
      <c r="O1141" s="64"/>
      <c r="P1141" s="64"/>
      <c r="Q1141" s="64"/>
      <c r="R1141" s="64"/>
      <c r="S1141" s="64"/>
      <c r="T1141" s="64"/>
      <c r="U1141" s="64"/>
      <c r="V1141" s="64"/>
      <c r="W1141" s="64"/>
      <c r="X1141" s="64"/>
      <c r="Y1141" s="64"/>
      <c r="Z1141" s="64"/>
    </row>
    <row r="1142">
      <c r="A1142" s="69" t="str">
        <f>IFERROR(__xludf.DUMMYFUNCTION("""COMPUTED_VALUE"""),"-30.8988277640357")</f>
        <v>-30.8988277640357</v>
      </c>
      <c r="B1142" s="61" t="str">
        <f>IFERROR(__xludf.DUMMYFUNCTION("""COMPUTED_VALUE"""),"-55.5365192895829")</f>
        <v>-55.5365192895829</v>
      </c>
      <c r="C1142" s="61">
        <f>IFERROR(__xludf.DUMMYFUNCTION("""COMPUTED_VALUE"""),1.0)</f>
        <v>1</v>
      </c>
      <c r="D1142" s="61">
        <f>IFERROR(__xludf.DUMMYFUNCTION("""COMPUTED_VALUE"""),123.0)</f>
        <v>123</v>
      </c>
      <c r="E1142" s="61">
        <f>IFERROR(__xludf.DUMMYFUNCTION("""COMPUTED_VALUE"""),29.0)</f>
        <v>29</v>
      </c>
      <c r="F1142" s="62" t="str">
        <f>IFERROR(__xludf.DUMMYFUNCTION("""COMPUTED_VALUE"""),"https://www.google.com/maps/search/?api=1&amp;query=-30.8988277640357,-55.5365192895829")</f>
        <v>https://www.google.com/maps/search/?api=1&amp;query=-30.8988277640357,-55.5365192895829</v>
      </c>
      <c r="G1142" s="63" t="str">
        <f>IFERROR(__xludf.DUMMYFUNCTION("""COMPUTED_VALUE"""),"https://earth.google.com/web/search/-30.8988277640357,-55.5365192895829")</f>
        <v>https://earth.google.com/web/search/-30.8988277640357,-55.5365192895829</v>
      </c>
      <c r="H1142" s="64"/>
      <c r="I1142" s="64"/>
      <c r="J1142" s="64"/>
      <c r="K1142" s="64"/>
      <c r="L1142" s="64"/>
      <c r="M1142" s="64"/>
      <c r="N1142" s="64"/>
      <c r="O1142" s="64"/>
      <c r="P1142" s="64"/>
      <c r="Q1142" s="64"/>
      <c r="R1142" s="64"/>
      <c r="S1142" s="64"/>
      <c r="T1142" s="64"/>
      <c r="U1142" s="64"/>
      <c r="V1142" s="64"/>
      <c r="W1142" s="64"/>
      <c r="X1142" s="64"/>
      <c r="Y1142" s="64"/>
      <c r="Z1142" s="64"/>
    </row>
    <row r="1143">
      <c r="A1143" s="65" t="str">
        <f>IFERROR(__xludf.DUMMYFUNCTION("""COMPUTED_VALUE"""),"-30.8985999992021")</f>
        <v>-30.8985999992021</v>
      </c>
      <c r="B1143" s="66" t="str">
        <f>IFERROR(__xludf.DUMMYFUNCTION("""COMPUTED_VALUE"""),"-55.5375949088732")</f>
        <v>-55.5375949088732</v>
      </c>
      <c r="C1143" s="66">
        <f>IFERROR(__xludf.DUMMYFUNCTION("""COMPUTED_VALUE"""),1.0)</f>
        <v>1</v>
      </c>
      <c r="D1143" s="66">
        <f>IFERROR(__xludf.DUMMYFUNCTION("""COMPUTED_VALUE"""),122.0)</f>
        <v>122</v>
      </c>
      <c r="E1143" s="66">
        <f>IFERROR(__xludf.DUMMYFUNCTION("""COMPUTED_VALUE"""),1.0)</f>
        <v>1</v>
      </c>
      <c r="F1143" s="67" t="str">
        <f>IFERROR(__xludf.DUMMYFUNCTION("""COMPUTED_VALUE"""),"https://www.google.com/maps/search/?api=1&amp;query=-30.8985999992021,-55.5375949088732")</f>
        <v>https://www.google.com/maps/search/?api=1&amp;query=-30.8985999992021,-55.5375949088732</v>
      </c>
      <c r="G1143" s="68" t="str">
        <f>IFERROR(__xludf.DUMMYFUNCTION("""COMPUTED_VALUE"""),"https://earth.google.com/web/search/-30.8985999992021,-55.5375949088732")</f>
        <v>https://earth.google.com/web/search/-30.8985999992021,-55.5375949088732</v>
      </c>
      <c r="H1143" s="64"/>
      <c r="I1143" s="64"/>
      <c r="J1143" s="64"/>
      <c r="K1143" s="64"/>
      <c r="L1143" s="64"/>
      <c r="M1143" s="64"/>
      <c r="N1143" s="64"/>
      <c r="O1143" s="64"/>
      <c r="P1143" s="64"/>
      <c r="Q1143" s="64"/>
      <c r="R1143" s="64"/>
      <c r="S1143" s="64"/>
      <c r="T1143" s="64"/>
      <c r="U1143" s="64"/>
      <c r="V1143" s="64"/>
      <c r="W1143" s="64"/>
      <c r="X1143" s="64"/>
      <c r="Y1143" s="64"/>
      <c r="Z1143" s="64"/>
    </row>
    <row r="1144">
      <c r="A1144" s="69" t="str">
        <f>IFERROR(__xludf.DUMMYFUNCTION("""COMPUTED_VALUE"""),"-30.8984459312735")</f>
        <v>-30.8984459312735</v>
      </c>
      <c r="B1144" s="61" t="str">
        <f>IFERROR(__xludf.DUMMYFUNCTION("""COMPUTED_VALUE"""),"-55.5366306758604")</f>
        <v>-55.5366306758604</v>
      </c>
      <c r="C1144" s="61">
        <f>IFERROR(__xludf.DUMMYFUNCTION("""COMPUTED_VALUE"""),1.0)</f>
        <v>1</v>
      </c>
      <c r="D1144" s="61">
        <f>IFERROR(__xludf.DUMMYFUNCTION("""COMPUTED_VALUE"""),122.0)</f>
        <v>122</v>
      </c>
      <c r="E1144" s="61">
        <f>IFERROR(__xludf.DUMMYFUNCTION("""COMPUTED_VALUE"""),2.0)</f>
        <v>2</v>
      </c>
      <c r="F1144" s="62" t="str">
        <f>IFERROR(__xludf.DUMMYFUNCTION("""COMPUTED_VALUE"""),"https://www.google.com/maps/search/?api=1&amp;query=-30.8984459312735,-55.5366306758604")</f>
        <v>https://www.google.com/maps/search/?api=1&amp;query=-30.8984459312735,-55.5366306758604</v>
      </c>
      <c r="G1144" s="63" t="str">
        <f>IFERROR(__xludf.DUMMYFUNCTION("""COMPUTED_VALUE"""),"https://earth.google.com/web/search/-30.8984459312735,-55.5366306758604")</f>
        <v>https://earth.google.com/web/search/-30.8984459312735,-55.5366306758604</v>
      </c>
      <c r="H1144" s="64"/>
      <c r="I1144" s="64"/>
      <c r="J1144" s="64"/>
      <c r="K1144" s="64"/>
      <c r="L1144" s="64"/>
      <c r="M1144" s="64"/>
      <c r="N1144" s="64"/>
      <c r="O1144" s="64"/>
      <c r="P1144" s="64"/>
      <c r="Q1144" s="64"/>
      <c r="R1144" s="64"/>
      <c r="S1144" s="64"/>
      <c r="T1144" s="64"/>
      <c r="U1144" s="64"/>
      <c r="V1144" s="64"/>
      <c r="W1144" s="64"/>
      <c r="X1144" s="64"/>
      <c r="Y1144" s="64"/>
      <c r="Z1144" s="64"/>
    </row>
    <row r="1145">
      <c r="A1145" s="65" t="str">
        <f>IFERROR(__xludf.DUMMYFUNCTION("""COMPUTED_VALUE"""),"-3.0898459950825")</f>
        <v>-3.0898459950825</v>
      </c>
      <c r="B1145" s="66" t="str">
        <f>IFERROR(__xludf.DUMMYFUNCTION("""COMPUTED_VALUE"""),"-5.5536595391157")</f>
        <v>-5.5536595391157</v>
      </c>
      <c r="C1145" s="66">
        <f>IFERROR(__xludf.DUMMYFUNCTION("""COMPUTED_VALUE"""),1.0)</f>
        <v>1</v>
      </c>
      <c r="D1145" s="66">
        <f>IFERROR(__xludf.DUMMYFUNCTION("""COMPUTED_VALUE"""),122.0)</f>
        <v>122</v>
      </c>
      <c r="E1145" s="66">
        <f>IFERROR(__xludf.DUMMYFUNCTION("""COMPUTED_VALUE"""),3.0)</f>
        <v>3</v>
      </c>
      <c r="F1145" s="67" t="str">
        <f>IFERROR(__xludf.DUMMYFUNCTION("""COMPUTED_VALUE"""),"https://www.google.com/maps/search/?api=1&amp;query=-3.0898459950825,-5.5536595391157")</f>
        <v>https://www.google.com/maps/search/?api=1&amp;query=-3.0898459950825,-5.5536595391157</v>
      </c>
      <c r="G1145" s="68" t="str">
        <f>IFERROR(__xludf.DUMMYFUNCTION("""COMPUTED_VALUE"""),"https://earth.google.com/web/search/-3.0898459950825,-5.5536595391157")</f>
        <v>https://earth.google.com/web/search/-3.0898459950825,-5.5536595391157</v>
      </c>
      <c r="H1145" s="64"/>
      <c r="I1145" s="64"/>
      <c r="J1145" s="64"/>
      <c r="K1145" s="64"/>
      <c r="L1145" s="64"/>
      <c r="M1145" s="64"/>
      <c r="N1145" s="64"/>
      <c r="O1145" s="64"/>
      <c r="P1145" s="64"/>
      <c r="Q1145" s="64"/>
      <c r="R1145" s="64"/>
      <c r="S1145" s="64"/>
      <c r="T1145" s="64"/>
      <c r="U1145" s="64"/>
      <c r="V1145" s="64"/>
      <c r="W1145" s="64"/>
      <c r="X1145" s="64"/>
      <c r="Y1145" s="64"/>
      <c r="Z1145" s="64"/>
    </row>
    <row r="1146">
      <c r="A1146" s="69" t="str">
        <f>IFERROR(__xludf.DUMMYFUNCTION("""COMPUTED_VALUE"""),"-30.8984925490229")</f>
        <v>-30.8984925490229</v>
      </c>
      <c r="B1146" s="61" t="str">
        <f>IFERROR(__xludf.DUMMYFUNCTION("""COMPUTED_VALUE"""),"-55.5365628341683")</f>
        <v>-55.5365628341683</v>
      </c>
      <c r="C1146" s="61">
        <f>IFERROR(__xludf.DUMMYFUNCTION("""COMPUTED_VALUE"""),1.0)</f>
        <v>1</v>
      </c>
      <c r="D1146" s="61">
        <f>IFERROR(__xludf.DUMMYFUNCTION("""COMPUTED_VALUE"""),122.0)</f>
        <v>122</v>
      </c>
      <c r="E1146" s="61">
        <f>IFERROR(__xludf.DUMMYFUNCTION("""COMPUTED_VALUE"""),4.0)</f>
        <v>4</v>
      </c>
      <c r="F1146" s="62" t="str">
        <f>IFERROR(__xludf.DUMMYFUNCTION("""COMPUTED_VALUE"""),"https://www.google.com/maps/search/?api=1&amp;query=-30.8984925490229,-55.5365628341683")</f>
        <v>https://www.google.com/maps/search/?api=1&amp;query=-30.8984925490229,-55.5365628341683</v>
      </c>
      <c r="G1146" s="63" t="str">
        <f>IFERROR(__xludf.DUMMYFUNCTION("""COMPUTED_VALUE"""),"https://earth.google.com/web/search/-30.8984925490229,-55.5365628341683")</f>
        <v>https://earth.google.com/web/search/-30.8984925490229,-55.5365628341683</v>
      </c>
      <c r="H1146" s="64"/>
      <c r="I1146" s="64"/>
      <c r="J1146" s="64"/>
      <c r="K1146" s="64"/>
      <c r="L1146" s="64"/>
      <c r="M1146" s="64"/>
      <c r="N1146" s="64"/>
      <c r="O1146" s="64"/>
      <c r="P1146" s="64"/>
      <c r="Q1146" s="64"/>
      <c r="R1146" s="64"/>
      <c r="S1146" s="64"/>
      <c r="T1146" s="64"/>
      <c r="U1146" s="64"/>
      <c r="V1146" s="64"/>
      <c r="W1146" s="64"/>
      <c r="X1146" s="64"/>
      <c r="Y1146" s="64"/>
      <c r="Z1146" s="64"/>
    </row>
    <row r="1147">
      <c r="A1147" s="65" t="str">
        <f>IFERROR(__xludf.DUMMYFUNCTION("""COMPUTED_VALUE"""),"-30.8985104435364")</f>
        <v>-30.8985104435364</v>
      </c>
      <c r="B1147" s="66" t="str">
        <f>IFERROR(__xludf.DUMMYFUNCTION("""COMPUTED_VALUE"""),"-55.5365268838399")</f>
        <v>-55.5365268838399</v>
      </c>
      <c r="C1147" s="66">
        <f>IFERROR(__xludf.DUMMYFUNCTION("""COMPUTED_VALUE"""),1.0)</f>
        <v>1</v>
      </c>
      <c r="D1147" s="66">
        <f>IFERROR(__xludf.DUMMYFUNCTION("""COMPUTED_VALUE"""),122.0)</f>
        <v>122</v>
      </c>
      <c r="E1147" s="66">
        <f>IFERROR(__xludf.DUMMYFUNCTION("""COMPUTED_VALUE"""),5.0)</f>
        <v>5</v>
      </c>
      <c r="F1147" s="67" t="str">
        <f>IFERROR(__xludf.DUMMYFUNCTION("""COMPUTED_VALUE"""),"https://www.google.com/maps/search/?api=1&amp;query=-30.8985104435364,-55.5365268838399")</f>
        <v>https://www.google.com/maps/search/?api=1&amp;query=-30.8985104435364,-55.5365268838399</v>
      </c>
      <c r="G1147" s="68" t="str">
        <f>IFERROR(__xludf.DUMMYFUNCTION("""COMPUTED_VALUE"""),"https://earth.google.com/web/search/-30.8985104435364,-55.5365268838399")</f>
        <v>https://earth.google.com/web/search/-30.8985104435364,-55.5365268838399</v>
      </c>
      <c r="H1147" s="64"/>
      <c r="I1147" s="64"/>
      <c r="J1147" s="64"/>
      <c r="K1147" s="64"/>
      <c r="L1147" s="64"/>
      <c r="M1147" s="64"/>
      <c r="N1147" s="64"/>
      <c r="O1147" s="64"/>
      <c r="P1147" s="64"/>
      <c r="Q1147" s="64"/>
      <c r="R1147" s="64"/>
      <c r="S1147" s="64"/>
      <c r="T1147" s="64"/>
      <c r="U1147" s="64"/>
      <c r="V1147" s="64"/>
      <c r="W1147" s="64"/>
      <c r="X1147" s="64"/>
      <c r="Y1147" s="64"/>
      <c r="Z1147" s="64"/>
    </row>
    <row r="1148">
      <c r="A1148" s="69" t="str">
        <f>IFERROR(__xludf.DUMMYFUNCTION("""COMPUTED_VALUE"""),"-30.8986125880957")</f>
        <v>-30.8986125880957</v>
      </c>
      <c r="B1148" s="61" t="str">
        <f>IFERROR(__xludf.DUMMYFUNCTION("""COMPUTED_VALUE"""),"-55.5364871665514")</f>
        <v>-55.5364871665514</v>
      </c>
      <c r="C1148" s="61">
        <f>IFERROR(__xludf.DUMMYFUNCTION("""COMPUTED_VALUE"""),1.0)</f>
        <v>1</v>
      </c>
      <c r="D1148" s="61">
        <f>IFERROR(__xludf.DUMMYFUNCTION("""COMPUTED_VALUE"""),122.0)</f>
        <v>122</v>
      </c>
      <c r="E1148" s="61">
        <f>IFERROR(__xludf.DUMMYFUNCTION("""COMPUTED_VALUE"""),6.0)</f>
        <v>6</v>
      </c>
      <c r="F1148" s="62" t="str">
        <f>IFERROR(__xludf.DUMMYFUNCTION("""COMPUTED_VALUE"""),"https://www.google.com/maps/search/?api=1&amp;query=-30.8986125880957,-55.5364871665514")</f>
        <v>https://www.google.com/maps/search/?api=1&amp;query=-30.8986125880957,-55.5364871665514</v>
      </c>
      <c r="G1148" s="63" t="str">
        <f>IFERROR(__xludf.DUMMYFUNCTION("""COMPUTED_VALUE"""),"https://earth.google.com/web/search/-30.8986125880957,-55.5364871665514")</f>
        <v>https://earth.google.com/web/search/-30.8986125880957,-55.5364871665514</v>
      </c>
      <c r="H1148" s="64"/>
      <c r="I1148" s="64"/>
      <c r="J1148" s="64"/>
      <c r="K1148" s="64"/>
      <c r="L1148" s="64"/>
      <c r="M1148" s="64"/>
      <c r="N1148" s="64"/>
      <c r="O1148" s="64"/>
      <c r="P1148" s="64"/>
      <c r="Q1148" s="64"/>
      <c r="R1148" s="64"/>
      <c r="S1148" s="64"/>
      <c r="T1148" s="64"/>
      <c r="U1148" s="64"/>
      <c r="V1148" s="64"/>
      <c r="W1148" s="64"/>
      <c r="X1148" s="64"/>
      <c r="Y1148" s="64"/>
      <c r="Z1148" s="64"/>
    </row>
    <row r="1149">
      <c r="A1149" s="65" t="str">
        <f>IFERROR(__xludf.DUMMYFUNCTION("""COMPUTED_VALUE"""),"-30.8986361246489")</f>
        <v>-30.8986361246489</v>
      </c>
      <c r="B1149" s="66" t="str">
        <f>IFERROR(__xludf.DUMMYFUNCTION("""COMPUTED_VALUE"""),"-55.5365077520177")</f>
        <v>-55.5365077520177</v>
      </c>
      <c r="C1149" s="66">
        <f>IFERROR(__xludf.DUMMYFUNCTION("""COMPUTED_VALUE"""),1.0)</f>
        <v>1</v>
      </c>
      <c r="D1149" s="66">
        <f>IFERROR(__xludf.DUMMYFUNCTION("""COMPUTED_VALUE"""),122.0)</f>
        <v>122</v>
      </c>
      <c r="E1149" s="66">
        <f>IFERROR(__xludf.DUMMYFUNCTION("""COMPUTED_VALUE"""),7.0)</f>
        <v>7</v>
      </c>
      <c r="F1149" s="67" t="str">
        <f>IFERROR(__xludf.DUMMYFUNCTION("""COMPUTED_VALUE"""),"https://www.google.com/maps/search/?api=1&amp;query=-30.8986361246489,-55.5365077520177")</f>
        <v>https://www.google.com/maps/search/?api=1&amp;query=-30.8986361246489,-55.5365077520177</v>
      </c>
      <c r="G1149" s="68" t="str">
        <f>IFERROR(__xludf.DUMMYFUNCTION("""COMPUTED_VALUE"""),"https://earth.google.com/web/search/-30.8986361246489,-55.5365077520177")</f>
        <v>https://earth.google.com/web/search/-30.8986361246489,-55.5365077520177</v>
      </c>
      <c r="H1149" s="64"/>
      <c r="I1149" s="64"/>
      <c r="J1149" s="64"/>
      <c r="K1149" s="64"/>
      <c r="L1149" s="64"/>
      <c r="M1149" s="64"/>
      <c r="N1149" s="64"/>
      <c r="O1149" s="64"/>
      <c r="P1149" s="64"/>
      <c r="Q1149" s="64"/>
      <c r="R1149" s="64"/>
      <c r="S1149" s="64"/>
      <c r="T1149" s="64"/>
      <c r="U1149" s="64"/>
      <c r="V1149" s="64"/>
      <c r="W1149" s="64"/>
      <c r="X1149" s="64"/>
      <c r="Y1149" s="64"/>
      <c r="Z1149" s="64"/>
    </row>
    <row r="1150">
      <c r="A1150" s="69" t="str">
        <f>IFERROR(__xludf.DUMMYFUNCTION("""COMPUTED_VALUE"""),"-30.8986644549758")</f>
        <v>-30.8986644549758</v>
      </c>
      <c r="B1150" s="61" t="str">
        <f>IFERROR(__xludf.DUMMYFUNCTION("""COMPUTED_VALUE"""),"-55.5365273467064")</f>
        <v>-55.5365273467064</v>
      </c>
      <c r="C1150" s="61">
        <f>IFERROR(__xludf.DUMMYFUNCTION("""COMPUTED_VALUE"""),1.0)</f>
        <v>1</v>
      </c>
      <c r="D1150" s="61">
        <f>IFERROR(__xludf.DUMMYFUNCTION("""COMPUTED_VALUE"""),122.0)</f>
        <v>122</v>
      </c>
      <c r="E1150" s="61">
        <f>IFERROR(__xludf.DUMMYFUNCTION("""COMPUTED_VALUE"""),8.0)</f>
        <v>8</v>
      </c>
      <c r="F1150" s="62" t="str">
        <f>IFERROR(__xludf.DUMMYFUNCTION("""COMPUTED_VALUE"""),"https://www.google.com/maps/search/?api=1&amp;query=-30.8986644549758,-55.5365273467064")</f>
        <v>https://www.google.com/maps/search/?api=1&amp;query=-30.8986644549758,-55.5365273467064</v>
      </c>
      <c r="G1150" s="63" t="str">
        <f>IFERROR(__xludf.DUMMYFUNCTION("""COMPUTED_VALUE"""),"https://earth.google.com/web/search/-30.8986644549758,-55.5365273467064")</f>
        <v>https://earth.google.com/web/search/-30.8986644549758,-55.5365273467064</v>
      </c>
      <c r="H1150" s="64"/>
      <c r="I1150" s="64"/>
      <c r="J1150" s="64"/>
      <c r="K1150" s="64"/>
      <c r="L1150" s="64"/>
      <c r="M1150" s="64"/>
      <c r="N1150" s="64"/>
      <c r="O1150" s="64"/>
      <c r="P1150" s="64"/>
      <c r="Q1150" s="64"/>
      <c r="R1150" s="64"/>
      <c r="S1150" s="64"/>
      <c r="T1150" s="64"/>
      <c r="U1150" s="64"/>
      <c r="V1150" s="64"/>
      <c r="W1150" s="64"/>
      <c r="X1150" s="64"/>
      <c r="Y1150" s="64"/>
      <c r="Z1150" s="64"/>
    </row>
    <row r="1151">
      <c r="A1151" s="65" t="str">
        <f>IFERROR(__xludf.DUMMYFUNCTION("""COMPUTED_VALUE"""),"-30.8990062010701")</f>
        <v>-30.8990062010701</v>
      </c>
      <c r="B1151" s="66" t="str">
        <f>IFERROR(__xludf.DUMMYFUNCTION("""COMPUTED_VALUE"""),"-55.5367696283028")</f>
        <v>-55.5367696283028</v>
      </c>
      <c r="C1151" s="66">
        <f>IFERROR(__xludf.DUMMYFUNCTION("""COMPUTED_VALUE"""),1.0)</f>
        <v>1</v>
      </c>
      <c r="D1151" s="66">
        <f>IFERROR(__xludf.DUMMYFUNCTION("""COMPUTED_VALUE"""),122.0)</f>
        <v>122</v>
      </c>
      <c r="E1151" s="66">
        <f>IFERROR(__xludf.DUMMYFUNCTION("""COMPUTED_VALUE"""),9.0)</f>
        <v>9</v>
      </c>
      <c r="F1151" s="67" t="str">
        <f>IFERROR(__xludf.DUMMYFUNCTION("""COMPUTED_VALUE"""),"https://www.google.com/maps/search/?api=1&amp;query=-30.8990062010701,-55.5367696283028")</f>
        <v>https://www.google.com/maps/search/?api=1&amp;query=-30.8990062010701,-55.5367696283028</v>
      </c>
      <c r="G1151" s="68" t="str">
        <f>IFERROR(__xludf.DUMMYFUNCTION("""COMPUTED_VALUE"""),"https://earth.google.com/web/search/-30.8990062010701,-55.5367696283028")</f>
        <v>https://earth.google.com/web/search/-30.8990062010701,-55.5367696283028</v>
      </c>
      <c r="H1151" s="64"/>
      <c r="I1151" s="64"/>
      <c r="J1151" s="64"/>
      <c r="K1151" s="64"/>
      <c r="L1151" s="64"/>
      <c r="M1151" s="64"/>
      <c r="N1151" s="64"/>
      <c r="O1151" s="64"/>
      <c r="P1151" s="64"/>
      <c r="Q1151" s="64"/>
      <c r="R1151" s="64"/>
      <c r="S1151" s="64"/>
      <c r="T1151" s="64"/>
      <c r="U1151" s="64"/>
      <c r="V1151" s="64"/>
      <c r="W1151" s="64"/>
      <c r="X1151" s="64"/>
      <c r="Y1151" s="64"/>
      <c r="Z1151" s="64"/>
    </row>
    <row r="1152">
      <c r="A1152" s="69" t="str">
        <f>IFERROR(__xludf.DUMMYFUNCTION("""COMPUTED_VALUE"""),"-30.8990318467959")</f>
        <v>-30.8990318467959</v>
      </c>
      <c r="B1152" s="61" t="str">
        <f>IFERROR(__xludf.DUMMYFUNCTION("""COMPUTED_VALUE"""),"-55.5368028434873")</f>
        <v>-55.5368028434873</v>
      </c>
      <c r="C1152" s="61">
        <f>IFERROR(__xludf.DUMMYFUNCTION("""COMPUTED_VALUE"""),1.0)</f>
        <v>1</v>
      </c>
      <c r="D1152" s="61">
        <f>IFERROR(__xludf.DUMMYFUNCTION("""COMPUTED_VALUE"""),122.0)</f>
        <v>122</v>
      </c>
      <c r="E1152" s="61">
        <f>IFERROR(__xludf.DUMMYFUNCTION("""COMPUTED_VALUE"""),10.0)</f>
        <v>10</v>
      </c>
      <c r="F1152" s="62" t="str">
        <f>IFERROR(__xludf.DUMMYFUNCTION("""COMPUTED_VALUE"""),"https://www.google.com/maps/search/?api=1&amp;query=-30.8990318467959,-55.5368028434873")</f>
        <v>https://www.google.com/maps/search/?api=1&amp;query=-30.8990318467959,-55.5368028434873</v>
      </c>
      <c r="G1152" s="63" t="str">
        <f>IFERROR(__xludf.DUMMYFUNCTION("""COMPUTED_VALUE"""),"https://earth.google.com/web/search/-30.8990318467959,-55.5368028434873")</f>
        <v>https://earth.google.com/web/search/-30.8990318467959,-55.5368028434873</v>
      </c>
      <c r="H1152" s="64"/>
      <c r="I1152" s="64"/>
      <c r="J1152" s="64"/>
      <c r="K1152" s="64"/>
      <c r="L1152" s="64"/>
      <c r="M1152" s="64"/>
      <c r="N1152" s="64"/>
      <c r="O1152" s="64"/>
      <c r="P1152" s="64"/>
      <c r="Q1152" s="64"/>
      <c r="R1152" s="64"/>
      <c r="S1152" s="64"/>
      <c r="T1152" s="64"/>
      <c r="U1152" s="64"/>
      <c r="V1152" s="64"/>
      <c r="W1152" s="64"/>
      <c r="X1152" s="64"/>
      <c r="Y1152" s="64"/>
      <c r="Z1152" s="64"/>
    </row>
    <row r="1153">
      <c r="A1153" s="65" t="str">
        <f>IFERROR(__xludf.DUMMYFUNCTION("""COMPUTED_VALUE"""),"-30.8991003685532")</f>
        <v>-30.8991003685532</v>
      </c>
      <c r="B1153" s="66" t="str">
        <f>IFERROR(__xludf.DUMMYFUNCTION("""COMPUTED_VALUE"""),"-55.5368407189866")</f>
        <v>-55.5368407189866</v>
      </c>
      <c r="C1153" s="66">
        <f>IFERROR(__xludf.DUMMYFUNCTION("""COMPUTED_VALUE"""),1.0)</f>
        <v>1</v>
      </c>
      <c r="D1153" s="66">
        <f>IFERROR(__xludf.DUMMYFUNCTION("""COMPUTED_VALUE"""),122.0)</f>
        <v>122</v>
      </c>
      <c r="E1153" s="66">
        <f>IFERROR(__xludf.DUMMYFUNCTION("""COMPUTED_VALUE"""),11.0)</f>
        <v>11</v>
      </c>
      <c r="F1153" s="67" t="str">
        <f>IFERROR(__xludf.DUMMYFUNCTION("""COMPUTED_VALUE"""),"https://www.google.com/maps/search/?api=1&amp;query=-30.8991003685532,-55.5368407189866")</f>
        <v>https://www.google.com/maps/search/?api=1&amp;query=-30.8991003685532,-55.5368407189866</v>
      </c>
      <c r="G1153" s="68" t="str">
        <f>IFERROR(__xludf.DUMMYFUNCTION("""COMPUTED_VALUE"""),"https://earth.google.com/web/search/-30.8991003685532,-55.5368407189866")</f>
        <v>https://earth.google.com/web/search/-30.8991003685532,-55.5368407189866</v>
      </c>
      <c r="H1153" s="64"/>
      <c r="I1153" s="64"/>
      <c r="J1153" s="64"/>
      <c r="K1153" s="64"/>
      <c r="L1153" s="64"/>
      <c r="M1153" s="64"/>
      <c r="N1153" s="64"/>
      <c r="O1153" s="64"/>
      <c r="P1153" s="64"/>
      <c r="Q1153" s="64"/>
      <c r="R1153" s="64"/>
      <c r="S1153" s="64"/>
      <c r="T1153" s="64"/>
      <c r="U1153" s="64"/>
      <c r="V1153" s="64"/>
      <c r="W1153" s="64"/>
      <c r="X1153" s="64"/>
      <c r="Y1153" s="64"/>
      <c r="Z1153" s="64"/>
    </row>
    <row r="1154">
      <c r="A1154" s="69" t="str">
        <f>IFERROR(__xludf.DUMMYFUNCTION("""COMPUTED_VALUE"""),"-30.8992074997515")</f>
        <v>-30.8992074997515</v>
      </c>
      <c r="B1154" s="61" t="str">
        <f>IFERROR(__xludf.DUMMYFUNCTION("""COMPUTED_VALUE"""),"-55.5369182489475")</f>
        <v>-55.5369182489475</v>
      </c>
      <c r="C1154" s="61">
        <f>IFERROR(__xludf.DUMMYFUNCTION("""COMPUTED_VALUE"""),1.0)</f>
        <v>1</v>
      </c>
      <c r="D1154" s="61">
        <f>IFERROR(__xludf.DUMMYFUNCTION("""COMPUTED_VALUE"""),122.0)</f>
        <v>122</v>
      </c>
      <c r="E1154" s="61">
        <f>IFERROR(__xludf.DUMMYFUNCTION("""COMPUTED_VALUE"""),12.0)</f>
        <v>12</v>
      </c>
      <c r="F1154" s="62" t="str">
        <f>IFERROR(__xludf.DUMMYFUNCTION("""COMPUTED_VALUE"""),"https://www.google.com/maps/search/?api=1&amp;query=-30.8992074997515,-55.5369182489475")</f>
        <v>https://www.google.com/maps/search/?api=1&amp;query=-30.8992074997515,-55.5369182489475</v>
      </c>
      <c r="G1154" s="63" t="str">
        <f>IFERROR(__xludf.DUMMYFUNCTION("""COMPUTED_VALUE"""),"https://earth.google.com/web/search/-30.8992074997515,-55.5369182489475")</f>
        <v>https://earth.google.com/web/search/-30.8992074997515,-55.5369182489475</v>
      </c>
      <c r="H1154" s="64"/>
      <c r="I1154" s="64"/>
      <c r="J1154" s="64"/>
      <c r="K1154" s="64"/>
      <c r="L1154" s="64"/>
      <c r="M1154" s="64"/>
      <c r="N1154" s="64"/>
      <c r="O1154" s="64"/>
      <c r="P1154" s="64"/>
      <c r="Q1154" s="64"/>
      <c r="R1154" s="64"/>
      <c r="S1154" s="64"/>
      <c r="T1154" s="64"/>
      <c r="U1154" s="64"/>
      <c r="V1154" s="64"/>
      <c r="W1154" s="64"/>
      <c r="X1154" s="64"/>
      <c r="Y1154" s="64"/>
      <c r="Z1154" s="64"/>
    </row>
    <row r="1155">
      <c r="A1155" s="65" t="str">
        <f>IFERROR(__xludf.DUMMYFUNCTION("""COMPUTED_VALUE"""),"-30.8992498154256")</f>
        <v>-30.8992498154256</v>
      </c>
      <c r="B1155" s="66" t="str">
        <f>IFERROR(__xludf.DUMMYFUNCTION("""COMPUTED_VALUE"""),"-55.5369896458995")</f>
        <v>-55.5369896458995</v>
      </c>
      <c r="C1155" s="66">
        <f>IFERROR(__xludf.DUMMYFUNCTION("""COMPUTED_VALUE"""),1.0)</f>
        <v>1</v>
      </c>
      <c r="D1155" s="66">
        <f>IFERROR(__xludf.DUMMYFUNCTION("""COMPUTED_VALUE"""),122.0)</f>
        <v>122</v>
      </c>
      <c r="E1155" s="66">
        <f>IFERROR(__xludf.DUMMYFUNCTION("""COMPUTED_VALUE"""),13.0)</f>
        <v>13</v>
      </c>
      <c r="F1155" s="67" t="str">
        <f>IFERROR(__xludf.DUMMYFUNCTION("""COMPUTED_VALUE"""),"https://www.google.com/maps/search/?api=1&amp;query=-30.8992498154256,-55.5369896458995")</f>
        <v>https://www.google.com/maps/search/?api=1&amp;query=-30.8992498154256,-55.5369896458995</v>
      </c>
      <c r="G1155" s="68" t="str">
        <f>IFERROR(__xludf.DUMMYFUNCTION("""COMPUTED_VALUE"""),"https://earth.google.com/web/search/-30.8992498154256,-55.5369896458995")</f>
        <v>https://earth.google.com/web/search/-30.8992498154256,-55.5369896458995</v>
      </c>
      <c r="H1155" s="64"/>
      <c r="I1155" s="64"/>
      <c r="J1155" s="64"/>
      <c r="K1155" s="64"/>
      <c r="L1155" s="64"/>
      <c r="M1155" s="64"/>
      <c r="N1155" s="64"/>
      <c r="O1155" s="64"/>
      <c r="P1155" s="64"/>
      <c r="Q1155" s="64"/>
      <c r="R1155" s="64"/>
      <c r="S1155" s="64"/>
      <c r="T1155" s="64"/>
      <c r="U1155" s="64"/>
      <c r="V1155" s="64"/>
      <c r="W1155" s="64"/>
      <c r="X1155" s="64"/>
      <c r="Y1155" s="64"/>
      <c r="Z1155" s="64"/>
    </row>
    <row r="1156">
      <c r="A1156" s="69" t="str">
        <f>IFERROR(__xludf.DUMMYFUNCTION("""COMPUTED_VALUE"""),"-30.8992311684242")</f>
        <v>-30.8992311684242</v>
      </c>
      <c r="B1156" s="61" t="str">
        <f>IFERROR(__xludf.DUMMYFUNCTION("""COMPUTED_VALUE"""),"-55.5370424888258")</f>
        <v>-55.5370424888258</v>
      </c>
      <c r="C1156" s="61">
        <f>IFERROR(__xludf.DUMMYFUNCTION("""COMPUTED_VALUE"""),1.0)</f>
        <v>1</v>
      </c>
      <c r="D1156" s="61">
        <f>IFERROR(__xludf.DUMMYFUNCTION("""COMPUTED_VALUE"""),122.0)</f>
        <v>122</v>
      </c>
      <c r="E1156" s="61">
        <f>IFERROR(__xludf.DUMMYFUNCTION("""COMPUTED_VALUE"""),14.0)</f>
        <v>14</v>
      </c>
      <c r="F1156" s="62" t="str">
        <f>IFERROR(__xludf.DUMMYFUNCTION("""COMPUTED_VALUE"""),"https://www.google.com/maps/search/?api=1&amp;query=-30.8992311684242,-55.5370424888258")</f>
        <v>https://www.google.com/maps/search/?api=1&amp;query=-30.8992311684242,-55.5370424888258</v>
      </c>
      <c r="G1156" s="63" t="str">
        <f>IFERROR(__xludf.DUMMYFUNCTION("""COMPUTED_VALUE"""),"https://earth.google.com/web/search/-30.8992311684242,-55.5370424888258")</f>
        <v>https://earth.google.com/web/search/-30.8992311684242,-55.5370424888258</v>
      </c>
      <c r="H1156" s="64"/>
      <c r="I1156" s="64"/>
      <c r="J1156" s="64"/>
      <c r="K1156" s="64"/>
      <c r="L1156" s="64"/>
      <c r="M1156" s="64"/>
      <c r="N1156" s="64"/>
      <c r="O1156" s="64"/>
      <c r="P1156" s="64"/>
      <c r="Q1156" s="64"/>
      <c r="R1156" s="64"/>
      <c r="S1156" s="64"/>
      <c r="T1156" s="64"/>
      <c r="U1156" s="64"/>
      <c r="V1156" s="64"/>
      <c r="W1156" s="64"/>
      <c r="X1156" s="64"/>
      <c r="Y1156" s="64"/>
      <c r="Z1156" s="64"/>
    </row>
    <row r="1157">
      <c r="A1157" s="65" t="str">
        <f>IFERROR(__xludf.DUMMYFUNCTION("""COMPUTED_VALUE"""),"-30.8991923733739")</f>
        <v>-30.8991923733739</v>
      </c>
      <c r="B1157" s="66" t="str">
        <f>IFERROR(__xludf.DUMMYFUNCTION("""COMPUTED_VALUE"""),"-55.5371048339746")</f>
        <v>-55.5371048339746</v>
      </c>
      <c r="C1157" s="66">
        <f>IFERROR(__xludf.DUMMYFUNCTION("""COMPUTED_VALUE"""),1.0)</f>
        <v>1</v>
      </c>
      <c r="D1157" s="66">
        <f>IFERROR(__xludf.DUMMYFUNCTION("""COMPUTED_VALUE"""),122.0)</f>
        <v>122</v>
      </c>
      <c r="E1157" s="66">
        <f>IFERROR(__xludf.DUMMYFUNCTION("""COMPUTED_VALUE"""),15.0)</f>
        <v>15</v>
      </c>
      <c r="F1157" s="67" t="str">
        <f>IFERROR(__xludf.DUMMYFUNCTION("""COMPUTED_VALUE"""),"https://www.google.com/maps/search/?api=1&amp;query=-30.8991923733739,-55.5371048339746")</f>
        <v>https://www.google.com/maps/search/?api=1&amp;query=-30.8991923733739,-55.5371048339746</v>
      </c>
      <c r="G1157" s="68" t="str">
        <f>IFERROR(__xludf.DUMMYFUNCTION("""COMPUTED_VALUE"""),"https://earth.google.com/web/search/-30.8991923733739,-55.5371048339746")</f>
        <v>https://earth.google.com/web/search/-30.8991923733739,-55.5371048339746</v>
      </c>
      <c r="H1157" s="64"/>
      <c r="I1157" s="64"/>
      <c r="J1157" s="64"/>
      <c r="K1157" s="64"/>
      <c r="L1157" s="64"/>
      <c r="M1157" s="64"/>
      <c r="N1157" s="64"/>
      <c r="O1157" s="64"/>
      <c r="P1157" s="64"/>
      <c r="Q1157" s="64"/>
      <c r="R1157" s="64"/>
      <c r="S1157" s="64"/>
      <c r="T1157" s="64"/>
      <c r="U1157" s="64"/>
      <c r="V1157" s="64"/>
      <c r="W1157" s="64"/>
      <c r="X1157" s="64"/>
      <c r="Y1157" s="64"/>
      <c r="Z1157" s="64"/>
    </row>
    <row r="1158">
      <c r="A1158" s="69" t="str">
        <f>IFERROR(__xludf.DUMMYFUNCTION("""COMPUTED_VALUE"""),"-30.8991676513289")</f>
        <v>-30.8991676513289</v>
      </c>
      <c r="B1158" s="61" t="str">
        <f>IFERROR(__xludf.DUMMYFUNCTION("""COMPUTED_VALUE"""),"-55.5371408561324")</f>
        <v>-55.5371408561324</v>
      </c>
      <c r="C1158" s="61">
        <f>IFERROR(__xludf.DUMMYFUNCTION("""COMPUTED_VALUE"""),1.0)</f>
        <v>1</v>
      </c>
      <c r="D1158" s="61">
        <f>IFERROR(__xludf.DUMMYFUNCTION("""COMPUTED_VALUE"""),122.0)</f>
        <v>122</v>
      </c>
      <c r="E1158" s="61">
        <f>IFERROR(__xludf.DUMMYFUNCTION("""COMPUTED_VALUE"""),16.0)</f>
        <v>16</v>
      </c>
      <c r="F1158" s="62" t="str">
        <f>IFERROR(__xludf.DUMMYFUNCTION("""COMPUTED_VALUE"""),"https://www.google.com/maps/search/?api=1&amp;query=-30.8991676513289,-55.5371408561324")</f>
        <v>https://www.google.com/maps/search/?api=1&amp;query=-30.8991676513289,-55.5371408561324</v>
      </c>
      <c r="G1158" s="63" t="str">
        <f>IFERROR(__xludf.DUMMYFUNCTION("""COMPUTED_VALUE"""),"https://earth.google.com/web/search/-30.8991676513289,-55.5371408561324")</f>
        <v>https://earth.google.com/web/search/-30.8991676513289,-55.5371408561324</v>
      </c>
      <c r="H1158" s="64"/>
      <c r="I1158" s="64"/>
      <c r="J1158" s="64"/>
      <c r="K1158" s="64"/>
      <c r="L1158" s="64"/>
      <c r="M1158" s="64"/>
      <c r="N1158" s="64"/>
      <c r="O1158" s="64"/>
      <c r="P1158" s="64"/>
      <c r="Q1158" s="64"/>
      <c r="R1158" s="64"/>
      <c r="S1158" s="64"/>
      <c r="T1158" s="64"/>
      <c r="U1158" s="64"/>
      <c r="V1158" s="64"/>
      <c r="W1158" s="64"/>
      <c r="X1158" s="64"/>
      <c r="Y1158" s="64"/>
      <c r="Z1158" s="64"/>
    </row>
    <row r="1159">
      <c r="A1159" s="65" t="str">
        <f>IFERROR(__xludf.DUMMYFUNCTION("""COMPUTED_VALUE"""),"-30.8991230350277")</f>
        <v>-30.8991230350277</v>
      </c>
      <c r="B1159" s="66" t="str">
        <f>IFERROR(__xludf.DUMMYFUNCTION("""COMPUTED_VALUE"""),"-55.5372274818883")</f>
        <v>-55.5372274818883</v>
      </c>
      <c r="C1159" s="66">
        <f>IFERROR(__xludf.DUMMYFUNCTION("""COMPUTED_VALUE"""),1.0)</f>
        <v>1</v>
      </c>
      <c r="D1159" s="66">
        <f>IFERROR(__xludf.DUMMYFUNCTION("""COMPUTED_VALUE"""),122.0)</f>
        <v>122</v>
      </c>
      <c r="E1159" s="66">
        <f>IFERROR(__xludf.DUMMYFUNCTION("""COMPUTED_VALUE"""),17.0)</f>
        <v>17</v>
      </c>
      <c r="F1159" s="67" t="str">
        <f>IFERROR(__xludf.DUMMYFUNCTION("""COMPUTED_VALUE"""),"https://www.google.com/maps/search/?api=1&amp;query=-30.8991230350277,-55.5372274818883")</f>
        <v>https://www.google.com/maps/search/?api=1&amp;query=-30.8991230350277,-55.5372274818883</v>
      </c>
      <c r="G1159" s="68" t="str">
        <f>IFERROR(__xludf.DUMMYFUNCTION("""COMPUTED_VALUE"""),"https://earth.google.com/web/search/-30.8991230350277,-55.5372274818883")</f>
        <v>https://earth.google.com/web/search/-30.8991230350277,-55.5372274818883</v>
      </c>
      <c r="H1159" s="64"/>
      <c r="I1159" s="64"/>
      <c r="J1159" s="64"/>
      <c r="K1159" s="64"/>
      <c r="L1159" s="64"/>
      <c r="M1159" s="64"/>
      <c r="N1159" s="64"/>
      <c r="O1159" s="64"/>
      <c r="P1159" s="64"/>
      <c r="Q1159" s="64"/>
      <c r="R1159" s="64"/>
      <c r="S1159" s="64"/>
      <c r="T1159" s="64"/>
      <c r="U1159" s="64"/>
      <c r="V1159" s="64"/>
      <c r="W1159" s="64"/>
      <c r="X1159" s="64"/>
      <c r="Y1159" s="64"/>
      <c r="Z1159" s="64"/>
    </row>
    <row r="1160">
      <c r="A1160" s="69" t="str">
        <f>IFERROR(__xludf.DUMMYFUNCTION("""COMPUTED_VALUE"""),"-3.0899095688601")</f>
        <v>-3.0899095688601</v>
      </c>
      <c r="B1160" s="61" t="str">
        <f>IFERROR(__xludf.DUMMYFUNCTION("""COMPUTED_VALUE"""),"-55.5372942594293")</f>
        <v>-55.5372942594293</v>
      </c>
      <c r="C1160" s="61">
        <f>IFERROR(__xludf.DUMMYFUNCTION("""COMPUTED_VALUE"""),1.0)</f>
        <v>1</v>
      </c>
      <c r="D1160" s="61">
        <f>IFERROR(__xludf.DUMMYFUNCTION("""COMPUTED_VALUE"""),122.0)</f>
        <v>122</v>
      </c>
      <c r="E1160" s="61">
        <f>IFERROR(__xludf.DUMMYFUNCTION("""COMPUTED_VALUE"""),18.0)</f>
        <v>18</v>
      </c>
      <c r="F1160" s="62" t="str">
        <f>IFERROR(__xludf.DUMMYFUNCTION("""COMPUTED_VALUE"""),"https://www.google.com/maps/search/?api=1&amp;query=-3.0899095688601,-55.5372942594293")</f>
        <v>https://www.google.com/maps/search/?api=1&amp;query=-3.0899095688601,-55.5372942594293</v>
      </c>
      <c r="G1160" s="63" t="str">
        <f>IFERROR(__xludf.DUMMYFUNCTION("""COMPUTED_VALUE"""),"https://earth.google.com/web/search/-3.0899095688601,-55.5372942594293")</f>
        <v>https://earth.google.com/web/search/-3.0899095688601,-55.5372942594293</v>
      </c>
      <c r="H1160" s="64"/>
      <c r="I1160" s="64"/>
      <c r="J1160" s="64"/>
      <c r="K1160" s="64"/>
      <c r="L1160" s="64"/>
      <c r="M1160" s="64"/>
      <c r="N1160" s="64"/>
      <c r="O1160" s="64"/>
      <c r="P1160" s="64"/>
      <c r="Q1160" s="64"/>
      <c r="R1160" s="64"/>
      <c r="S1160" s="64"/>
      <c r="T1160" s="64"/>
      <c r="U1160" s="64"/>
      <c r="V1160" s="64"/>
      <c r="W1160" s="64"/>
      <c r="X1160" s="64"/>
      <c r="Y1160" s="64"/>
      <c r="Z1160" s="64"/>
    </row>
    <row r="1161">
      <c r="A1161" s="65" t="str">
        <f>IFERROR(__xludf.DUMMYFUNCTION("""COMPUTED_VALUE"""),"-30.8989660222569")</f>
        <v>-30.8989660222569</v>
      </c>
      <c r="B1161" s="66" t="str">
        <f>IFERROR(__xludf.DUMMYFUNCTION("""COMPUTED_VALUE"""),"-55.5375333869465")</f>
        <v>-55.5375333869465</v>
      </c>
      <c r="C1161" s="66">
        <f>IFERROR(__xludf.DUMMYFUNCTION("""COMPUTED_VALUE"""),1.0)</f>
        <v>1</v>
      </c>
      <c r="D1161" s="66">
        <f>IFERROR(__xludf.DUMMYFUNCTION("""COMPUTED_VALUE"""),122.0)</f>
        <v>122</v>
      </c>
      <c r="E1161" s="66">
        <f>IFERROR(__xludf.DUMMYFUNCTION("""COMPUTED_VALUE"""),19.0)</f>
        <v>19</v>
      </c>
      <c r="F1161" s="67" t="str">
        <f>IFERROR(__xludf.DUMMYFUNCTION("""COMPUTED_VALUE"""),"https://www.google.com/maps/search/?api=1&amp;query=-30.8989660222569,-55.5375333869465")</f>
        <v>https://www.google.com/maps/search/?api=1&amp;query=-30.8989660222569,-55.5375333869465</v>
      </c>
      <c r="G1161" s="68" t="str">
        <f>IFERROR(__xludf.DUMMYFUNCTION("""COMPUTED_VALUE"""),"https://earth.google.com/web/search/-30.8989660222569,-55.5375333869465")</f>
        <v>https://earth.google.com/web/search/-30.8989660222569,-55.5375333869465</v>
      </c>
      <c r="H1161" s="64"/>
      <c r="I1161" s="64"/>
      <c r="J1161" s="64"/>
      <c r="K1161" s="64"/>
      <c r="L1161" s="64"/>
      <c r="M1161" s="64"/>
      <c r="N1161" s="64"/>
      <c r="O1161" s="64"/>
      <c r="P1161" s="64"/>
      <c r="Q1161" s="64"/>
      <c r="R1161" s="64"/>
      <c r="S1161" s="64"/>
      <c r="T1161" s="64"/>
      <c r="U1161" s="64"/>
      <c r="V1161" s="64"/>
      <c r="W1161" s="64"/>
      <c r="X1161" s="64"/>
      <c r="Y1161" s="64"/>
      <c r="Z1161" s="64"/>
    </row>
    <row r="1162">
      <c r="A1162" s="69" t="str">
        <f>IFERROR(__xludf.DUMMYFUNCTION("""COMPUTED_VALUE"""),"-30.8989415403517")</f>
        <v>-30.8989415403517</v>
      </c>
      <c r="B1162" s="61" t="str">
        <f>IFERROR(__xludf.DUMMYFUNCTION("""COMPUTED_VALUE"""),"-55.5375817879763")</f>
        <v>-55.5375817879763</v>
      </c>
      <c r="C1162" s="61">
        <f>IFERROR(__xludf.DUMMYFUNCTION("""COMPUTED_VALUE"""),1.0)</f>
        <v>1</v>
      </c>
      <c r="D1162" s="61">
        <f>IFERROR(__xludf.DUMMYFUNCTION("""COMPUTED_VALUE"""),122.0)</f>
        <v>122</v>
      </c>
      <c r="E1162" s="61">
        <f>IFERROR(__xludf.DUMMYFUNCTION("""COMPUTED_VALUE"""),20.0)</f>
        <v>20</v>
      </c>
      <c r="F1162" s="62" t="str">
        <f>IFERROR(__xludf.DUMMYFUNCTION("""COMPUTED_VALUE"""),"https://www.google.com/maps/search/?api=1&amp;query=-30.8989415403517,-55.5375817879763")</f>
        <v>https://www.google.com/maps/search/?api=1&amp;query=-30.8989415403517,-55.5375817879763</v>
      </c>
      <c r="G1162" s="63" t="str">
        <f>IFERROR(__xludf.DUMMYFUNCTION("""COMPUTED_VALUE"""),"https://earth.google.com/web/search/-30.8989415403517,-55.5375817879763")</f>
        <v>https://earth.google.com/web/search/-30.8989415403517,-55.5375817879763</v>
      </c>
      <c r="H1162" s="64"/>
      <c r="I1162" s="64"/>
      <c r="J1162" s="64"/>
      <c r="K1162" s="64"/>
      <c r="L1162" s="64"/>
      <c r="M1162" s="64"/>
      <c r="N1162" s="64"/>
      <c r="O1162" s="64"/>
      <c r="P1162" s="64"/>
      <c r="Q1162" s="64"/>
      <c r="R1162" s="64"/>
      <c r="S1162" s="64"/>
      <c r="T1162" s="64"/>
      <c r="U1162" s="64"/>
      <c r="V1162" s="64"/>
      <c r="W1162" s="64"/>
      <c r="X1162" s="64"/>
      <c r="Y1162" s="64"/>
      <c r="Z1162" s="64"/>
    </row>
    <row r="1163">
      <c r="A1163" s="65" t="str">
        <f>IFERROR(__xludf.DUMMYFUNCTION("""COMPUTED_VALUE"""),"-3.0898905563957")</f>
        <v>-3.0898905563957</v>
      </c>
      <c r="B1163" s="66" t="str">
        <f>IFERROR(__xludf.DUMMYFUNCTION("""COMPUTED_VALUE"""),"-55.5376327496054")</f>
        <v>-55.5376327496054</v>
      </c>
      <c r="C1163" s="66">
        <f>IFERROR(__xludf.DUMMYFUNCTION("""COMPUTED_VALUE"""),1.0)</f>
        <v>1</v>
      </c>
      <c r="D1163" s="66">
        <f>IFERROR(__xludf.DUMMYFUNCTION("""COMPUTED_VALUE"""),122.0)</f>
        <v>122</v>
      </c>
      <c r="E1163" s="66">
        <f>IFERROR(__xludf.DUMMYFUNCTION("""COMPUTED_VALUE"""),21.0)</f>
        <v>21</v>
      </c>
      <c r="F1163" s="67" t="str">
        <f>IFERROR(__xludf.DUMMYFUNCTION("""COMPUTED_VALUE"""),"https://www.google.com/maps/search/?api=1&amp;query=-3.0898905563957,-55.5376327496054")</f>
        <v>https://www.google.com/maps/search/?api=1&amp;query=-3.0898905563957,-55.5376327496054</v>
      </c>
      <c r="G1163" s="68" t="str">
        <f>IFERROR(__xludf.DUMMYFUNCTION("""COMPUTED_VALUE"""),"https://earth.google.com/web/search/-3.0898905563957,-55.5376327496054")</f>
        <v>https://earth.google.com/web/search/-3.0898905563957,-55.5376327496054</v>
      </c>
      <c r="H1163" s="64"/>
      <c r="I1163" s="64"/>
      <c r="J1163" s="64"/>
      <c r="K1163" s="64"/>
      <c r="L1163" s="64"/>
      <c r="M1163" s="64"/>
      <c r="N1163" s="64"/>
      <c r="O1163" s="64"/>
      <c r="P1163" s="64"/>
      <c r="Q1163" s="64"/>
      <c r="R1163" s="64"/>
      <c r="S1163" s="64"/>
      <c r="T1163" s="64"/>
      <c r="U1163" s="64"/>
      <c r="V1163" s="64"/>
      <c r="W1163" s="64"/>
      <c r="X1163" s="64"/>
      <c r="Y1163" s="64"/>
      <c r="Z1163" s="64"/>
    </row>
    <row r="1164">
      <c r="A1164" s="69" t="str">
        <f>IFERROR(__xludf.DUMMYFUNCTION("""COMPUTED_VALUE"""),"-30.8988845223396")</f>
        <v>-30.8988845223396</v>
      </c>
      <c r="B1164" s="61" t="str">
        <f>IFERROR(__xludf.DUMMYFUNCTION("""COMPUTED_VALUE"""),"-55.5376936170822")</f>
        <v>-55.5376936170822</v>
      </c>
      <c r="C1164" s="61">
        <f>IFERROR(__xludf.DUMMYFUNCTION("""COMPUTED_VALUE"""),1.0)</f>
        <v>1</v>
      </c>
      <c r="D1164" s="61">
        <f>IFERROR(__xludf.DUMMYFUNCTION("""COMPUTED_VALUE"""),122.0)</f>
        <v>122</v>
      </c>
      <c r="E1164" s="61">
        <f>IFERROR(__xludf.DUMMYFUNCTION("""COMPUTED_VALUE"""),22.0)</f>
        <v>22</v>
      </c>
      <c r="F1164" s="62" t="str">
        <f>IFERROR(__xludf.DUMMYFUNCTION("""COMPUTED_VALUE"""),"https://www.google.com/maps/search/?api=1&amp;query=-30.8988845223396,-55.5376936170822")</f>
        <v>https://www.google.com/maps/search/?api=1&amp;query=-30.8988845223396,-55.5376936170822</v>
      </c>
      <c r="G1164" s="63" t="str">
        <f>IFERROR(__xludf.DUMMYFUNCTION("""COMPUTED_VALUE"""),"https://earth.google.com/web/search/-30.8988845223396,-55.5376936170822")</f>
        <v>https://earth.google.com/web/search/-30.8988845223396,-55.5376936170822</v>
      </c>
      <c r="H1164" s="64"/>
      <c r="I1164" s="64"/>
      <c r="J1164" s="64"/>
      <c r="K1164" s="64"/>
      <c r="L1164" s="64"/>
      <c r="M1164" s="64"/>
      <c r="N1164" s="64"/>
      <c r="O1164" s="64"/>
      <c r="P1164" s="64"/>
      <c r="Q1164" s="64"/>
      <c r="R1164" s="64"/>
      <c r="S1164" s="64"/>
      <c r="T1164" s="64"/>
      <c r="U1164" s="64"/>
      <c r="V1164" s="64"/>
      <c r="W1164" s="64"/>
      <c r="X1164" s="64"/>
      <c r="Y1164" s="64"/>
      <c r="Z1164" s="64"/>
    </row>
    <row r="1165">
      <c r="A1165" s="65" t="str">
        <f>IFERROR(__xludf.DUMMYFUNCTION("""COMPUTED_VALUE"""),"-30.8978213878141")</f>
        <v>-30.8978213878141</v>
      </c>
      <c r="B1165" s="66" t="str">
        <f>IFERROR(__xludf.DUMMYFUNCTION("""COMPUTED_VALUE"""),"-55.5378815983536")</f>
        <v>-55.5378815983536</v>
      </c>
      <c r="C1165" s="66">
        <f>IFERROR(__xludf.DUMMYFUNCTION("""COMPUTED_VALUE"""),1.0)</f>
        <v>1</v>
      </c>
      <c r="D1165" s="66">
        <f>IFERROR(__xludf.DUMMYFUNCTION("""COMPUTED_VALUE"""),121.0)</f>
        <v>121</v>
      </c>
      <c r="E1165" s="66">
        <f>IFERROR(__xludf.DUMMYFUNCTION("""COMPUTED_VALUE"""),1.0)</f>
        <v>1</v>
      </c>
      <c r="F1165" s="67" t="str">
        <f>IFERROR(__xludf.DUMMYFUNCTION("""COMPUTED_VALUE"""),"https://www.google.com/maps/search/?api=1&amp;query=-30.8978213878141,-55.5378815983536")</f>
        <v>https://www.google.com/maps/search/?api=1&amp;query=-30.8978213878141,-55.5378815983536</v>
      </c>
      <c r="G1165" s="68" t="str">
        <f>IFERROR(__xludf.DUMMYFUNCTION("""COMPUTED_VALUE"""),"https://earth.google.com/web/search/-30.8978213878141,-55.5378815983536")</f>
        <v>https://earth.google.com/web/search/-30.8978213878141,-55.5378815983536</v>
      </c>
      <c r="H1165" s="64"/>
      <c r="I1165" s="64"/>
      <c r="J1165" s="64"/>
      <c r="K1165" s="64"/>
      <c r="L1165" s="64"/>
      <c r="M1165" s="64"/>
      <c r="N1165" s="64"/>
      <c r="O1165" s="64"/>
      <c r="P1165" s="64"/>
      <c r="Q1165" s="64"/>
      <c r="R1165" s="64"/>
      <c r="S1165" s="64"/>
      <c r="T1165" s="64"/>
      <c r="U1165" s="64"/>
      <c r="V1165" s="64"/>
      <c r="W1165" s="64"/>
      <c r="X1165" s="64"/>
      <c r="Y1165" s="64"/>
      <c r="Z1165" s="64"/>
    </row>
    <row r="1166">
      <c r="A1166" s="69" t="str">
        <f>IFERROR(__xludf.DUMMYFUNCTION("""COMPUTED_VALUE"""),"-30.8982908806922")</f>
        <v>-30.8982908806922</v>
      </c>
      <c r="B1166" s="61" t="str">
        <f>IFERROR(__xludf.DUMMYFUNCTION("""COMPUTED_VALUE"""),"-55.5375149218382")</f>
        <v>-55.5375149218382</v>
      </c>
      <c r="C1166" s="61">
        <f>IFERROR(__xludf.DUMMYFUNCTION("""COMPUTED_VALUE"""),1.0)</f>
        <v>1</v>
      </c>
      <c r="D1166" s="61">
        <f>IFERROR(__xludf.DUMMYFUNCTION("""COMPUTED_VALUE"""),121.0)</f>
        <v>121</v>
      </c>
      <c r="E1166" s="61">
        <f>IFERROR(__xludf.DUMMYFUNCTION("""COMPUTED_VALUE"""),2.0)</f>
        <v>2</v>
      </c>
      <c r="F1166" s="62" t="str">
        <f>IFERROR(__xludf.DUMMYFUNCTION("""COMPUTED_VALUE"""),"https://www.google.com/maps/search/?api=1&amp;query=-30.8982908806922,-55.5375149218382")</f>
        <v>https://www.google.com/maps/search/?api=1&amp;query=-30.8982908806922,-55.5375149218382</v>
      </c>
      <c r="G1166" s="63" t="str">
        <f>IFERROR(__xludf.DUMMYFUNCTION("""COMPUTED_VALUE"""),"https://earth.google.com/web/search/-30.8982908806922,-55.5375149218382")</f>
        <v>https://earth.google.com/web/search/-30.8982908806922,-55.5375149218382</v>
      </c>
      <c r="H1166" s="64"/>
      <c r="I1166" s="64"/>
      <c r="J1166" s="64"/>
      <c r="K1166" s="64"/>
      <c r="L1166" s="64"/>
      <c r="M1166" s="64"/>
      <c r="N1166" s="64"/>
      <c r="O1166" s="64"/>
      <c r="P1166" s="64"/>
      <c r="Q1166" s="64"/>
      <c r="R1166" s="64"/>
      <c r="S1166" s="64"/>
      <c r="T1166" s="64"/>
      <c r="U1166" s="64"/>
      <c r="V1166" s="64"/>
      <c r="W1166" s="64"/>
      <c r="X1166" s="64"/>
      <c r="Y1166" s="64"/>
      <c r="Z1166" s="64"/>
    </row>
    <row r="1167">
      <c r="A1167" s="65" t="str">
        <f>IFERROR(__xludf.DUMMYFUNCTION("""COMPUTED_VALUE"""),"-30.8985693232319")</f>
        <v>-30.8985693232319</v>
      </c>
      <c r="B1167" s="66" t="str">
        <f>IFERROR(__xludf.DUMMYFUNCTION("""COMPUTED_VALUE"""),"-55.5377229044773")</f>
        <v>-55.5377229044773</v>
      </c>
      <c r="C1167" s="66">
        <f>IFERROR(__xludf.DUMMYFUNCTION("""COMPUTED_VALUE"""),1.0)</f>
        <v>1</v>
      </c>
      <c r="D1167" s="66">
        <f>IFERROR(__xludf.DUMMYFUNCTION("""COMPUTED_VALUE"""),121.0)</f>
        <v>121</v>
      </c>
      <c r="E1167" s="66">
        <f>IFERROR(__xludf.DUMMYFUNCTION("""COMPUTED_VALUE"""),2.0)</f>
        <v>2</v>
      </c>
      <c r="F1167" s="67" t="str">
        <f>IFERROR(__xludf.DUMMYFUNCTION("""COMPUTED_VALUE"""),"https://www.google.com/maps/search/?api=1&amp;query=-30.8985693232319,-55.5377229044773")</f>
        <v>https://www.google.com/maps/search/?api=1&amp;query=-30.8985693232319,-55.5377229044773</v>
      </c>
      <c r="G1167" s="68" t="str">
        <f>IFERROR(__xludf.DUMMYFUNCTION("""COMPUTED_VALUE"""),"https://earth.google.com/web/search/-30.8985693232319,-55.5377229044773")</f>
        <v>https://earth.google.com/web/search/-30.8985693232319,-55.5377229044773</v>
      </c>
      <c r="H1167" s="64"/>
      <c r="I1167" s="64"/>
      <c r="J1167" s="64"/>
      <c r="K1167" s="64"/>
      <c r="L1167" s="64"/>
      <c r="M1167" s="64"/>
      <c r="N1167" s="64"/>
      <c r="O1167" s="64"/>
      <c r="P1167" s="64"/>
      <c r="Q1167" s="64"/>
      <c r="R1167" s="64"/>
      <c r="S1167" s="64"/>
      <c r="T1167" s="64"/>
      <c r="U1167" s="64"/>
      <c r="V1167" s="64"/>
      <c r="W1167" s="64"/>
      <c r="X1167" s="64"/>
      <c r="Y1167" s="64"/>
      <c r="Z1167" s="64"/>
    </row>
    <row r="1168">
      <c r="A1168" s="69" t="str">
        <f>IFERROR(__xludf.DUMMYFUNCTION("""COMPUTED_VALUE"""),"-30.8987288357909")</f>
        <v>-30.8987288357909</v>
      </c>
      <c r="B1168" s="61" t="str">
        <f>IFERROR(__xludf.DUMMYFUNCTION("""COMPUTED_VALUE"""),"-55.5379126881168")</f>
        <v>-55.5379126881168</v>
      </c>
      <c r="C1168" s="61">
        <f>IFERROR(__xludf.DUMMYFUNCTION("""COMPUTED_VALUE"""),1.0)</f>
        <v>1</v>
      </c>
      <c r="D1168" s="61">
        <f>IFERROR(__xludf.DUMMYFUNCTION("""COMPUTED_VALUE"""),121.0)</f>
        <v>121</v>
      </c>
      <c r="E1168" s="61">
        <f>IFERROR(__xludf.DUMMYFUNCTION("""COMPUTED_VALUE"""),3.0)</f>
        <v>3</v>
      </c>
      <c r="F1168" s="62" t="str">
        <f>IFERROR(__xludf.DUMMYFUNCTION("""COMPUTED_VALUE"""),"https://www.google.com/maps/search/?api=1&amp;query=-30.8987288357909,-55.5379126881168")</f>
        <v>https://www.google.com/maps/search/?api=1&amp;query=-30.8987288357909,-55.5379126881168</v>
      </c>
      <c r="G1168" s="63" t="str">
        <f>IFERROR(__xludf.DUMMYFUNCTION("""COMPUTED_VALUE"""),"https://earth.google.com/web/search/-30.8987288357909,-55.5379126881168")</f>
        <v>https://earth.google.com/web/search/-30.8987288357909,-55.5379126881168</v>
      </c>
      <c r="H1168" s="64"/>
      <c r="I1168" s="64"/>
      <c r="J1168" s="64"/>
      <c r="K1168" s="64"/>
      <c r="L1168" s="64"/>
      <c r="M1168" s="64"/>
      <c r="N1168" s="64"/>
      <c r="O1168" s="64"/>
      <c r="P1168" s="64"/>
      <c r="Q1168" s="64"/>
      <c r="R1168" s="64"/>
      <c r="S1168" s="64"/>
      <c r="T1168" s="64"/>
      <c r="U1168" s="64"/>
      <c r="V1168" s="64"/>
      <c r="W1168" s="64"/>
      <c r="X1168" s="64"/>
      <c r="Y1168" s="64"/>
      <c r="Z1168" s="64"/>
    </row>
    <row r="1169">
      <c r="A1169" s="65" t="str">
        <f>IFERROR(__xludf.DUMMYFUNCTION("""COMPUTED_VALUE"""),"-30.8987294971539")</f>
        <v>-30.8987294971539</v>
      </c>
      <c r="B1169" s="66" t="str">
        <f>IFERROR(__xludf.DUMMYFUNCTION("""COMPUTED_VALUE"""),"-55.5379716884469")</f>
        <v>-55.5379716884469</v>
      </c>
      <c r="C1169" s="66">
        <f>IFERROR(__xludf.DUMMYFUNCTION("""COMPUTED_VALUE"""),1.0)</f>
        <v>1</v>
      </c>
      <c r="D1169" s="66">
        <f>IFERROR(__xludf.DUMMYFUNCTION("""COMPUTED_VALUE"""),121.0)</f>
        <v>121</v>
      </c>
      <c r="E1169" s="66">
        <f>IFERROR(__xludf.DUMMYFUNCTION("""COMPUTED_VALUE"""),4.0)</f>
        <v>4</v>
      </c>
      <c r="F1169" s="67" t="str">
        <f>IFERROR(__xludf.DUMMYFUNCTION("""COMPUTED_VALUE"""),"https://www.google.com/maps/search/?api=1&amp;query=-30.8987294971539,-55.5379716884469")</f>
        <v>https://www.google.com/maps/search/?api=1&amp;query=-30.8987294971539,-55.5379716884469</v>
      </c>
      <c r="G1169" s="68" t="str">
        <f>IFERROR(__xludf.DUMMYFUNCTION("""COMPUTED_VALUE"""),"https://earth.google.com/web/search/-30.8987294971539,-55.5379716884469")</f>
        <v>https://earth.google.com/web/search/-30.8987294971539,-55.5379716884469</v>
      </c>
      <c r="H1169" s="64"/>
      <c r="I1169" s="64"/>
      <c r="J1169" s="64"/>
      <c r="K1169" s="64"/>
      <c r="L1169" s="64"/>
      <c r="M1169" s="64"/>
      <c r="N1169" s="64"/>
      <c r="O1169" s="64"/>
      <c r="P1169" s="64"/>
      <c r="Q1169" s="64"/>
      <c r="R1169" s="64"/>
      <c r="S1169" s="64"/>
      <c r="T1169" s="64"/>
      <c r="U1169" s="64"/>
      <c r="V1169" s="64"/>
      <c r="W1169" s="64"/>
      <c r="X1169" s="64"/>
      <c r="Y1169" s="64"/>
      <c r="Z1169" s="64"/>
    </row>
    <row r="1170">
      <c r="A1170" s="69" t="str">
        <f>IFERROR(__xludf.DUMMYFUNCTION("""COMPUTED_VALUE"""),"-30.8972896502978")</f>
        <v>-30.8972896502978</v>
      </c>
      <c r="B1170" s="61" t="str">
        <f>IFERROR(__xludf.DUMMYFUNCTION("""COMPUTED_VALUE"""),"-55.5392003359218")</f>
        <v>-55.5392003359218</v>
      </c>
      <c r="C1170" s="61">
        <f>IFERROR(__xludf.DUMMYFUNCTION("""COMPUTED_VALUE"""),1.0)</f>
        <v>1</v>
      </c>
      <c r="D1170" s="61">
        <f>IFERROR(__xludf.DUMMYFUNCTION("""COMPUTED_VALUE"""),120.0)</f>
        <v>120</v>
      </c>
      <c r="E1170" s="61">
        <f>IFERROR(__xludf.DUMMYFUNCTION("""COMPUTED_VALUE"""),1.0)</f>
        <v>1</v>
      </c>
      <c r="F1170" s="62" t="str">
        <f>IFERROR(__xludf.DUMMYFUNCTION("""COMPUTED_VALUE"""),"https://www.google.com/maps/search/?api=1&amp;query=-30.8972896502978,-55.5392003359218")</f>
        <v>https://www.google.com/maps/search/?api=1&amp;query=-30.8972896502978,-55.5392003359218</v>
      </c>
      <c r="G1170" s="63" t="str">
        <f>IFERROR(__xludf.DUMMYFUNCTION("""COMPUTED_VALUE"""),"https://earth.google.com/web/search/-30.8972896502978,-55.5392003359218")</f>
        <v>https://earth.google.com/web/search/-30.8972896502978,-55.5392003359218</v>
      </c>
      <c r="H1170" s="64"/>
      <c r="I1170" s="64"/>
      <c r="J1170" s="64"/>
      <c r="K1170" s="64"/>
      <c r="L1170" s="64"/>
      <c r="M1170" s="64"/>
      <c r="N1170" s="64"/>
      <c r="O1170" s="64"/>
      <c r="P1170" s="64"/>
      <c r="Q1170" s="64"/>
      <c r="R1170" s="64"/>
      <c r="S1170" s="64"/>
      <c r="T1170" s="64"/>
      <c r="U1170" s="64"/>
      <c r="V1170" s="64"/>
      <c r="W1170" s="64"/>
      <c r="X1170" s="64"/>
      <c r="Y1170" s="64"/>
      <c r="Z1170" s="64"/>
    </row>
    <row r="1171">
      <c r="A1171" s="65" t="str">
        <f>IFERROR(__xludf.DUMMYFUNCTION("""COMPUTED_VALUE"""),"-30.8974586254541")</f>
        <v>-30.8974586254541</v>
      </c>
      <c r="B1171" s="66" t="str">
        <f>IFERROR(__xludf.DUMMYFUNCTION("""COMPUTED_VALUE"""),"-55.5393184021817")</f>
        <v>-55.5393184021817</v>
      </c>
      <c r="C1171" s="66">
        <f>IFERROR(__xludf.DUMMYFUNCTION("""COMPUTED_VALUE"""),1.0)</f>
        <v>1</v>
      </c>
      <c r="D1171" s="66">
        <f>IFERROR(__xludf.DUMMYFUNCTION("""COMPUTED_VALUE"""),120.0)</f>
        <v>120</v>
      </c>
      <c r="E1171" s="66">
        <f>IFERROR(__xludf.DUMMYFUNCTION("""COMPUTED_VALUE"""),2.0)</f>
        <v>2</v>
      </c>
      <c r="F1171" s="67" t="str">
        <f>IFERROR(__xludf.DUMMYFUNCTION("""COMPUTED_VALUE"""),"https://www.google.com/maps/search/?api=1&amp;query=-30.8974586254541,-55.5393184021817")</f>
        <v>https://www.google.com/maps/search/?api=1&amp;query=-30.8974586254541,-55.5393184021817</v>
      </c>
      <c r="G1171" s="68" t="str">
        <f>IFERROR(__xludf.DUMMYFUNCTION("""COMPUTED_VALUE"""),"https://earth.google.com/web/search/-30.8974586254541,-55.5393184021817")</f>
        <v>https://earth.google.com/web/search/-30.8974586254541,-55.5393184021817</v>
      </c>
      <c r="H1171" s="64"/>
      <c r="I1171" s="64"/>
      <c r="J1171" s="64"/>
      <c r="K1171" s="64"/>
      <c r="L1171" s="64"/>
      <c r="M1171" s="64"/>
      <c r="N1171" s="64"/>
      <c r="O1171" s="64"/>
      <c r="P1171" s="64"/>
      <c r="Q1171" s="64"/>
      <c r="R1171" s="64"/>
      <c r="S1171" s="64"/>
      <c r="T1171" s="64"/>
      <c r="U1171" s="64"/>
      <c r="V1171" s="64"/>
      <c r="W1171" s="64"/>
      <c r="X1171" s="64"/>
      <c r="Y1171" s="64"/>
      <c r="Z1171" s="64"/>
    </row>
    <row r="1172">
      <c r="A1172" s="69" t="str">
        <f>IFERROR(__xludf.DUMMYFUNCTION("""COMPUTED_VALUE"""),"-30.8976626755872")</f>
        <v>-30.8976626755872</v>
      </c>
      <c r="B1172" s="61" t="str">
        <f>IFERROR(__xludf.DUMMYFUNCTION("""COMPUTED_VALUE"""),"-55.5394858623086")</f>
        <v>-55.5394858623086</v>
      </c>
      <c r="C1172" s="61">
        <f>IFERROR(__xludf.DUMMYFUNCTION("""COMPUTED_VALUE"""),1.0)</f>
        <v>1</v>
      </c>
      <c r="D1172" s="61">
        <f>IFERROR(__xludf.DUMMYFUNCTION("""COMPUTED_VALUE"""),120.0)</f>
        <v>120</v>
      </c>
      <c r="E1172" s="61">
        <f>IFERROR(__xludf.DUMMYFUNCTION("""COMPUTED_VALUE"""),3.0)</f>
        <v>3</v>
      </c>
      <c r="F1172" s="62" t="str">
        <f>IFERROR(__xludf.DUMMYFUNCTION("""COMPUTED_VALUE"""),"https://www.google.com/maps/search/?api=1&amp;query=-30.8976626755872,-55.5394858623086")</f>
        <v>https://www.google.com/maps/search/?api=1&amp;query=-30.8976626755872,-55.5394858623086</v>
      </c>
      <c r="G1172" s="63" t="str">
        <f>IFERROR(__xludf.DUMMYFUNCTION("""COMPUTED_VALUE"""),"https://earth.google.com/web/search/-30.8976626755872,-55.5394858623086")</f>
        <v>https://earth.google.com/web/search/-30.8976626755872,-55.5394858623086</v>
      </c>
      <c r="H1172" s="64"/>
      <c r="I1172" s="64"/>
      <c r="J1172" s="64"/>
      <c r="K1172" s="64"/>
      <c r="L1172" s="64"/>
      <c r="M1172" s="64"/>
      <c r="N1172" s="64"/>
      <c r="O1172" s="64"/>
      <c r="P1172" s="64"/>
      <c r="Q1172" s="64"/>
      <c r="R1172" s="64"/>
      <c r="S1172" s="64"/>
      <c r="T1172" s="64"/>
      <c r="U1172" s="64"/>
      <c r="V1172" s="64"/>
      <c r="W1172" s="64"/>
      <c r="X1172" s="64"/>
      <c r="Y1172" s="64"/>
      <c r="Z1172" s="64"/>
    </row>
    <row r="1173">
      <c r="A1173" s="65" t="str">
        <f>IFERROR(__xludf.DUMMYFUNCTION("""COMPUTED_VALUE"""),"-30.8977832569225")</f>
        <v>-30.8977832569225</v>
      </c>
      <c r="B1173" s="66" t="str">
        <f>IFERROR(__xludf.DUMMYFUNCTION("""COMPUTED_VALUE"""),"-55.5395537839099")</f>
        <v>-55.5395537839099</v>
      </c>
      <c r="C1173" s="66">
        <f>IFERROR(__xludf.DUMMYFUNCTION("""COMPUTED_VALUE"""),1.0)</f>
        <v>1</v>
      </c>
      <c r="D1173" s="66">
        <f>IFERROR(__xludf.DUMMYFUNCTION("""COMPUTED_VALUE"""),120.0)</f>
        <v>120</v>
      </c>
      <c r="E1173" s="66">
        <f>IFERROR(__xludf.DUMMYFUNCTION("""COMPUTED_VALUE"""),4.0)</f>
        <v>4</v>
      </c>
      <c r="F1173" s="67" t="str">
        <f>IFERROR(__xludf.DUMMYFUNCTION("""COMPUTED_VALUE"""),"https://www.google.com/maps/search/?api=1&amp;query=-30.8977832569225,-55.5395537839099")</f>
        <v>https://www.google.com/maps/search/?api=1&amp;query=-30.8977832569225,-55.5395537839099</v>
      </c>
      <c r="G1173" s="68" t="str">
        <f>IFERROR(__xludf.DUMMYFUNCTION("""COMPUTED_VALUE"""),"https://earth.google.com/web/search/-30.8977832569225,-55.5395537839099")</f>
        <v>https://earth.google.com/web/search/-30.8977832569225,-55.5395537839099</v>
      </c>
      <c r="H1173" s="64"/>
      <c r="I1173" s="64"/>
      <c r="J1173" s="64"/>
      <c r="K1173" s="64"/>
      <c r="L1173" s="64"/>
      <c r="M1173" s="64"/>
      <c r="N1173" s="64"/>
      <c r="O1173" s="64"/>
      <c r="P1173" s="64"/>
      <c r="Q1173" s="64"/>
      <c r="R1173" s="64"/>
      <c r="S1173" s="64"/>
      <c r="T1173" s="64"/>
      <c r="U1173" s="64"/>
      <c r="V1173" s="64"/>
      <c r="W1173" s="64"/>
      <c r="X1173" s="64"/>
      <c r="Y1173" s="64"/>
      <c r="Z1173" s="64"/>
    </row>
    <row r="1174">
      <c r="A1174" s="69" t="str">
        <f>IFERROR(__xludf.DUMMYFUNCTION("""COMPUTED_VALUE"""),"-30.8978977748816")</f>
        <v>-30.8978977748816</v>
      </c>
      <c r="B1174" s="61" t="str">
        <f>IFERROR(__xludf.DUMMYFUNCTION("""COMPUTED_VALUE"""),"-55.5395250873687")</f>
        <v>-55.5395250873687</v>
      </c>
      <c r="C1174" s="61">
        <f>IFERROR(__xludf.DUMMYFUNCTION("""COMPUTED_VALUE"""),1.0)</f>
        <v>1</v>
      </c>
      <c r="D1174" s="61">
        <f>IFERROR(__xludf.DUMMYFUNCTION("""COMPUTED_VALUE"""),120.0)</f>
        <v>120</v>
      </c>
      <c r="E1174" s="61">
        <f>IFERROR(__xludf.DUMMYFUNCTION("""COMPUTED_VALUE"""),5.0)</f>
        <v>5</v>
      </c>
      <c r="F1174" s="62" t="str">
        <f>IFERROR(__xludf.DUMMYFUNCTION("""COMPUTED_VALUE"""),"https://www.google.com/maps/search/?api=1&amp;query=-30.8978977748816,-55.5395250873687")</f>
        <v>https://www.google.com/maps/search/?api=1&amp;query=-30.8978977748816,-55.5395250873687</v>
      </c>
      <c r="G1174" s="63" t="str">
        <f>IFERROR(__xludf.DUMMYFUNCTION("""COMPUTED_VALUE"""),"https://earth.google.com/web/search/-30.8978977748816,-55.5395250873687")</f>
        <v>https://earth.google.com/web/search/-30.8978977748816,-55.5395250873687</v>
      </c>
      <c r="H1174" s="64"/>
      <c r="I1174" s="64"/>
      <c r="J1174" s="64"/>
      <c r="K1174" s="64"/>
      <c r="L1174" s="64"/>
      <c r="M1174" s="64"/>
      <c r="N1174" s="64"/>
      <c r="O1174" s="64"/>
      <c r="P1174" s="64"/>
      <c r="Q1174" s="64"/>
      <c r="R1174" s="64"/>
      <c r="S1174" s="64"/>
      <c r="T1174" s="64"/>
      <c r="U1174" s="64"/>
      <c r="V1174" s="64"/>
      <c r="W1174" s="64"/>
      <c r="X1174" s="64"/>
      <c r="Y1174" s="64"/>
      <c r="Z1174" s="64"/>
    </row>
    <row r="1175">
      <c r="A1175" s="65" t="str">
        <f>IFERROR(__xludf.DUMMYFUNCTION("""COMPUTED_VALUE"""),"-0.3089720011116")</f>
        <v>-0.3089720011116</v>
      </c>
      <c r="B1175" s="66" t="str">
        <f>IFERROR(__xludf.DUMMYFUNCTION("""COMPUTED_VALUE"""),"-5.5539287761384")</f>
        <v>-5.5539287761384</v>
      </c>
      <c r="C1175" s="66">
        <f>IFERROR(__xludf.DUMMYFUNCTION("""COMPUTED_VALUE"""),1.0)</f>
        <v>1</v>
      </c>
      <c r="D1175" s="66">
        <f>IFERROR(__xludf.DUMMYFUNCTION("""COMPUTED_VALUE"""),119.0)</f>
        <v>119</v>
      </c>
      <c r="E1175" s="66">
        <f>IFERROR(__xludf.DUMMYFUNCTION("""COMPUTED_VALUE"""),1.0)</f>
        <v>1</v>
      </c>
      <c r="F1175" s="67" t="str">
        <f>IFERROR(__xludf.DUMMYFUNCTION("""COMPUTED_VALUE"""),"https://www.google.com/maps/search/?api=1&amp;query=-0.3089720011116,-5.5539287761384")</f>
        <v>https://www.google.com/maps/search/?api=1&amp;query=-0.3089720011116,-5.5539287761384</v>
      </c>
      <c r="G1175" s="68" t="str">
        <f>IFERROR(__xludf.DUMMYFUNCTION("""COMPUTED_VALUE"""),"https://earth.google.com/web/search/-0.3089720011116,-5.5539287761384")</f>
        <v>https://earth.google.com/web/search/-0.3089720011116,-5.5539287761384</v>
      </c>
      <c r="H1175" s="64"/>
      <c r="I1175" s="64"/>
      <c r="J1175" s="64"/>
      <c r="K1175" s="64"/>
      <c r="L1175" s="64"/>
      <c r="M1175" s="64"/>
      <c r="N1175" s="64"/>
      <c r="O1175" s="64"/>
      <c r="P1175" s="64"/>
      <c r="Q1175" s="64"/>
      <c r="R1175" s="64"/>
      <c r="S1175" s="64"/>
      <c r="T1175" s="64"/>
      <c r="U1175" s="64"/>
      <c r="V1175" s="64"/>
      <c r="W1175" s="64"/>
      <c r="X1175" s="64"/>
      <c r="Y1175" s="64"/>
      <c r="Z1175" s="64"/>
    </row>
    <row r="1176">
      <c r="A1176" s="69" t="str">
        <f>IFERROR(__xludf.DUMMYFUNCTION("""COMPUTED_VALUE"""),"-30.8972337829006")</f>
        <v>-30.8972337829006</v>
      </c>
      <c r="B1176" s="61" t="str">
        <f>IFERROR(__xludf.DUMMYFUNCTION("""COMPUTED_VALUE"""),"-55.5393284620067")</f>
        <v>-55.5393284620067</v>
      </c>
      <c r="C1176" s="61">
        <f>IFERROR(__xludf.DUMMYFUNCTION("""COMPUTED_VALUE"""),1.0)</f>
        <v>1</v>
      </c>
      <c r="D1176" s="61">
        <f>IFERROR(__xludf.DUMMYFUNCTION("""COMPUTED_VALUE"""),119.0)</f>
        <v>119</v>
      </c>
      <c r="E1176" s="61">
        <f>IFERROR(__xludf.DUMMYFUNCTION("""COMPUTED_VALUE"""),2.0)</f>
        <v>2</v>
      </c>
      <c r="F1176" s="62" t="str">
        <f>IFERROR(__xludf.DUMMYFUNCTION("""COMPUTED_VALUE"""),"https://www.google.com/maps/search/?api=1&amp;query=-30.8972337829006,-55.5393284620067")</f>
        <v>https://www.google.com/maps/search/?api=1&amp;query=-30.8972337829006,-55.5393284620067</v>
      </c>
      <c r="G1176" s="63" t="str">
        <f>IFERROR(__xludf.DUMMYFUNCTION("""COMPUTED_VALUE"""),"https://earth.google.com/web/search/-30.8972337829006,-55.5393284620067")</f>
        <v>https://earth.google.com/web/search/-30.8972337829006,-55.5393284620067</v>
      </c>
      <c r="H1176" s="64"/>
      <c r="I1176" s="64"/>
      <c r="J1176" s="64"/>
      <c r="K1176" s="64"/>
      <c r="L1176" s="64"/>
      <c r="M1176" s="64"/>
      <c r="N1176" s="64"/>
      <c r="O1176" s="64"/>
      <c r="P1176" s="64"/>
      <c r="Q1176" s="64"/>
      <c r="R1176" s="64"/>
      <c r="S1176" s="64"/>
      <c r="T1176" s="64"/>
      <c r="U1176" s="64"/>
      <c r="V1176" s="64"/>
      <c r="W1176" s="64"/>
      <c r="X1176" s="64"/>
      <c r="Y1176" s="64"/>
      <c r="Z1176" s="64"/>
    </row>
    <row r="1177">
      <c r="A1177" s="65" t="str">
        <f>IFERROR(__xludf.DUMMYFUNCTION("""COMPUTED_VALUE"""),"-30.8973076179056")</f>
        <v>-30.8973076179056</v>
      </c>
      <c r="B1177" s="66" t="str">
        <f>IFERROR(__xludf.DUMMYFUNCTION("""COMPUTED_VALUE"""),"-55.5393588240591")</f>
        <v>-55.5393588240591</v>
      </c>
      <c r="C1177" s="66">
        <f>IFERROR(__xludf.DUMMYFUNCTION("""COMPUTED_VALUE"""),1.0)</f>
        <v>1</v>
      </c>
      <c r="D1177" s="66">
        <f>IFERROR(__xludf.DUMMYFUNCTION("""COMPUTED_VALUE"""),119.0)</f>
        <v>119</v>
      </c>
      <c r="E1177" s="66">
        <f>IFERROR(__xludf.DUMMYFUNCTION("""COMPUTED_VALUE"""),3.0)</f>
        <v>3</v>
      </c>
      <c r="F1177" s="67" t="str">
        <f>IFERROR(__xludf.DUMMYFUNCTION("""COMPUTED_VALUE"""),"https://www.google.com/maps/search/?api=1&amp;query=-30.8973076179056,-55.5393588240591")</f>
        <v>https://www.google.com/maps/search/?api=1&amp;query=-30.8973076179056,-55.5393588240591</v>
      </c>
      <c r="G1177" s="68" t="str">
        <f>IFERROR(__xludf.DUMMYFUNCTION("""COMPUTED_VALUE"""),"https://earth.google.com/web/search/-30.8973076179056,-55.5393588240591")</f>
        <v>https://earth.google.com/web/search/-30.8973076179056,-55.5393588240591</v>
      </c>
      <c r="H1177" s="64"/>
      <c r="I1177" s="64"/>
      <c r="J1177" s="64"/>
      <c r="K1177" s="64"/>
      <c r="L1177" s="64"/>
      <c r="M1177" s="64"/>
      <c r="N1177" s="64"/>
      <c r="O1177" s="64"/>
      <c r="P1177" s="64"/>
      <c r="Q1177" s="64"/>
      <c r="R1177" s="64"/>
      <c r="S1177" s="64"/>
      <c r="T1177" s="64"/>
      <c r="U1177" s="64"/>
      <c r="V1177" s="64"/>
      <c r="W1177" s="64"/>
      <c r="X1177" s="64"/>
      <c r="Y1177" s="64"/>
      <c r="Z1177" s="64"/>
    </row>
    <row r="1178">
      <c r="A1178" s="69" t="str">
        <f>IFERROR(__xludf.DUMMYFUNCTION("""COMPUTED_VALUE"""),"-30.8976901340647")</f>
        <v>-30.8976901340647</v>
      </c>
      <c r="B1178" s="61" t="str">
        <f>IFERROR(__xludf.DUMMYFUNCTION("""COMPUTED_VALUE"""),"-55.5399363732784")</f>
        <v>-55.5399363732784</v>
      </c>
      <c r="C1178" s="61">
        <f>IFERROR(__xludf.DUMMYFUNCTION("""COMPUTED_VALUE"""),1.0)</f>
        <v>1</v>
      </c>
      <c r="D1178" s="61">
        <f>IFERROR(__xludf.DUMMYFUNCTION("""COMPUTED_VALUE"""),119.0)</f>
        <v>119</v>
      </c>
      <c r="E1178" s="61">
        <f>IFERROR(__xludf.DUMMYFUNCTION("""COMPUTED_VALUE"""),4.0)</f>
        <v>4</v>
      </c>
      <c r="F1178" s="62" t="str">
        <f>IFERROR(__xludf.DUMMYFUNCTION("""COMPUTED_VALUE"""),"https://www.google.com/maps/search/?api=1&amp;query=-30.8976901340647,-55.5399363732784")</f>
        <v>https://www.google.com/maps/search/?api=1&amp;query=-30.8976901340647,-55.5399363732784</v>
      </c>
      <c r="G1178" s="63" t="str">
        <f>IFERROR(__xludf.DUMMYFUNCTION("""COMPUTED_VALUE"""),"https://earth.google.com/web/search/-30.8976901340647,-55.5399363732784")</f>
        <v>https://earth.google.com/web/search/-30.8976901340647,-55.5399363732784</v>
      </c>
      <c r="H1178" s="64"/>
      <c r="I1178" s="64"/>
      <c r="J1178" s="64"/>
      <c r="K1178" s="64"/>
      <c r="L1178" s="64"/>
      <c r="M1178" s="64"/>
      <c r="N1178" s="64"/>
      <c r="O1178" s="64"/>
      <c r="P1178" s="64"/>
      <c r="Q1178" s="64"/>
      <c r="R1178" s="64"/>
      <c r="S1178" s="64"/>
      <c r="T1178" s="64"/>
      <c r="U1178" s="64"/>
      <c r="V1178" s="64"/>
      <c r="W1178" s="64"/>
      <c r="X1178" s="64"/>
      <c r="Y1178" s="64"/>
      <c r="Z1178" s="64"/>
    </row>
    <row r="1179">
      <c r="A1179" s="65" t="str">
        <f>IFERROR(__xludf.DUMMYFUNCTION("""COMPUTED_VALUE"""),"-30.8972945806288")</f>
        <v>-30.8972945806288</v>
      </c>
      <c r="B1179" s="66" t="str">
        <f>IFERROR(__xludf.DUMMYFUNCTION("""COMPUTED_VALUE"""),"-55.5405000705481")</f>
        <v>-55.5405000705481</v>
      </c>
      <c r="C1179" s="66">
        <f>IFERROR(__xludf.DUMMYFUNCTION("""COMPUTED_VALUE"""),1.0)</f>
        <v>1</v>
      </c>
      <c r="D1179" s="66">
        <f>IFERROR(__xludf.DUMMYFUNCTION("""COMPUTED_VALUE"""),119.0)</f>
        <v>119</v>
      </c>
      <c r="E1179" s="66">
        <f>IFERROR(__xludf.DUMMYFUNCTION("""COMPUTED_VALUE"""),5.0)</f>
        <v>5</v>
      </c>
      <c r="F1179" s="67" t="str">
        <f>IFERROR(__xludf.DUMMYFUNCTION("""COMPUTED_VALUE"""),"https://www.google.com/maps/search/?api=1&amp;query=-30.8972945806288,-55.5405000705481")</f>
        <v>https://www.google.com/maps/search/?api=1&amp;query=-30.8972945806288,-55.5405000705481</v>
      </c>
      <c r="G1179" s="68" t="str">
        <f>IFERROR(__xludf.DUMMYFUNCTION("""COMPUTED_VALUE"""),"https://earth.google.com/web/search/-30.8972945806288,-55.5405000705481")</f>
        <v>https://earth.google.com/web/search/-30.8972945806288,-55.5405000705481</v>
      </c>
      <c r="H1179" s="64"/>
      <c r="I1179" s="64"/>
      <c r="J1179" s="64"/>
      <c r="K1179" s="64"/>
      <c r="L1179" s="64"/>
      <c r="M1179" s="64"/>
      <c r="N1179" s="64"/>
      <c r="O1179" s="64"/>
      <c r="P1179" s="64"/>
      <c r="Q1179" s="64"/>
      <c r="R1179" s="64"/>
      <c r="S1179" s="64"/>
      <c r="T1179" s="64"/>
      <c r="U1179" s="64"/>
      <c r="V1179" s="64"/>
      <c r="W1179" s="64"/>
      <c r="X1179" s="64"/>
      <c r="Y1179" s="64"/>
      <c r="Z1179" s="64"/>
    </row>
    <row r="1180">
      <c r="A1180" s="69" t="str">
        <f>IFERROR(__xludf.DUMMYFUNCTION("""COMPUTED_VALUE"""),"-30.8972200285037")</f>
        <v>-30.8972200285037</v>
      </c>
      <c r="B1180" s="61" t="str">
        <f>IFERROR(__xludf.DUMMYFUNCTION("""COMPUTED_VALUE"""),"-55.5404426357243")</f>
        <v>-55.5404426357243</v>
      </c>
      <c r="C1180" s="61">
        <f>IFERROR(__xludf.DUMMYFUNCTION("""COMPUTED_VALUE"""),1.0)</f>
        <v>1</v>
      </c>
      <c r="D1180" s="61">
        <f>IFERROR(__xludf.DUMMYFUNCTION("""COMPUTED_VALUE"""),119.0)</f>
        <v>119</v>
      </c>
      <c r="E1180" s="61">
        <f>IFERROR(__xludf.DUMMYFUNCTION("""COMPUTED_VALUE"""),6.0)</f>
        <v>6</v>
      </c>
      <c r="F1180" s="62" t="str">
        <f>IFERROR(__xludf.DUMMYFUNCTION("""COMPUTED_VALUE"""),"https://www.google.com/maps/search/?api=1&amp;query=-30.8972200285037,-55.5404426357243")</f>
        <v>https://www.google.com/maps/search/?api=1&amp;query=-30.8972200285037,-55.5404426357243</v>
      </c>
      <c r="G1180" s="63" t="str">
        <f>IFERROR(__xludf.DUMMYFUNCTION("""COMPUTED_VALUE"""),"https://earth.google.com/web/search/-30.8972200285037,-55.5404426357243")</f>
        <v>https://earth.google.com/web/search/-30.8972200285037,-55.5404426357243</v>
      </c>
      <c r="H1180" s="64"/>
      <c r="I1180" s="64"/>
      <c r="J1180" s="64"/>
      <c r="K1180" s="64"/>
      <c r="L1180" s="64"/>
      <c r="M1180" s="64"/>
      <c r="N1180" s="64"/>
      <c r="O1180" s="64"/>
      <c r="P1180" s="64"/>
      <c r="Q1180" s="64"/>
      <c r="R1180" s="64"/>
      <c r="S1180" s="64"/>
      <c r="T1180" s="64"/>
      <c r="U1180" s="64"/>
      <c r="V1180" s="64"/>
      <c r="W1180" s="64"/>
      <c r="X1180" s="64"/>
      <c r="Y1180" s="64"/>
      <c r="Z1180" s="64"/>
    </row>
    <row r="1181">
      <c r="A1181" s="65" t="str">
        <f>IFERROR(__xludf.DUMMYFUNCTION("""COMPUTED_VALUE"""),"-30.8969234643524")</f>
        <v>-30.8969234643524</v>
      </c>
      <c r="B1181" s="66" t="str">
        <f>IFERROR(__xludf.DUMMYFUNCTION("""COMPUTED_VALUE"""),"-55.5402210109314")</f>
        <v>-55.5402210109314</v>
      </c>
      <c r="C1181" s="66">
        <f>IFERROR(__xludf.DUMMYFUNCTION("""COMPUTED_VALUE"""),1.0)</f>
        <v>1</v>
      </c>
      <c r="D1181" s="66">
        <f>IFERROR(__xludf.DUMMYFUNCTION("""COMPUTED_VALUE"""),119.0)</f>
        <v>119</v>
      </c>
      <c r="E1181" s="66">
        <f>IFERROR(__xludf.DUMMYFUNCTION("""COMPUTED_VALUE"""),7.0)</f>
        <v>7</v>
      </c>
      <c r="F1181" s="67" t="str">
        <f>IFERROR(__xludf.DUMMYFUNCTION("""COMPUTED_VALUE"""),"https://www.google.com/maps/search/?api=1&amp;query=-30.8969234643524,-55.5402210109314")</f>
        <v>https://www.google.com/maps/search/?api=1&amp;query=-30.8969234643524,-55.5402210109314</v>
      </c>
      <c r="G1181" s="68" t="str">
        <f>IFERROR(__xludf.DUMMYFUNCTION("""COMPUTED_VALUE"""),"https://earth.google.com/web/search/-30.8969234643524,-55.5402210109314")</f>
        <v>https://earth.google.com/web/search/-30.8969234643524,-55.5402210109314</v>
      </c>
      <c r="H1181" s="64"/>
      <c r="I1181" s="64"/>
      <c r="J1181" s="64"/>
      <c r="K1181" s="64"/>
      <c r="L1181" s="64"/>
      <c r="M1181" s="64"/>
      <c r="N1181" s="64"/>
      <c r="O1181" s="64"/>
      <c r="P1181" s="64"/>
      <c r="Q1181" s="64"/>
      <c r="R1181" s="64"/>
      <c r="S1181" s="64"/>
      <c r="T1181" s="64"/>
      <c r="U1181" s="64"/>
      <c r="V1181" s="64"/>
      <c r="W1181" s="64"/>
      <c r="X1181" s="64"/>
      <c r="Y1181" s="64"/>
      <c r="Z1181" s="64"/>
    </row>
    <row r="1182">
      <c r="A1182" s="69" t="str">
        <f>IFERROR(__xludf.DUMMYFUNCTION("""COMPUTED_VALUE"""),"-30.8963594061273")</f>
        <v>-30.8963594061273</v>
      </c>
      <c r="B1182" s="61" t="str">
        <f>IFERROR(__xludf.DUMMYFUNCTION("""COMPUTED_VALUE"""),"-55.5410719747362")</f>
        <v>-55.5410719747362</v>
      </c>
      <c r="C1182" s="61">
        <f>IFERROR(__xludf.DUMMYFUNCTION("""COMPUTED_VALUE"""),1.0)</f>
        <v>1</v>
      </c>
      <c r="D1182" s="61">
        <f>IFERROR(__xludf.DUMMYFUNCTION("""COMPUTED_VALUE"""),118.0)</f>
        <v>118</v>
      </c>
      <c r="E1182" s="61">
        <f>IFERROR(__xludf.DUMMYFUNCTION("""COMPUTED_VALUE"""),1.0)</f>
        <v>1</v>
      </c>
      <c r="F1182" s="62" t="str">
        <f>IFERROR(__xludf.DUMMYFUNCTION("""COMPUTED_VALUE"""),"https://www.google.com/maps/search/?api=1&amp;query=-30.8963594061273,-55.5410719747362")</f>
        <v>https://www.google.com/maps/search/?api=1&amp;query=-30.8963594061273,-55.5410719747362</v>
      </c>
      <c r="G1182" s="63" t="str">
        <f>IFERROR(__xludf.DUMMYFUNCTION("""COMPUTED_VALUE"""),"https://earth.google.com/web/search/-30.8963594061273,-55.5410719747362")</f>
        <v>https://earth.google.com/web/search/-30.8963594061273,-55.5410719747362</v>
      </c>
      <c r="H1182" s="64"/>
      <c r="I1182" s="64"/>
      <c r="J1182" s="64"/>
      <c r="K1182" s="64"/>
      <c r="L1182" s="64"/>
      <c r="M1182" s="64"/>
      <c r="N1182" s="64"/>
      <c r="O1182" s="64"/>
      <c r="P1182" s="64"/>
      <c r="Q1182" s="64"/>
      <c r="R1182" s="64"/>
      <c r="S1182" s="64"/>
      <c r="T1182" s="64"/>
      <c r="U1182" s="64"/>
      <c r="V1182" s="64"/>
      <c r="W1182" s="64"/>
      <c r="X1182" s="64"/>
      <c r="Y1182" s="64"/>
      <c r="Z1182" s="64"/>
    </row>
    <row r="1183">
      <c r="A1183" s="65" t="str">
        <f>IFERROR(__xludf.DUMMYFUNCTION("""COMPUTED_VALUE"""),"-30.8964080224016")</f>
        <v>-30.8964080224016</v>
      </c>
      <c r="B1183" s="66" t="str">
        <f>IFERROR(__xludf.DUMMYFUNCTION("""COMPUTED_VALUE"""),"-55.5411064834186")</f>
        <v>-55.5411064834186</v>
      </c>
      <c r="C1183" s="66">
        <f>IFERROR(__xludf.DUMMYFUNCTION("""COMPUTED_VALUE"""),1.0)</f>
        <v>1</v>
      </c>
      <c r="D1183" s="66">
        <f>IFERROR(__xludf.DUMMYFUNCTION("""COMPUTED_VALUE"""),118.0)</f>
        <v>118</v>
      </c>
      <c r="E1183" s="66">
        <f>IFERROR(__xludf.DUMMYFUNCTION("""COMPUTED_VALUE"""),2.0)</f>
        <v>2</v>
      </c>
      <c r="F1183" s="67" t="str">
        <f>IFERROR(__xludf.DUMMYFUNCTION("""COMPUTED_VALUE"""),"https://www.google.com/maps/search/?api=1&amp;query=-30.8964080224016,-55.5411064834186")</f>
        <v>https://www.google.com/maps/search/?api=1&amp;query=-30.8964080224016,-55.5411064834186</v>
      </c>
      <c r="G1183" s="68" t="str">
        <f>IFERROR(__xludf.DUMMYFUNCTION("""COMPUTED_VALUE"""),"https://earth.google.com/web/search/-30.8964080224016,-55.5411064834186")</f>
        <v>https://earth.google.com/web/search/-30.8964080224016,-55.5411064834186</v>
      </c>
      <c r="H1183" s="64"/>
      <c r="I1183" s="64"/>
      <c r="J1183" s="64"/>
      <c r="K1183" s="64"/>
      <c r="L1183" s="64"/>
      <c r="M1183" s="64"/>
      <c r="N1183" s="64"/>
      <c r="O1183" s="64"/>
      <c r="P1183" s="64"/>
      <c r="Q1183" s="64"/>
      <c r="R1183" s="64"/>
      <c r="S1183" s="64"/>
      <c r="T1183" s="64"/>
      <c r="U1183" s="64"/>
      <c r="V1183" s="64"/>
      <c r="W1183" s="64"/>
      <c r="X1183" s="64"/>
      <c r="Y1183" s="64"/>
      <c r="Z1183" s="64"/>
    </row>
    <row r="1184">
      <c r="A1184" s="69" t="str">
        <f>IFERROR(__xludf.DUMMYFUNCTION("""COMPUTED_VALUE"""),"-30.8964373755891")</f>
        <v>-30.8964373755891</v>
      </c>
      <c r="B1184" s="61" t="str">
        <f>IFERROR(__xludf.DUMMYFUNCTION("""COMPUTED_VALUE"""),"-55.5411551762125")</f>
        <v>-55.5411551762125</v>
      </c>
      <c r="C1184" s="61">
        <f>IFERROR(__xludf.DUMMYFUNCTION("""COMPUTED_VALUE"""),1.0)</f>
        <v>1</v>
      </c>
      <c r="D1184" s="61">
        <f>IFERROR(__xludf.DUMMYFUNCTION("""COMPUTED_VALUE"""),118.0)</f>
        <v>118</v>
      </c>
      <c r="E1184" s="61">
        <f>IFERROR(__xludf.DUMMYFUNCTION("""COMPUTED_VALUE"""),3.0)</f>
        <v>3</v>
      </c>
      <c r="F1184" s="62" t="str">
        <f>IFERROR(__xludf.DUMMYFUNCTION("""COMPUTED_VALUE"""),"https://www.google.com/maps/search/?api=1&amp;query=-30.8964373755891,-55.5411551762125")</f>
        <v>https://www.google.com/maps/search/?api=1&amp;query=-30.8964373755891,-55.5411551762125</v>
      </c>
      <c r="G1184" s="63" t="str">
        <f>IFERROR(__xludf.DUMMYFUNCTION("""COMPUTED_VALUE"""),"https://earth.google.com/web/search/-30.8964373755891,-55.5411551762125")</f>
        <v>https://earth.google.com/web/search/-30.8964373755891,-55.5411551762125</v>
      </c>
      <c r="H1184" s="64"/>
      <c r="I1184" s="64"/>
      <c r="J1184" s="64"/>
      <c r="K1184" s="64"/>
      <c r="L1184" s="64"/>
      <c r="M1184" s="64"/>
      <c r="N1184" s="64"/>
      <c r="O1184" s="64"/>
      <c r="P1184" s="64"/>
      <c r="Q1184" s="64"/>
      <c r="R1184" s="64"/>
      <c r="S1184" s="64"/>
      <c r="T1184" s="64"/>
      <c r="U1184" s="64"/>
      <c r="V1184" s="64"/>
      <c r="W1184" s="64"/>
      <c r="X1184" s="64"/>
      <c r="Y1184" s="64"/>
      <c r="Z1184" s="64"/>
    </row>
    <row r="1185">
      <c r="A1185" s="65" t="str">
        <f>IFERROR(__xludf.DUMMYFUNCTION("""COMPUTED_VALUE"""),"-30.8965003591061")</f>
        <v>-30.8965003591061</v>
      </c>
      <c r="B1185" s="66" t="str">
        <f>IFERROR(__xludf.DUMMYFUNCTION("""COMPUTED_VALUE"""),"-55.5411752526253")</f>
        <v>-55.5411752526253</v>
      </c>
      <c r="C1185" s="66">
        <f>IFERROR(__xludf.DUMMYFUNCTION("""COMPUTED_VALUE"""),1.0)</f>
        <v>1</v>
      </c>
      <c r="D1185" s="66">
        <f>IFERROR(__xludf.DUMMYFUNCTION("""COMPUTED_VALUE"""),118.0)</f>
        <v>118</v>
      </c>
      <c r="E1185" s="66">
        <f>IFERROR(__xludf.DUMMYFUNCTION("""COMPUTED_VALUE"""),4.0)</f>
        <v>4</v>
      </c>
      <c r="F1185" s="67" t="str">
        <f>IFERROR(__xludf.DUMMYFUNCTION("""COMPUTED_VALUE"""),"https://www.google.com/maps/search/?api=1&amp;query=-30.8965003591061,-55.5411752526253")</f>
        <v>https://www.google.com/maps/search/?api=1&amp;query=-30.8965003591061,-55.5411752526253</v>
      </c>
      <c r="G1185" s="68" t="str">
        <f>IFERROR(__xludf.DUMMYFUNCTION("""COMPUTED_VALUE"""),"https://earth.google.com/web/search/-30.8965003591061,-55.5411752526253")</f>
        <v>https://earth.google.com/web/search/-30.8965003591061,-55.5411752526253</v>
      </c>
      <c r="H1185" s="64"/>
      <c r="I1185" s="64"/>
      <c r="J1185" s="64"/>
      <c r="K1185" s="64"/>
      <c r="L1185" s="64"/>
      <c r="M1185" s="64"/>
      <c r="N1185" s="64"/>
      <c r="O1185" s="64"/>
      <c r="P1185" s="64"/>
      <c r="Q1185" s="64"/>
      <c r="R1185" s="64"/>
      <c r="S1185" s="64"/>
      <c r="T1185" s="64"/>
      <c r="U1185" s="64"/>
      <c r="V1185" s="64"/>
      <c r="W1185" s="64"/>
      <c r="X1185" s="64"/>
      <c r="Y1185" s="64"/>
      <c r="Z1185" s="64"/>
    </row>
    <row r="1186">
      <c r="A1186" s="69" t="str">
        <f>IFERROR(__xludf.DUMMYFUNCTION("""COMPUTED_VALUE"""),"-30.8966018831785")</f>
        <v>-30.8966018831785</v>
      </c>
      <c r="B1186" s="61" t="str">
        <f>IFERROR(__xludf.DUMMYFUNCTION("""COMPUTED_VALUE"""),"-55.5412525676193")</f>
        <v>-55.5412525676193</v>
      </c>
      <c r="C1186" s="61">
        <f>IFERROR(__xludf.DUMMYFUNCTION("""COMPUTED_VALUE"""),1.0)</f>
        <v>1</v>
      </c>
      <c r="D1186" s="61">
        <f>IFERROR(__xludf.DUMMYFUNCTION("""COMPUTED_VALUE"""),115.0)</f>
        <v>115</v>
      </c>
      <c r="E1186" s="61">
        <f>IFERROR(__xludf.DUMMYFUNCTION("""COMPUTED_VALUE"""),5.0)</f>
        <v>5</v>
      </c>
      <c r="F1186" s="62" t="str">
        <f>IFERROR(__xludf.DUMMYFUNCTION("""COMPUTED_VALUE"""),"https://www.google.com/maps/search/?api=1&amp;query=-30.8966018831785,-55.5412525676193")</f>
        <v>https://www.google.com/maps/search/?api=1&amp;query=-30.8966018831785,-55.5412525676193</v>
      </c>
      <c r="G1186" s="63" t="str">
        <f>IFERROR(__xludf.DUMMYFUNCTION("""COMPUTED_VALUE"""),"https://earth.google.com/web/search/-30.8966018831785,-55.5412525676193")</f>
        <v>https://earth.google.com/web/search/-30.8966018831785,-55.5412525676193</v>
      </c>
      <c r="H1186" s="64"/>
      <c r="I1186" s="64"/>
      <c r="J1186" s="64"/>
      <c r="K1186" s="64"/>
      <c r="L1186" s="64"/>
      <c r="M1186" s="64"/>
      <c r="N1186" s="64"/>
      <c r="O1186" s="64"/>
      <c r="P1186" s="64"/>
      <c r="Q1186" s="64"/>
      <c r="R1186" s="64"/>
      <c r="S1186" s="64"/>
      <c r="T1186" s="64"/>
      <c r="U1186" s="64"/>
      <c r="V1186" s="64"/>
      <c r="W1186" s="64"/>
      <c r="X1186" s="64"/>
      <c r="Y1186" s="64"/>
      <c r="Z1186" s="64"/>
    </row>
    <row r="1187">
      <c r="A1187" s="65" t="str">
        <f>IFERROR(__xludf.DUMMYFUNCTION("""COMPUTED_VALUE"""),"-30.8967626825968")</f>
        <v>-30.8967626825968</v>
      </c>
      <c r="B1187" s="66" t="str">
        <f>IFERROR(__xludf.DUMMYFUNCTION("""COMPUTED_VALUE"""),"-55.5413512600351")</f>
        <v>-55.5413512600351</v>
      </c>
      <c r="C1187" s="66">
        <f>IFERROR(__xludf.DUMMYFUNCTION("""COMPUTED_VALUE"""),1.0)</f>
        <v>1</v>
      </c>
      <c r="D1187" s="66">
        <f>IFERROR(__xludf.DUMMYFUNCTION("""COMPUTED_VALUE"""),118.0)</f>
        <v>118</v>
      </c>
      <c r="E1187" s="66">
        <f>IFERROR(__xludf.DUMMYFUNCTION("""COMPUTED_VALUE"""),6.0)</f>
        <v>6</v>
      </c>
      <c r="F1187" s="67" t="str">
        <f>IFERROR(__xludf.DUMMYFUNCTION("""COMPUTED_VALUE"""),"https://www.google.com/maps/search/?api=1&amp;query=-30.8967626825968,-55.5413512600351")</f>
        <v>https://www.google.com/maps/search/?api=1&amp;query=-30.8967626825968,-55.5413512600351</v>
      </c>
      <c r="G1187" s="68" t="str">
        <f>IFERROR(__xludf.DUMMYFUNCTION("""COMPUTED_VALUE"""),"https://earth.google.com/web/search/-30.8967626825968,-55.5413512600351")</f>
        <v>https://earth.google.com/web/search/-30.8967626825968,-55.5413512600351</v>
      </c>
      <c r="H1187" s="64"/>
      <c r="I1187" s="64"/>
      <c r="J1187" s="64"/>
      <c r="K1187" s="64"/>
      <c r="L1187" s="64"/>
      <c r="M1187" s="64"/>
      <c r="N1187" s="64"/>
      <c r="O1187" s="64"/>
      <c r="P1187" s="64"/>
      <c r="Q1187" s="64"/>
      <c r="R1187" s="64"/>
      <c r="S1187" s="64"/>
      <c r="T1187" s="64"/>
      <c r="U1187" s="64"/>
      <c r="V1187" s="64"/>
      <c r="W1187" s="64"/>
      <c r="X1187" s="64"/>
      <c r="Y1187" s="64"/>
      <c r="Z1187" s="64"/>
    </row>
    <row r="1188">
      <c r="A1188" s="69" t="str">
        <f>IFERROR(__xludf.DUMMYFUNCTION("""COMPUTED_VALUE"""),"-3.0897229323636")</f>
        <v>-3.0897229323636</v>
      </c>
      <c r="B1188" s="61" t="str">
        <f>IFERROR(__xludf.DUMMYFUNCTION("""COMPUTED_VALUE"""),"-55.5407773038706")</f>
        <v>-55.5407773038706</v>
      </c>
      <c r="C1188" s="61">
        <f>IFERROR(__xludf.DUMMYFUNCTION("""COMPUTED_VALUE"""),1.0)</f>
        <v>1</v>
      </c>
      <c r="D1188" s="61">
        <f>IFERROR(__xludf.DUMMYFUNCTION("""COMPUTED_VALUE"""),118.0)</f>
        <v>118</v>
      </c>
      <c r="E1188" s="61">
        <f>IFERROR(__xludf.DUMMYFUNCTION("""COMPUTED_VALUE"""),7.0)</f>
        <v>7</v>
      </c>
      <c r="F1188" s="62" t="str">
        <f>IFERROR(__xludf.DUMMYFUNCTION("""COMPUTED_VALUE"""),"https://www.google.com/maps/search/?api=1&amp;query=-3.0897229323636,-55.5407773038706")</f>
        <v>https://www.google.com/maps/search/?api=1&amp;query=-3.0897229323636,-55.5407773038706</v>
      </c>
      <c r="G1188" s="63" t="str">
        <f>IFERROR(__xludf.DUMMYFUNCTION("""COMPUTED_VALUE"""),"https://earth.google.com/web/search/-3.0897229323636,-55.5407773038706")</f>
        <v>https://earth.google.com/web/search/-3.0897229323636,-55.5407773038706</v>
      </c>
      <c r="H1188" s="64"/>
      <c r="I1188" s="64"/>
      <c r="J1188" s="64"/>
      <c r="K1188" s="64"/>
      <c r="L1188" s="64"/>
      <c r="M1188" s="64"/>
      <c r="N1188" s="64"/>
      <c r="O1188" s="64"/>
      <c r="P1188" s="64"/>
      <c r="Q1188" s="64"/>
      <c r="R1188" s="64"/>
      <c r="S1188" s="64"/>
      <c r="T1188" s="64"/>
      <c r="U1188" s="64"/>
      <c r="V1188" s="64"/>
      <c r="W1188" s="64"/>
      <c r="X1188" s="64"/>
      <c r="Y1188" s="64"/>
      <c r="Z1188" s="64"/>
    </row>
    <row r="1189">
      <c r="A1189" s="65" t="str">
        <f>IFERROR(__xludf.DUMMYFUNCTION("""COMPUTED_VALUE"""),"-30.8972645279557")</f>
        <v>-30.8972645279557</v>
      </c>
      <c r="B1189" s="66" t="str">
        <f>IFERROR(__xludf.DUMMYFUNCTION("""COMPUTED_VALUE"""),"-5.5540726310351")</f>
        <v>-5.5540726310351</v>
      </c>
      <c r="C1189" s="66">
        <f>IFERROR(__xludf.DUMMYFUNCTION("""COMPUTED_VALUE"""),1.0)</f>
        <v>1</v>
      </c>
      <c r="D1189" s="66">
        <f>IFERROR(__xludf.DUMMYFUNCTION("""COMPUTED_VALUE"""),118.0)</f>
        <v>118</v>
      </c>
      <c r="E1189" s="66">
        <f>IFERROR(__xludf.DUMMYFUNCTION("""COMPUTED_VALUE"""),8.0)</f>
        <v>8</v>
      </c>
      <c r="F1189" s="67" t="str">
        <f>IFERROR(__xludf.DUMMYFUNCTION("""COMPUTED_VALUE"""),"https://www.google.com/maps/search/?api=1&amp;query=-30.8972645279557,-5.5540726310351")</f>
        <v>https://www.google.com/maps/search/?api=1&amp;query=-30.8972645279557,-5.5540726310351</v>
      </c>
      <c r="G1189" s="68" t="str">
        <f>IFERROR(__xludf.DUMMYFUNCTION("""COMPUTED_VALUE"""),"https://earth.google.com/web/search/-30.8972645279557,-5.5540726310351")</f>
        <v>https://earth.google.com/web/search/-30.8972645279557,-5.5540726310351</v>
      </c>
      <c r="H1189" s="64"/>
      <c r="I1189" s="64"/>
      <c r="J1189" s="64"/>
      <c r="K1189" s="64"/>
      <c r="L1189" s="64"/>
      <c r="M1189" s="64"/>
      <c r="N1189" s="64"/>
      <c r="O1189" s="64"/>
      <c r="P1189" s="64"/>
      <c r="Q1189" s="64"/>
      <c r="R1189" s="64"/>
      <c r="S1189" s="64"/>
      <c r="T1189" s="64"/>
      <c r="U1189" s="64"/>
      <c r="V1189" s="64"/>
      <c r="W1189" s="64"/>
      <c r="X1189" s="64"/>
      <c r="Y1189" s="64"/>
      <c r="Z1189" s="64"/>
    </row>
    <row r="1190">
      <c r="A1190" s="69" t="str">
        <f>IFERROR(__xludf.DUMMYFUNCTION("""COMPUTED_VALUE"""),"-30.8968985342964")</f>
        <v>-30.8968985342964</v>
      </c>
      <c r="B1190" s="61" t="str">
        <f>IFERROR(__xludf.DUMMYFUNCTION("""COMPUTED_VALUE"""),"-55.5403285936311")</f>
        <v>-55.5403285936311</v>
      </c>
      <c r="C1190" s="61">
        <f>IFERROR(__xludf.DUMMYFUNCTION("""COMPUTED_VALUE"""),1.0)</f>
        <v>1</v>
      </c>
      <c r="D1190" s="61">
        <f>IFERROR(__xludf.DUMMYFUNCTION("""COMPUTED_VALUE"""),118.0)</f>
        <v>118</v>
      </c>
      <c r="E1190" s="61">
        <f>IFERROR(__xludf.DUMMYFUNCTION("""COMPUTED_VALUE"""),9.0)</f>
        <v>9</v>
      </c>
      <c r="F1190" s="62" t="str">
        <f>IFERROR(__xludf.DUMMYFUNCTION("""COMPUTED_VALUE"""),"https://www.google.com/maps/search/?api=1&amp;query=-30.8968985342964,-55.5403285936311")</f>
        <v>https://www.google.com/maps/search/?api=1&amp;query=-30.8968985342964,-55.5403285936311</v>
      </c>
      <c r="G1190" s="63" t="str">
        <f>IFERROR(__xludf.DUMMYFUNCTION("""COMPUTED_VALUE"""),"https://earth.google.com/web/search/-30.8968985342964,-55.5403285936311")</f>
        <v>https://earth.google.com/web/search/-30.8968985342964,-55.5403285936311</v>
      </c>
      <c r="H1190" s="64"/>
      <c r="I1190" s="64"/>
      <c r="J1190" s="64"/>
      <c r="K1190" s="64"/>
      <c r="L1190" s="64"/>
      <c r="M1190" s="64"/>
      <c r="N1190" s="64"/>
      <c r="O1190" s="64"/>
      <c r="P1190" s="64"/>
      <c r="Q1190" s="64"/>
      <c r="R1190" s="64"/>
      <c r="S1190" s="64"/>
      <c r="T1190" s="64"/>
      <c r="U1190" s="64"/>
      <c r="V1190" s="64"/>
      <c r="W1190" s="64"/>
      <c r="X1190" s="64"/>
      <c r="Y1190" s="64"/>
      <c r="Z1190" s="64"/>
    </row>
    <row r="1191">
      <c r="A1191" s="65" t="str">
        <f>IFERROR(__xludf.DUMMYFUNCTION("""COMPUTED_VALUE"""),"-30.8964131194391")</f>
        <v>-30.8964131194391</v>
      </c>
      <c r="B1191" s="66" t="str">
        <f>IFERROR(__xludf.DUMMYFUNCTION("""COMPUTED_VALUE"""),"-55.5405351591686")</f>
        <v>-55.5405351591686</v>
      </c>
      <c r="C1191" s="66">
        <f>IFERROR(__xludf.DUMMYFUNCTION("""COMPUTED_VALUE"""),1.0)</f>
        <v>1</v>
      </c>
      <c r="D1191" s="66">
        <f>IFERROR(__xludf.DUMMYFUNCTION("""COMPUTED_VALUE"""),118.0)</f>
        <v>118</v>
      </c>
      <c r="E1191" s="66">
        <f>IFERROR(__xludf.DUMMYFUNCTION("""COMPUTED_VALUE"""),10.0)</f>
        <v>10</v>
      </c>
      <c r="F1191" s="67" t="str">
        <f>IFERROR(__xludf.DUMMYFUNCTION("""COMPUTED_VALUE"""),"https://www.google.com/maps/search/?api=1&amp;query=-30.8964131194391,-55.5405351591686")</f>
        <v>https://www.google.com/maps/search/?api=1&amp;query=-30.8964131194391,-55.5405351591686</v>
      </c>
      <c r="G1191" s="68" t="str">
        <f>IFERROR(__xludf.DUMMYFUNCTION("""COMPUTED_VALUE"""),"https://earth.google.com/web/search/-30.8964131194391,-55.5405351591686")</f>
        <v>https://earth.google.com/web/search/-30.8964131194391,-55.5405351591686</v>
      </c>
      <c r="H1191" s="64"/>
      <c r="I1191" s="64"/>
      <c r="J1191" s="64"/>
      <c r="K1191" s="64"/>
      <c r="L1191" s="64"/>
      <c r="M1191" s="64"/>
      <c r="N1191" s="64"/>
      <c r="O1191" s="64"/>
      <c r="P1191" s="64"/>
      <c r="Q1191" s="64"/>
      <c r="R1191" s="64"/>
      <c r="S1191" s="64"/>
      <c r="T1191" s="64"/>
      <c r="U1191" s="64"/>
      <c r="V1191" s="64"/>
      <c r="W1191" s="64"/>
      <c r="X1191" s="64"/>
      <c r="Y1191" s="64"/>
      <c r="Z1191" s="64"/>
    </row>
    <row r="1192">
      <c r="A1192" s="69" t="str">
        <f>IFERROR(__xludf.DUMMYFUNCTION("""COMPUTED_VALUE"""),"-3.0896356071356")</f>
        <v>-3.0896356071356</v>
      </c>
      <c r="B1192" s="61" t="str">
        <f>IFERROR(__xludf.DUMMYFUNCTION("""COMPUTED_VALUE"""),"-55.5405933663536")</f>
        <v>-55.5405933663536</v>
      </c>
      <c r="C1192" s="61">
        <f>IFERROR(__xludf.DUMMYFUNCTION("""COMPUTED_VALUE"""),1.0)</f>
        <v>1</v>
      </c>
      <c r="D1192" s="61">
        <f>IFERROR(__xludf.DUMMYFUNCTION("""COMPUTED_VALUE"""),118.0)</f>
        <v>118</v>
      </c>
      <c r="E1192" s="61">
        <f>IFERROR(__xludf.DUMMYFUNCTION("""COMPUTED_VALUE"""),11.0)</f>
        <v>11</v>
      </c>
      <c r="F1192" s="62" t="str">
        <f>IFERROR(__xludf.DUMMYFUNCTION("""COMPUTED_VALUE"""),"https://www.google.com/maps/search/?api=1&amp;query=-3.0896356071356,-55.5405933663536")</f>
        <v>https://www.google.com/maps/search/?api=1&amp;query=-3.0896356071356,-55.5405933663536</v>
      </c>
      <c r="G1192" s="63" t="str">
        <f>IFERROR(__xludf.DUMMYFUNCTION("""COMPUTED_VALUE"""),"https://earth.google.com/web/search/-3.0896356071356,-55.5405933663536")</f>
        <v>https://earth.google.com/web/search/-3.0896356071356,-55.5405933663536</v>
      </c>
      <c r="H1192" s="64"/>
      <c r="I1192" s="64"/>
      <c r="J1192" s="64"/>
      <c r="K1192" s="64"/>
      <c r="L1192" s="64"/>
      <c r="M1192" s="64"/>
      <c r="N1192" s="64"/>
      <c r="O1192" s="64"/>
      <c r="P1192" s="64"/>
      <c r="Q1192" s="64"/>
      <c r="R1192" s="64"/>
      <c r="S1192" s="64"/>
      <c r="T1192" s="64"/>
      <c r="U1192" s="64"/>
      <c r="V1192" s="64"/>
      <c r="W1192" s="64"/>
      <c r="X1192" s="64"/>
      <c r="Y1192" s="64"/>
      <c r="Z1192" s="64"/>
    </row>
    <row r="1193">
      <c r="A1193" s="65" t="str">
        <f>IFERROR(__xludf.DUMMYFUNCTION("""COMPUTED_VALUE"""),"-30.8964608884073")</f>
        <v>-30.8964608884073</v>
      </c>
      <c r="B1193" s="66" t="str">
        <f>IFERROR(__xludf.DUMMYFUNCTION("""COMPUTED_VALUE"""),"-55.5400177724684")</f>
        <v>-55.5400177724684</v>
      </c>
      <c r="C1193" s="66">
        <f>IFERROR(__xludf.DUMMYFUNCTION("""COMPUTED_VALUE"""),1.0)</f>
        <v>1</v>
      </c>
      <c r="D1193" s="66">
        <f>IFERROR(__xludf.DUMMYFUNCTION("""COMPUTED_VALUE"""),79.0)</f>
        <v>79</v>
      </c>
      <c r="E1193" s="66">
        <f>IFERROR(__xludf.DUMMYFUNCTION("""COMPUTED_VALUE"""),1.0)</f>
        <v>1</v>
      </c>
      <c r="F1193" s="67" t="str">
        <f>IFERROR(__xludf.DUMMYFUNCTION("""COMPUTED_VALUE"""),"https://www.google.com/maps/search/?api=1&amp;query=-30.8964608884073,-55.5400177724684")</f>
        <v>https://www.google.com/maps/search/?api=1&amp;query=-30.8964608884073,-55.5400177724684</v>
      </c>
      <c r="G1193" s="68" t="str">
        <f>IFERROR(__xludf.DUMMYFUNCTION("""COMPUTED_VALUE"""),"https://earth.google.com/web/search/-30.8964608884073,-55.5400177724684")</f>
        <v>https://earth.google.com/web/search/-30.8964608884073,-55.5400177724684</v>
      </c>
      <c r="H1193" s="64"/>
      <c r="I1193" s="64"/>
      <c r="J1193" s="64"/>
      <c r="K1193" s="64"/>
      <c r="L1193" s="64"/>
      <c r="M1193" s="64"/>
      <c r="N1193" s="64"/>
      <c r="O1193" s="64"/>
      <c r="P1193" s="64"/>
      <c r="Q1193" s="64"/>
      <c r="R1193" s="64"/>
      <c r="S1193" s="64"/>
      <c r="T1193" s="64"/>
      <c r="U1193" s="64"/>
      <c r="V1193" s="64"/>
      <c r="W1193" s="64"/>
      <c r="X1193" s="64"/>
      <c r="Y1193" s="64"/>
      <c r="Z1193" s="64"/>
    </row>
    <row r="1194">
      <c r="A1194" s="69" t="str">
        <f>IFERROR(__xludf.DUMMYFUNCTION("""COMPUTED_VALUE"""),"-3.0896382073898")</f>
        <v>-3.0896382073898</v>
      </c>
      <c r="B1194" s="61" t="str">
        <f>IFERROR(__xludf.DUMMYFUNCTION("""COMPUTED_VALUE"""),"-55.5399623563855")</f>
        <v>-55.5399623563855</v>
      </c>
      <c r="C1194" s="61">
        <f>IFERROR(__xludf.DUMMYFUNCTION("""COMPUTED_VALUE"""),1.0)</f>
        <v>1</v>
      </c>
      <c r="D1194" s="61">
        <f>IFERROR(__xludf.DUMMYFUNCTION("""COMPUTED_VALUE"""),79.0)</f>
        <v>79</v>
      </c>
      <c r="E1194" s="61">
        <f>IFERROR(__xludf.DUMMYFUNCTION("""COMPUTED_VALUE"""),2.0)</f>
        <v>2</v>
      </c>
      <c r="F1194" s="62" t="str">
        <f>IFERROR(__xludf.DUMMYFUNCTION("""COMPUTED_VALUE"""),"https://www.google.com/maps/search/?api=1&amp;query=-3.0896382073898,-55.5399623563855")</f>
        <v>https://www.google.com/maps/search/?api=1&amp;query=-3.0896382073898,-55.5399623563855</v>
      </c>
      <c r="G1194" s="63" t="str">
        <f>IFERROR(__xludf.DUMMYFUNCTION("""COMPUTED_VALUE"""),"https://earth.google.com/web/search/-3.0896382073898,-55.5399623563855")</f>
        <v>https://earth.google.com/web/search/-3.0896382073898,-55.5399623563855</v>
      </c>
      <c r="H1194" s="64"/>
      <c r="I1194" s="64"/>
      <c r="J1194" s="64"/>
      <c r="K1194" s="64"/>
      <c r="L1194" s="64"/>
      <c r="M1194" s="64"/>
      <c r="N1194" s="64"/>
      <c r="O1194" s="64"/>
      <c r="P1194" s="64"/>
      <c r="Q1194" s="64"/>
      <c r="R1194" s="64"/>
      <c r="S1194" s="64"/>
      <c r="T1194" s="64"/>
      <c r="U1194" s="64"/>
      <c r="V1194" s="64"/>
      <c r="W1194" s="64"/>
      <c r="X1194" s="64"/>
      <c r="Y1194" s="64"/>
      <c r="Z1194" s="64"/>
    </row>
    <row r="1195">
      <c r="A1195" s="65" t="str">
        <f>IFERROR(__xludf.DUMMYFUNCTION("""COMPUTED_VALUE"""),"-30.8959824700939")</f>
        <v>-30.8959824700939</v>
      </c>
      <c r="B1195" s="66" t="str">
        <f>IFERROR(__xludf.DUMMYFUNCTION("""COMPUTED_VALUE"""),"-5.5539667563207")</f>
        <v>-5.5539667563207</v>
      </c>
      <c r="C1195" s="66">
        <f>IFERROR(__xludf.DUMMYFUNCTION("""COMPUTED_VALUE"""),1.0)</f>
        <v>1</v>
      </c>
      <c r="D1195" s="66">
        <f>IFERROR(__xludf.DUMMYFUNCTION("""COMPUTED_VALUE"""),79.0)</f>
        <v>79</v>
      </c>
      <c r="E1195" s="66">
        <f>IFERROR(__xludf.DUMMYFUNCTION("""COMPUTED_VALUE"""),3.0)</f>
        <v>3</v>
      </c>
      <c r="F1195" s="67" t="str">
        <f>IFERROR(__xludf.DUMMYFUNCTION("""COMPUTED_VALUE"""),"https://www.google.com/maps/search/?api=1&amp;query=-30.8959824700939,-5.5539667563207")</f>
        <v>https://www.google.com/maps/search/?api=1&amp;query=-30.8959824700939,-5.5539667563207</v>
      </c>
      <c r="G1195" s="68" t="str">
        <f>IFERROR(__xludf.DUMMYFUNCTION("""COMPUTED_VALUE"""),"https://earth.google.com/web/search/-30.8959824700939,-5.5539667563207")</f>
        <v>https://earth.google.com/web/search/-30.8959824700939,-5.5539667563207</v>
      </c>
      <c r="H1195" s="64"/>
      <c r="I1195" s="64"/>
      <c r="J1195" s="64"/>
      <c r="K1195" s="64"/>
      <c r="L1195" s="64"/>
      <c r="M1195" s="64"/>
      <c r="N1195" s="64"/>
      <c r="O1195" s="64"/>
      <c r="P1195" s="64"/>
      <c r="Q1195" s="64"/>
      <c r="R1195" s="64"/>
      <c r="S1195" s="64"/>
      <c r="T1195" s="64"/>
      <c r="U1195" s="64"/>
      <c r="V1195" s="64"/>
      <c r="W1195" s="64"/>
      <c r="X1195" s="64"/>
      <c r="Y1195" s="64"/>
      <c r="Z1195" s="64"/>
    </row>
    <row r="1196">
      <c r="A1196" s="69" t="str">
        <f>IFERROR(__xludf.DUMMYFUNCTION("""COMPUTED_VALUE"""),"-30.8957061253092")</f>
        <v>-30.8957061253092</v>
      </c>
      <c r="B1196" s="61" t="str">
        <f>IFERROR(__xludf.DUMMYFUNCTION("""COMPUTED_VALUE"""),"-55.5397995383739")</f>
        <v>-55.5397995383739</v>
      </c>
      <c r="C1196" s="61">
        <f>IFERROR(__xludf.DUMMYFUNCTION("""COMPUTED_VALUE"""),1.0)</f>
        <v>1</v>
      </c>
      <c r="D1196" s="61">
        <f>IFERROR(__xludf.DUMMYFUNCTION("""COMPUTED_VALUE"""),79.0)</f>
        <v>79</v>
      </c>
      <c r="E1196" s="61">
        <f>IFERROR(__xludf.DUMMYFUNCTION("""COMPUTED_VALUE"""),4.0)</f>
        <v>4</v>
      </c>
      <c r="F1196" s="62" t="str">
        <f>IFERROR(__xludf.DUMMYFUNCTION("""COMPUTED_VALUE"""),"https://www.google.com/maps/search/?api=1&amp;query=-30.8957061253092,-55.5397995383739")</f>
        <v>https://www.google.com/maps/search/?api=1&amp;query=-30.8957061253092,-55.5397995383739</v>
      </c>
      <c r="G1196" s="63" t="str">
        <f>IFERROR(__xludf.DUMMYFUNCTION("""COMPUTED_VALUE"""),"https://earth.google.com/web/search/-30.8957061253092,-55.5397995383739")</f>
        <v>https://earth.google.com/web/search/-30.8957061253092,-55.5397995383739</v>
      </c>
      <c r="H1196" s="64"/>
      <c r="I1196" s="64"/>
      <c r="J1196" s="64"/>
      <c r="K1196" s="64"/>
      <c r="L1196" s="64"/>
      <c r="M1196" s="64"/>
      <c r="N1196" s="64"/>
      <c r="O1196" s="64"/>
      <c r="P1196" s="64"/>
      <c r="Q1196" s="64"/>
      <c r="R1196" s="64"/>
      <c r="S1196" s="64"/>
      <c r="T1196" s="64"/>
      <c r="U1196" s="64"/>
      <c r="V1196" s="64"/>
      <c r="W1196" s="64"/>
      <c r="X1196" s="64"/>
      <c r="Y1196" s="64"/>
      <c r="Z1196" s="64"/>
    </row>
    <row r="1197">
      <c r="A1197" s="65" t="str">
        <f>IFERROR(__xludf.DUMMYFUNCTION("""COMPUTED_VALUE"""),"-30.8956694474419")</f>
        <v>-30.8956694474419</v>
      </c>
      <c r="B1197" s="66" t="str">
        <f>IFERROR(__xludf.DUMMYFUNCTION("""COMPUTED_VALUE"""),"-55.5398756114676")</f>
        <v>-55.5398756114676</v>
      </c>
      <c r="C1197" s="66">
        <f>IFERROR(__xludf.DUMMYFUNCTION("""COMPUTED_VALUE"""),1.0)</f>
        <v>1</v>
      </c>
      <c r="D1197" s="66">
        <f>IFERROR(__xludf.DUMMYFUNCTION("""COMPUTED_VALUE"""),79.0)</f>
        <v>79</v>
      </c>
      <c r="E1197" s="66">
        <f>IFERROR(__xludf.DUMMYFUNCTION("""COMPUTED_VALUE"""),5.0)</f>
        <v>5</v>
      </c>
      <c r="F1197" s="67" t="str">
        <f>IFERROR(__xludf.DUMMYFUNCTION("""COMPUTED_VALUE"""),"https://www.google.com/maps/search/?api=1&amp;query=-30.8956694474419,-55.5398756114676")</f>
        <v>https://www.google.com/maps/search/?api=1&amp;query=-30.8956694474419,-55.5398756114676</v>
      </c>
      <c r="G1197" s="68" t="str">
        <f>IFERROR(__xludf.DUMMYFUNCTION("""COMPUTED_VALUE"""),"https://earth.google.com/web/search/-30.8956694474419,-55.5398756114676")</f>
        <v>https://earth.google.com/web/search/-30.8956694474419,-55.5398756114676</v>
      </c>
      <c r="H1197" s="64"/>
      <c r="I1197" s="64"/>
      <c r="J1197" s="64"/>
      <c r="K1197" s="64"/>
      <c r="L1197" s="64"/>
      <c r="M1197" s="64"/>
      <c r="N1197" s="64"/>
      <c r="O1197" s="64"/>
      <c r="P1197" s="64"/>
      <c r="Q1197" s="64"/>
      <c r="R1197" s="64"/>
      <c r="S1197" s="64"/>
      <c r="T1197" s="64"/>
      <c r="U1197" s="64"/>
      <c r="V1197" s="64"/>
      <c r="W1197" s="64"/>
      <c r="X1197" s="64"/>
      <c r="Y1197" s="64"/>
      <c r="Z1197" s="64"/>
    </row>
    <row r="1198">
      <c r="A1198" s="69" t="str">
        <f>IFERROR(__xludf.DUMMYFUNCTION("""COMPUTED_VALUE"""),"-30.8956252327795")</f>
        <v>-30.8956252327795</v>
      </c>
      <c r="B1198" s="61" t="str">
        <f>IFERROR(__xludf.DUMMYFUNCTION("""COMPUTED_VALUE"""),"-5.5539955566932")</f>
        <v>-5.5539955566932</v>
      </c>
      <c r="C1198" s="61">
        <f>IFERROR(__xludf.DUMMYFUNCTION("""COMPUTED_VALUE"""),1.0)</f>
        <v>1</v>
      </c>
      <c r="D1198" s="61">
        <f>IFERROR(__xludf.DUMMYFUNCTION("""COMPUTED_VALUE"""),79.0)</f>
        <v>79</v>
      </c>
      <c r="E1198" s="61">
        <f>IFERROR(__xludf.DUMMYFUNCTION("""COMPUTED_VALUE"""),6.0)</f>
        <v>6</v>
      </c>
      <c r="F1198" s="62" t="str">
        <f>IFERROR(__xludf.DUMMYFUNCTION("""COMPUTED_VALUE"""),"https://www.google.com/maps/search/?api=1&amp;query=-30.8956252327795,-5.5539955566932")</f>
        <v>https://www.google.com/maps/search/?api=1&amp;query=-30.8956252327795,-5.5539955566932</v>
      </c>
      <c r="G1198" s="63" t="str">
        <f>IFERROR(__xludf.DUMMYFUNCTION("""COMPUTED_VALUE"""),"https://earth.google.com/web/search/-30.8956252327795,-5.5539955566932")</f>
        <v>https://earth.google.com/web/search/-30.8956252327795,-5.5539955566932</v>
      </c>
      <c r="H1198" s="64"/>
      <c r="I1198" s="64"/>
      <c r="J1198" s="64"/>
      <c r="K1198" s="64"/>
      <c r="L1198" s="64"/>
      <c r="M1198" s="64"/>
      <c r="N1198" s="64"/>
      <c r="O1198" s="64"/>
      <c r="P1198" s="64"/>
      <c r="Q1198" s="64"/>
      <c r="R1198" s="64"/>
      <c r="S1198" s="64"/>
      <c r="T1198" s="64"/>
      <c r="U1198" s="64"/>
      <c r="V1198" s="64"/>
      <c r="W1198" s="64"/>
      <c r="X1198" s="64"/>
      <c r="Y1198" s="64"/>
      <c r="Z1198" s="64"/>
    </row>
    <row r="1199">
      <c r="A1199" s="65" t="str">
        <f>IFERROR(__xludf.DUMMYFUNCTION("""COMPUTED_VALUE"""),"-30.8955898763763")</f>
        <v>-30.8955898763763</v>
      </c>
      <c r="B1199" s="66" t="str">
        <f>IFERROR(__xludf.DUMMYFUNCTION("""COMPUTED_VALUE"""),"-55.5405384285285")</f>
        <v>-55.5405384285285</v>
      </c>
      <c r="C1199" s="66">
        <f>IFERROR(__xludf.DUMMYFUNCTION("""COMPUTED_VALUE"""),1.0)</f>
        <v>1</v>
      </c>
      <c r="D1199" s="66">
        <f>IFERROR(__xludf.DUMMYFUNCTION("""COMPUTED_VALUE"""),79.0)</f>
        <v>79</v>
      </c>
      <c r="E1199" s="66">
        <f>IFERROR(__xludf.DUMMYFUNCTION("""COMPUTED_VALUE"""),7.0)</f>
        <v>7</v>
      </c>
      <c r="F1199" s="67" t="str">
        <f>IFERROR(__xludf.DUMMYFUNCTION("""COMPUTED_VALUE"""),"https://www.google.com/maps/search/?api=1&amp;query=-30.8955898763763,-55.5405384285285")</f>
        <v>https://www.google.com/maps/search/?api=1&amp;query=-30.8955898763763,-55.5405384285285</v>
      </c>
      <c r="G1199" s="68" t="str">
        <f>IFERROR(__xludf.DUMMYFUNCTION("""COMPUTED_VALUE"""),"https://earth.google.com/web/search/-30.8955898763763,-55.5405384285285")</f>
        <v>https://earth.google.com/web/search/-30.8955898763763,-55.5405384285285</v>
      </c>
      <c r="H1199" s="64"/>
      <c r="I1199" s="64"/>
      <c r="J1199" s="64"/>
      <c r="K1199" s="64"/>
      <c r="L1199" s="64"/>
      <c r="M1199" s="64"/>
      <c r="N1199" s="64"/>
      <c r="O1199" s="64"/>
      <c r="P1199" s="64"/>
      <c r="Q1199" s="64"/>
      <c r="R1199" s="64"/>
      <c r="S1199" s="64"/>
      <c r="T1199" s="64"/>
      <c r="U1199" s="64"/>
      <c r="V1199" s="64"/>
      <c r="W1199" s="64"/>
      <c r="X1199" s="64"/>
      <c r="Y1199" s="64"/>
      <c r="Z1199" s="64"/>
    </row>
    <row r="1200">
      <c r="A1200" s="69" t="str">
        <f>IFERROR(__xludf.DUMMYFUNCTION("""COMPUTED_VALUE"""),"-30.8957049527095")</f>
        <v>-30.8957049527095</v>
      </c>
      <c r="B1200" s="61" t="str">
        <f>IFERROR(__xludf.DUMMYFUNCTION("""COMPUTED_VALUE"""),"-55.5405880340023")</f>
        <v>-55.5405880340023</v>
      </c>
      <c r="C1200" s="61">
        <f>IFERROR(__xludf.DUMMYFUNCTION("""COMPUTED_VALUE"""),1.0)</f>
        <v>1</v>
      </c>
      <c r="D1200" s="61">
        <f>IFERROR(__xludf.DUMMYFUNCTION("""COMPUTED_VALUE"""),79.0)</f>
        <v>79</v>
      </c>
      <c r="E1200" s="61">
        <f>IFERROR(__xludf.DUMMYFUNCTION("""COMPUTED_VALUE"""),8.0)</f>
        <v>8</v>
      </c>
      <c r="F1200" s="62" t="str">
        <f>IFERROR(__xludf.DUMMYFUNCTION("""COMPUTED_VALUE"""),"https://www.google.com/maps/search/?api=1&amp;query=-30.8957049527095,-55.5405880340023")</f>
        <v>https://www.google.com/maps/search/?api=1&amp;query=-30.8957049527095,-55.5405880340023</v>
      </c>
      <c r="G1200" s="63" t="str">
        <f>IFERROR(__xludf.DUMMYFUNCTION("""COMPUTED_VALUE"""),"https://earth.google.com/web/search/-30.8957049527095,-55.5405880340023")</f>
        <v>https://earth.google.com/web/search/-30.8957049527095,-55.5405880340023</v>
      </c>
      <c r="H1200" s="64"/>
      <c r="I1200" s="64"/>
      <c r="J1200" s="64"/>
      <c r="K1200" s="64"/>
      <c r="L1200" s="64"/>
      <c r="M1200" s="64"/>
      <c r="N1200" s="64"/>
      <c r="O1200" s="64"/>
      <c r="P1200" s="64"/>
      <c r="Q1200" s="64"/>
      <c r="R1200" s="64"/>
      <c r="S1200" s="64"/>
      <c r="T1200" s="64"/>
      <c r="U1200" s="64"/>
      <c r="V1200" s="64"/>
      <c r="W1200" s="64"/>
      <c r="X1200" s="64"/>
      <c r="Y1200" s="64"/>
      <c r="Z1200" s="64"/>
    </row>
    <row r="1201">
      <c r="A1201" s="65" t="str">
        <f>IFERROR(__xludf.DUMMYFUNCTION("""COMPUTED_VALUE"""),"-30.8958884445048")</f>
        <v>-30.8958884445048</v>
      </c>
      <c r="B1201" s="66" t="str">
        <f>IFERROR(__xludf.DUMMYFUNCTION("""COMPUTED_VALUE"""),"-55.5407239257782")</f>
        <v>-55.5407239257782</v>
      </c>
      <c r="C1201" s="66">
        <f>IFERROR(__xludf.DUMMYFUNCTION("""COMPUTED_VALUE"""),1.0)</f>
        <v>1</v>
      </c>
      <c r="D1201" s="66">
        <f>IFERROR(__xludf.DUMMYFUNCTION("""COMPUTED_VALUE"""),79.0)</f>
        <v>79</v>
      </c>
      <c r="E1201" s="66">
        <f>IFERROR(__xludf.DUMMYFUNCTION("""COMPUTED_VALUE"""),9.0)</f>
        <v>9</v>
      </c>
      <c r="F1201" s="67" t="str">
        <f>IFERROR(__xludf.DUMMYFUNCTION("""COMPUTED_VALUE"""),"https://www.google.com/maps/search/?api=1&amp;query=-30.8958884445048,-55.5407239257782")</f>
        <v>https://www.google.com/maps/search/?api=1&amp;query=-30.8958884445048,-55.5407239257782</v>
      </c>
      <c r="G1201" s="68" t="str">
        <f>IFERROR(__xludf.DUMMYFUNCTION("""COMPUTED_VALUE"""),"https://earth.google.com/web/search/-30.8958884445048,-55.5407239257782")</f>
        <v>https://earth.google.com/web/search/-30.8958884445048,-55.5407239257782</v>
      </c>
      <c r="H1201" s="64"/>
      <c r="I1201" s="64"/>
      <c r="J1201" s="64"/>
      <c r="K1201" s="64"/>
      <c r="L1201" s="64"/>
      <c r="M1201" s="64"/>
      <c r="N1201" s="64"/>
      <c r="O1201" s="64"/>
      <c r="P1201" s="64"/>
      <c r="Q1201" s="64"/>
      <c r="R1201" s="64"/>
      <c r="S1201" s="64"/>
      <c r="T1201" s="64"/>
      <c r="U1201" s="64"/>
      <c r="V1201" s="64"/>
      <c r="W1201" s="64"/>
      <c r="X1201" s="64"/>
      <c r="Y1201" s="64"/>
      <c r="Z1201" s="64"/>
    </row>
    <row r="1202">
      <c r="A1202" s="69" t="str">
        <f>IFERROR(__xludf.DUMMYFUNCTION("""COMPUTED_VALUE"""),"-30.8960589727538")</f>
        <v>-30.8960589727538</v>
      </c>
      <c r="B1202" s="61" t="str">
        <f>IFERROR(__xludf.DUMMYFUNCTION("""COMPUTED_VALUE"""),"-55.5408440783611")</f>
        <v>-55.5408440783611</v>
      </c>
      <c r="C1202" s="61">
        <f>IFERROR(__xludf.DUMMYFUNCTION("""COMPUTED_VALUE"""),1.0)</f>
        <v>1</v>
      </c>
      <c r="D1202" s="61">
        <f>IFERROR(__xludf.DUMMYFUNCTION("""COMPUTED_VALUE"""),79.0)</f>
        <v>79</v>
      </c>
      <c r="E1202" s="61">
        <f>IFERROR(__xludf.DUMMYFUNCTION("""COMPUTED_VALUE"""),10.0)</f>
        <v>10</v>
      </c>
      <c r="F1202" s="62" t="str">
        <f>IFERROR(__xludf.DUMMYFUNCTION("""COMPUTED_VALUE"""),"https://www.google.com/maps/search/?api=1&amp;query=-30.8960589727538,-55.5408440783611")</f>
        <v>https://www.google.com/maps/search/?api=1&amp;query=-30.8960589727538,-55.5408440783611</v>
      </c>
      <c r="G1202" s="63" t="str">
        <f>IFERROR(__xludf.DUMMYFUNCTION("""COMPUTED_VALUE"""),"https://earth.google.com/web/search/-30.8960589727538,-55.5408440783611")</f>
        <v>https://earth.google.com/web/search/-30.8960589727538,-55.5408440783611</v>
      </c>
      <c r="H1202" s="64"/>
      <c r="I1202" s="64"/>
      <c r="J1202" s="64"/>
      <c r="K1202" s="64"/>
      <c r="L1202" s="64"/>
      <c r="M1202" s="64"/>
      <c r="N1202" s="64"/>
      <c r="O1202" s="64"/>
      <c r="P1202" s="64"/>
      <c r="Q1202" s="64"/>
      <c r="R1202" s="64"/>
      <c r="S1202" s="64"/>
      <c r="T1202" s="64"/>
      <c r="U1202" s="64"/>
      <c r="V1202" s="64"/>
      <c r="W1202" s="64"/>
      <c r="X1202" s="64"/>
      <c r="Y1202" s="64"/>
      <c r="Z1202" s="64"/>
    </row>
    <row r="1203">
      <c r="A1203" s="65" t="str">
        <f>IFERROR(__xludf.DUMMYFUNCTION("""COMPUTED_VALUE"""),"-30.8961490775822")</f>
        <v>-30.8961490775822</v>
      </c>
      <c r="B1203" s="66" t="str">
        <f>IFERROR(__xludf.DUMMYFUNCTION("""COMPUTED_VALUE"""),"-55.5408290258412")</f>
        <v>-55.5408290258412</v>
      </c>
      <c r="C1203" s="66">
        <f>IFERROR(__xludf.DUMMYFUNCTION("""COMPUTED_VALUE"""),1.0)</f>
        <v>1</v>
      </c>
      <c r="D1203" s="66">
        <f>IFERROR(__xludf.DUMMYFUNCTION("""COMPUTED_VALUE"""),79.0)</f>
        <v>79</v>
      </c>
      <c r="E1203" s="66">
        <f>IFERROR(__xludf.DUMMYFUNCTION("""COMPUTED_VALUE"""),11.0)</f>
        <v>11</v>
      </c>
      <c r="F1203" s="67" t="str">
        <f>IFERROR(__xludf.DUMMYFUNCTION("""COMPUTED_VALUE"""),"https://www.google.com/maps/search/?api=1&amp;query=-30.8961490775822,-55.5408290258412")</f>
        <v>https://www.google.com/maps/search/?api=1&amp;query=-30.8961490775822,-55.5408290258412</v>
      </c>
      <c r="G1203" s="68" t="str">
        <f>IFERROR(__xludf.DUMMYFUNCTION("""COMPUTED_VALUE"""),"https://earth.google.com/web/search/-30.8961490775822,-55.5408290258412")</f>
        <v>https://earth.google.com/web/search/-30.8961490775822,-55.5408290258412</v>
      </c>
      <c r="H1203" s="64"/>
      <c r="I1203" s="64"/>
      <c r="J1203" s="64"/>
      <c r="K1203" s="64"/>
      <c r="L1203" s="64"/>
      <c r="M1203" s="64"/>
      <c r="N1203" s="64"/>
      <c r="O1203" s="64"/>
      <c r="P1203" s="64"/>
      <c r="Q1203" s="64"/>
      <c r="R1203" s="64"/>
      <c r="S1203" s="64"/>
      <c r="T1203" s="64"/>
      <c r="U1203" s="64"/>
      <c r="V1203" s="64"/>
      <c r="W1203" s="64"/>
      <c r="X1203" s="64"/>
      <c r="Y1203" s="64"/>
      <c r="Z1203" s="64"/>
    </row>
    <row r="1204">
      <c r="A1204" s="69" t="str">
        <f>IFERROR(__xludf.DUMMYFUNCTION("""COMPUTED_VALUE"""),"-30.8961634434846")</f>
        <v>-30.8961634434846</v>
      </c>
      <c r="B1204" s="61" t="str">
        <f>IFERROR(__xludf.DUMMYFUNCTION("""COMPUTED_VALUE"""),"-55.5407541260222")</f>
        <v>-55.5407541260222</v>
      </c>
      <c r="C1204" s="61">
        <f>IFERROR(__xludf.DUMMYFUNCTION("""COMPUTED_VALUE"""),1.0)</f>
        <v>1</v>
      </c>
      <c r="D1204" s="61">
        <f>IFERROR(__xludf.DUMMYFUNCTION("""COMPUTED_VALUE"""),79.0)</f>
        <v>79</v>
      </c>
      <c r="E1204" s="61">
        <f>IFERROR(__xludf.DUMMYFUNCTION("""COMPUTED_VALUE"""),12.0)</f>
        <v>12</v>
      </c>
      <c r="F1204" s="62" t="str">
        <f>IFERROR(__xludf.DUMMYFUNCTION("""COMPUTED_VALUE"""),"https://www.google.com/maps/search/?api=1&amp;query=-30.8961634434846,-55.5407541260222")</f>
        <v>https://www.google.com/maps/search/?api=1&amp;query=-30.8961634434846,-55.5407541260222</v>
      </c>
      <c r="G1204" s="63" t="str">
        <f>IFERROR(__xludf.DUMMYFUNCTION("""COMPUTED_VALUE"""),"https://earth.google.com/web/search/-30.8961634434846,-55.5407541260222")</f>
        <v>https://earth.google.com/web/search/-30.8961634434846,-55.5407541260222</v>
      </c>
      <c r="H1204" s="64"/>
      <c r="I1204" s="64"/>
      <c r="J1204" s="64"/>
      <c r="K1204" s="64"/>
      <c r="L1204" s="64"/>
      <c r="M1204" s="64"/>
      <c r="N1204" s="64"/>
      <c r="O1204" s="64"/>
      <c r="P1204" s="64"/>
      <c r="Q1204" s="64"/>
      <c r="R1204" s="64"/>
      <c r="S1204" s="64"/>
      <c r="T1204" s="64"/>
      <c r="U1204" s="64"/>
      <c r="V1204" s="64"/>
      <c r="W1204" s="64"/>
      <c r="X1204" s="64"/>
      <c r="Y1204" s="64"/>
      <c r="Z1204" s="64"/>
    </row>
    <row r="1205">
      <c r="A1205" s="65" t="str">
        <f>IFERROR(__xludf.DUMMYFUNCTION("""COMPUTED_VALUE"""),"-30.8962062349824")</f>
        <v>-30.8962062349824</v>
      </c>
      <c r="B1205" s="66" t="str">
        <f>IFERROR(__xludf.DUMMYFUNCTION("""COMPUTED_VALUE"""),"-5.5540721880676")</f>
        <v>-5.5540721880676</v>
      </c>
      <c r="C1205" s="66">
        <f>IFERROR(__xludf.DUMMYFUNCTION("""COMPUTED_VALUE"""),1.0)</f>
        <v>1</v>
      </c>
      <c r="D1205" s="66">
        <f>IFERROR(__xludf.DUMMYFUNCTION("""COMPUTED_VALUE"""),79.0)</f>
        <v>79</v>
      </c>
      <c r="E1205" s="66">
        <f>IFERROR(__xludf.DUMMYFUNCTION("""COMPUTED_VALUE"""),13.0)</f>
        <v>13</v>
      </c>
      <c r="F1205" s="67" t="str">
        <f>IFERROR(__xludf.DUMMYFUNCTION("""COMPUTED_VALUE"""),"https://www.google.com/maps/search/?api=1&amp;query=-30.8962062349824,-5.5540721880676")</f>
        <v>https://www.google.com/maps/search/?api=1&amp;query=-30.8962062349824,-5.5540721880676</v>
      </c>
      <c r="G1205" s="68" t="str">
        <f>IFERROR(__xludf.DUMMYFUNCTION("""COMPUTED_VALUE"""),"https://earth.google.com/web/search/-30.8962062349824,-5.5540721880676")</f>
        <v>https://earth.google.com/web/search/-30.8962062349824,-5.5540721880676</v>
      </c>
      <c r="H1205" s="64"/>
      <c r="I1205" s="64"/>
      <c r="J1205" s="64"/>
      <c r="K1205" s="64"/>
      <c r="L1205" s="64"/>
      <c r="M1205" s="64"/>
      <c r="N1205" s="64"/>
      <c r="O1205" s="64"/>
      <c r="P1205" s="64"/>
      <c r="Q1205" s="64"/>
      <c r="R1205" s="64"/>
      <c r="S1205" s="64"/>
      <c r="T1205" s="64"/>
      <c r="U1205" s="64"/>
      <c r="V1205" s="64"/>
      <c r="W1205" s="64"/>
      <c r="X1205" s="64"/>
      <c r="Y1205" s="64"/>
      <c r="Z1205" s="64"/>
    </row>
    <row r="1206">
      <c r="A1206" s="69" t="str">
        <f>IFERROR(__xludf.DUMMYFUNCTION("""COMPUTED_VALUE"""),"-30.8962577638991")</f>
        <v>-30.8962577638991</v>
      </c>
      <c r="B1206" s="61" t="str">
        <f>IFERROR(__xludf.DUMMYFUNCTION("""COMPUTED_VALUE"""),"-55.5406329876787")</f>
        <v>-55.5406329876787</v>
      </c>
      <c r="C1206" s="61">
        <f>IFERROR(__xludf.DUMMYFUNCTION("""COMPUTED_VALUE"""),1.0)</f>
        <v>1</v>
      </c>
      <c r="D1206" s="61">
        <f>IFERROR(__xludf.DUMMYFUNCTION("""COMPUTED_VALUE"""),79.0)</f>
        <v>79</v>
      </c>
      <c r="E1206" s="61">
        <f>IFERROR(__xludf.DUMMYFUNCTION("""COMPUTED_VALUE"""),14.0)</f>
        <v>14</v>
      </c>
      <c r="F1206" s="62" t="str">
        <f>IFERROR(__xludf.DUMMYFUNCTION("""COMPUTED_VALUE"""),"https://www.google.com/maps/search/?api=1&amp;query=-30.8962577638991,-55.5406329876787")</f>
        <v>https://www.google.com/maps/search/?api=1&amp;query=-30.8962577638991,-55.5406329876787</v>
      </c>
      <c r="G1206" s="63" t="str">
        <f>IFERROR(__xludf.DUMMYFUNCTION("""COMPUTED_VALUE"""),"https://earth.google.com/web/search/-30.8962577638991,-55.5406329876787")</f>
        <v>https://earth.google.com/web/search/-30.8962577638991,-55.5406329876787</v>
      </c>
      <c r="H1206" s="64"/>
      <c r="I1206" s="64"/>
      <c r="J1206" s="64"/>
      <c r="K1206" s="64"/>
      <c r="L1206" s="64"/>
      <c r="M1206" s="64"/>
      <c r="N1206" s="64"/>
      <c r="O1206" s="64"/>
      <c r="P1206" s="64"/>
      <c r="Q1206" s="64"/>
      <c r="R1206" s="64"/>
      <c r="S1206" s="64"/>
      <c r="T1206" s="64"/>
      <c r="U1206" s="64"/>
      <c r="V1206" s="64"/>
      <c r="W1206" s="64"/>
      <c r="X1206" s="64"/>
      <c r="Y1206" s="64"/>
      <c r="Z1206" s="64"/>
    </row>
    <row r="1207">
      <c r="A1207" s="65" t="str">
        <f>IFERROR(__xludf.DUMMYFUNCTION("""COMPUTED_VALUE"""),"-30.8963982943858")</f>
        <v>-30.8963982943858</v>
      </c>
      <c r="B1207" s="66" t="str">
        <f>IFERROR(__xludf.DUMMYFUNCTION("""COMPUTED_VALUE"""),"-55.5387137746236")</f>
        <v>-55.5387137746236</v>
      </c>
      <c r="C1207" s="66">
        <f>IFERROR(__xludf.DUMMYFUNCTION("""COMPUTED_VALUE"""),1.0)</f>
        <v>1</v>
      </c>
      <c r="D1207" s="66">
        <f>IFERROR(__xludf.DUMMYFUNCTION("""COMPUTED_VALUE"""),78.0)</f>
        <v>78</v>
      </c>
      <c r="E1207" s="66">
        <f>IFERROR(__xludf.DUMMYFUNCTION("""COMPUTED_VALUE"""),1.0)</f>
        <v>1</v>
      </c>
      <c r="F1207" s="67" t="str">
        <f>IFERROR(__xludf.DUMMYFUNCTION("""COMPUTED_VALUE"""),"https://www.google.com/maps/search/?api=1&amp;query=-30.8963982943858,-55.5387137746236")</f>
        <v>https://www.google.com/maps/search/?api=1&amp;query=-30.8963982943858,-55.5387137746236</v>
      </c>
      <c r="G1207" s="68" t="str">
        <f>IFERROR(__xludf.DUMMYFUNCTION("""COMPUTED_VALUE"""),"https://earth.google.com/web/search/-30.8963982943858,-55.5387137746236")</f>
        <v>https://earth.google.com/web/search/-30.8963982943858,-55.5387137746236</v>
      </c>
      <c r="H1207" s="64"/>
      <c r="I1207" s="64"/>
      <c r="J1207" s="64"/>
      <c r="K1207" s="64"/>
      <c r="L1207" s="64"/>
      <c r="M1207" s="64"/>
      <c r="N1207" s="64"/>
      <c r="O1207" s="64"/>
      <c r="P1207" s="64"/>
      <c r="Q1207" s="64"/>
      <c r="R1207" s="64"/>
      <c r="S1207" s="64"/>
      <c r="T1207" s="64"/>
      <c r="U1207" s="64"/>
      <c r="V1207" s="64"/>
      <c r="W1207" s="64"/>
      <c r="X1207" s="64"/>
      <c r="Y1207" s="64"/>
      <c r="Z1207" s="64"/>
    </row>
    <row r="1208">
      <c r="A1208" s="69" t="str">
        <f>IFERROR(__xludf.DUMMYFUNCTION("""COMPUTED_VALUE"""),"-30.8964829106729")</f>
        <v>-30.8964829106729</v>
      </c>
      <c r="B1208" s="61" t="str">
        <f>IFERROR(__xludf.DUMMYFUNCTION("""COMPUTED_VALUE"""),"-55.5387804182816")</f>
        <v>-55.5387804182816</v>
      </c>
      <c r="C1208" s="61">
        <f>IFERROR(__xludf.DUMMYFUNCTION("""COMPUTED_VALUE"""),1.0)</f>
        <v>1</v>
      </c>
      <c r="D1208" s="61">
        <f>IFERROR(__xludf.DUMMYFUNCTION("""COMPUTED_VALUE"""),78.0)</f>
        <v>78</v>
      </c>
      <c r="E1208" s="61">
        <f>IFERROR(__xludf.DUMMYFUNCTION("""COMPUTED_VALUE"""),2.0)</f>
        <v>2</v>
      </c>
      <c r="F1208" s="62" t="str">
        <f>IFERROR(__xludf.DUMMYFUNCTION("""COMPUTED_VALUE"""),"https://www.google.com/maps/search/?api=1&amp;query=-30.8964829106729,-55.5387804182816")</f>
        <v>https://www.google.com/maps/search/?api=1&amp;query=-30.8964829106729,-55.5387804182816</v>
      </c>
      <c r="G1208" s="63" t="str">
        <f>IFERROR(__xludf.DUMMYFUNCTION("""COMPUTED_VALUE"""),"https://earth.google.com/web/search/-30.8964829106729,-55.5387804182816")</f>
        <v>https://earth.google.com/web/search/-30.8964829106729,-55.5387804182816</v>
      </c>
      <c r="H1208" s="64"/>
      <c r="I1208" s="64"/>
      <c r="J1208" s="64"/>
      <c r="K1208" s="64"/>
      <c r="L1208" s="64"/>
      <c r="M1208" s="64"/>
      <c r="N1208" s="64"/>
      <c r="O1208" s="64"/>
      <c r="P1208" s="64"/>
      <c r="Q1208" s="64"/>
      <c r="R1208" s="64"/>
      <c r="S1208" s="64"/>
      <c r="T1208" s="64"/>
      <c r="U1208" s="64"/>
      <c r="V1208" s="64"/>
      <c r="W1208" s="64"/>
      <c r="X1208" s="64"/>
      <c r="Y1208" s="64"/>
      <c r="Z1208" s="64"/>
    </row>
    <row r="1209">
      <c r="A1209" s="65" t="str">
        <f>IFERROR(__xludf.DUMMYFUNCTION("""COMPUTED_VALUE"""),"-30.8967283977023")</f>
        <v>-30.8967283977023</v>
      </c>
      <c r="B1209" s="66" t="str">
        <f>IFERROR(__xludf.DUMMYFUNCTION("""COMPUTED_VALUE"""),"-55.5389572648396")</f>
        <v>-55.5389572648396</v>
      </c>
      <c r="C1209" s="66">
        <f>IFERROR(__xludf.DUMMYFUNCTION("""COMPUTED_VALUE"""),1.0)</f>
        <v>1</v>
      </c>
      <c r="D1209" s="66">
        <f>IFERROR(__xludf.DUMMYFUNCTION("""COMPUTED_VALUE"""),78.0)</f>
        <v>78</v>
      </c>
      <c r="E1209" s="66">
        <f>IFERROR(__xludf.DUMMYFUNCTION("""COMPUTED_VALUE"""),3.0)</f>
        <v>3</v>
      </c>
      <c r="F1209" s="67" t="str">
        <f>IFERROR(__xludf.DUMMYFUNCTION("""COMPUTED_VALUE"""),"https://www.google.com/maps/search/?api=1&amp;query=-30.8967283977023,-55.5389572648396")</f>
        <v>https://www.google.com/maps/search/?api=1&amp;query=-30.8967283977023,-55.5389572648396</v>
      </c>
      <c r="G1209" s="68" t="str">
        <f>IFERROR(__xludf.DUMMYFUNCTION("""COMPUTED_VALUE"""),"https://earth.google.com/web/search/-30.8967283977023,-55.5389572648396")</f>
        <v>https://earth.google.com/web/search/-30.8967283977023,-55.5389572648396</v>
      </c>
      <c r="H1209" s="64"/>
      <c r="I1209" s="64"/>
      <c r="J1209" s="64"/>
      <c r="K1209" s="64"/>
      <c r="L1209" s="64"/>
      <c r="M1209" s="64"/>
      <c r="N1209" s="64"/>
      <c r="O1209" s="64"/>
      <c r="P1209" s="64"/>
      <c r="Q1209" s="64"/>
      <c r="R1209" s="64"/>
      <c r="S1209" s="64"/>
      <c r="T1209" s="64"/>
      <c r="U1209" s="64"/>
      <c r="V1209" s="64"/>
      <c r="W1209" s="64"/>
      <c r="X1209" s="64"/>
      <c r="Y1209" s="64"/>
      <c r="Z1209" s="64"/>
    </row>
    <row r="1210">
      <c r="A1210" s="69" t="str">
        <f>IFERROR(__xludf.DUMMYFUNCTION("""COMPUTED_VALUE"""),"-30.8968843579261")</f>
        <v>-30.8968843579261</v>
      </c>
      <c r="B1210" s="61" t="str">
        <f>IFERROR(__xludf.DUMMYFUNCTION("""COMPUTED_VALUE"""),"-55.5393981307237")</f>
        <v>-55.5393981307237</v>
      </c>
      <c r="C1210" s="61">
        <f>IFERROR(__xludf.DUMMYFUNCTION("""COMPUTED_VALUE"""),1.0)</f>
        <v>1</v>
      </c>
      <c r="D1210" s="61">
        <f>IFERROR(__xludf.DUMMYFUNCTION("""COMPUTED_VALUE"""),78.0)</f>
        <v>78</v>
      </c>
      <c r="E1210" s="61">
        <f>IFERROR(__xludf.DUMMYFUNCTION("""COMPUTED_VALUE"""),4.0)</f>
        <v>4</v>
      </c>
      <c r="F1210" s="62" t="str">
        <f>IFERROR(__xludf.DUMMYFUNCTION("""COMPUTED_VALUE"""),"https://www.google.com/maps/search/?api=1&amp;query=-30.8968843579261,-55.5393981307237")</f>
        <v>https://www.google.com/maps/search/?api=1&amp;query=-30.8968843579261,-55.5393981307237</v>
      </c>
      <c r="G1210" s="63" t="str">
        <f>IFERROR(__xludf.DUMMYFUNCTION("""COMPUTED_VALUE"""),"https://earth.google.com/web/search/-30.8968843579261,-55.5393981307237")</f>
        <v>https://earth.google.com/web/search/-30.8968843579261,-55.5393981307237</v>
      </c>
      <c r="H1210" s="64"/>
      <c r="I1210" s="64"/>
      <c r="J1210" s="64"/>
      <c r="K1210" s="64"/>
      <c r="L1210" s="64"/>
      <c r="M1210" s="64"/>
      <c r="N1210" s="64"/>
      <c r="O1210" s="64"/>
      <c r="P1210" s="64"/>
      <c r="Q1210" s="64"/>
      <c r="R1210" s="64"/>
      <c r="S1210" s="64"/>
      <c r="T1210" s="64"/>
      <c r="U1210" s="64"/>
      <c r="V1210" s="64"/>
      <c r="W1210" s="64"/>
      <c r="X1210" s="64"/>
      <c r="Y1210" s="64"/>
      <c r="Z1210" s="64"/>
    </row>
    <row r="1211">
      <c r="A1211" s="65" t="str">
        <f>IFERROR(__xludf.DUMMYFUNCTION("""COMPUTED_VALUE"""),"-0.3089658806882")</f>
        <v>-0.3089658806882</v>
      </c>
      <c r="B1211" s="66" t="str">
        <f>IFERROR(__xludf.DUMMYFUNCTION("""COMPUTED_VALUE"""),"-55.5399743206763")</f>
        <v>-55.5399743206763</v>
      </c>
      <c r="C1211" s="66">
        <f>IFERROR(__xludf.DUMMYFUNCTION("""COMPUTED_VALUE"""),1.0)</f>
        <v>1</v>
      </c>
      <c r="D1211" s="66">
        <f>IFERROR(__xludf.DUMMYFUNCTION("""COMPUTED_VALUE"""),78.0)</f>
        <v>78</v>
      </c>
      <c r="E1211" s="66">
        <f>IFERROR(__xludf.DUMMYFUNCTION("""COMPUTED_VALUE"""),5.0)</f>
        <v>5</v>
      </c>
      <c r="F1211" s="67" t="str">
        <f>IFERROR(__xludf.DUMMYFUNCTION("""COMPUTED_VALUE"""),"https://www.google.com/maps/search/?api=1&amp;query=-0.3089658806882,-55.5399743206763")</f>
        <v>https://www.google.com/maps/search/?api=1&amp;query=-0.3089658806882,-55.5399743206763</v>
      </c>
      <c r="G1211" s="68" t="str">
        <f>IFERROR(__xludf.DUMMYFUNCTION("""COMPUTED_VALUE"""),"https://earth.google.com/web/search/-0.3089658806882,-55.5399743206763")</f>
        <v>https://earth.google.com/web/search/-0.3089658806882,-55.5399743206763</v>
      </c>
      <c r="H1211" s="64"/>
      <c r="I1211" s="64"/>
      <c r="J1211" s="64"/>
      <c r="K1211" s="64"/>
      <c r="L1211" s="64"/>
      <c r="M1211" s="64"/>
      <c r="N1211" s="64"/>
      <c r="O1211" s="64"/>
      <c r="P1211" s="64"/>
      <c r="Q1211" s="64"/>
      <c r="R1211" s="64"/>
      <c r="S1211" s="64"/>
      <c r="T1211" s="64"/>
      <c r="U1211" s="64"/>
      <c r="V1211" s="64"/>
      <c r="W1211" s="64"/>
      <c r="X1211" s="64"/>
      <c r="Y1211" s="64"/>
      <c r="Z1211" s="64"/>
    </row>
    <row r="1212">
      <c r="A1212" s="69" t="str">
        <f>IFERROR(__xludf.DUMMYFUNCTION("""COMPUTED_VALUE"""),"-30.8964896014276")</f>
        <v>-30.8964896014276</v>
      </c>
      <c r="B1212" s="61" t="str">
        <f>IFERROR(__xludf.DUMMYFUNCTION("""COMPUTED_VALUE"""),"-55.5399009675515")</f>
        <v>-55.5399009675515</v>
      </c>
      <c r="C1212" s="61">
        <f>IFERROR(__xludf.DUMMYFUNCTION("""COMPUTED_VALUE"""),1.0)</f>
        <v>1</v>
      </c>
      <c r="D1212" s="61">
        <f>IFERROR(__xludf.DUMMYFUNCTION("""COMPUTED_VALUE"""),78.0)</f>
        <v>78</v>
      </c>
      <c r="E1212" s="61">
        <f>IFERROR(__xludf.DUMMYFUNCTION("""COMPUTED_VALUE"""),6.0)</f>
        <v>6</v>
      </c>
      <c r="F1212" s="62" t="str">
        <f>IFERROR(__xludf.DUMMYFUNCTION("""COMPUTED_VALUE"""),"https://www.google.com/maps/search/?api=1&amp;query=-30.8964896014276,-55.5399009675515")</f>
        <v>https://www.google.com/maps/search/?api=1&amp;query=-30.8964896014276,-55.5399009675515</v>
      </c>
      <c r="G1212" s="63" t="str">
        <f>IFERROR(__xludf.DUMMYFUNCTION("""COMPUTED_VALUE"""),"https://earth.google.com/web/search/-30.8964896014276,-55.5399009675515")</f>
        <v>https://earth.google.com/web/search/-30.8964896014276,-55.5399009675515</v>
      </c>
      <c r="H1212" s="64"/>
      <c r="I1212" s="64"/>
      <c r="J1212" s="64"/>
      <c r="K1212" s="64"/>
      <c r="L1212" s="64"/>
      <c r="M1212" s="64"/>
      <c r="N1212" s="64"/>
      <c r="O1212" s="64"/>
      <c r="P1212" s="64"/>
      <c r="Q1212" s="64"/>
      <c r="R1212" s="64"/>
      <c r="S1212" s="64"/>
      <c r="T1212" s="64"/>
      <c r="U1212" s="64"/>
      <c r="V1212" s="64"/>
      <c r="W1212" s="64"/>
      <c r="X1212" s="64"/>
      <c r="Y1212" s="64"/>
      <c r="Z1212" s="64"/>
    </row>
    <row r="1213">
      <c r="A1213" s="65" t="str">
        <f>IFERROR(__xludf.DUMMYFUNCTION("""COMPUTED_VALUE"""),"-30.8961250624666")</f>
        <v>-30.8961250624666</v>
      </c>
      <c r="B1213" s="66" t="str">
        <f>IFERROR(__xludf.DUMMYFUNCTION("""COMPUTED_VALUE"""),"-55.5396302097219")</f>
        <v>-55.5396302097219</v>
      </c>
      <c r="C1213" s="66">
        <f>IFERROR(__xludf.DUMMYFUNCTION("""COMPUTED_VALUE"""),1.0)</f>
        <v>1</v>
      </c>
      <c r="D1213" s="66">
        <f>IFERROR(__xludf.DUMMYFUNCTION("""COMPUTED_VALUE"""),78.0)</f>
        <v>78</v>
      </c>
      <c r="E1213" s="66">
        <f>IFERROR(__xludf.DUMMYFUNCTION("""COMPUTED_VALUE"""),7.0)</f>
        <v>7</v>
      </c>
      <c r="F1213" s="67" t="str">
        <f>IFERROR(__xludf.DUMMYFUNCTION("""COMPUTED_VALUE"""),"https://www.google.com/maps/search/?api=1&amp;query=-30.8961250624666,-55.5396302097219")</f>
        <v>https://www.google.com/maps/search/?api=1&amp;query=-30.8961250624666,-55.5396302097219</v>
      </c>
      <c r="G1213" s="68" t="str">
        <f>IFERROR(__xludf.DUMMYFUNCTION("""COMPUTED_VALUE"""),"https://earth.google.com/web/search/-30.8961250624666,-55.5396302097219")</f>
        <v>https://earth.google.com/web/search/-30.8961250624666,-55.5396302097219</v>
      </c>
      <c r="H1213" s="64"/>
      <c r="I1213" s="64"/>
      <c r="J1213" s="64"/>
      <c r="K1213" s="64"/>
      <c r="L1213" s="64"/>
      <c r="M1213" s="64"/>
      <c r="N1213" s="64"/>
      <c r="O1213" s="64"/>
      <c r="P1213" s="64"/>
      <c r="Q1213" s="64"/>
      <c r="R1213" s="64"/>
      <c r="S1213" s="64"/>
      <c r="T1213" s="64"/>
      <c r="U1213" s="64"/>
      <c r="V1213" s="64"/>
      <c r="W1213" s="64"/>
      <c r="X1213" s="64"/>
      <c r="Y1213" s="64"/>
      <c r="Z1213" s="64"/>
    </row>
    <row r="1214">
      <c r="A1214" s="69" t="str">
        <f>IFERROR(__xludf.DUMMYFUNCTION("""COMPUTED_VALUE"""),"-30.8960437638141")</f>
        <v>-30.8960437638141</v>
      </c>
      <c r="B1214" s="61" t="str">
        <f>IFERROR(__xludf.DUMMYFUNCTION("""COMPUTED_VALUE"""),"-55.5395877633479")</f>
        <v>-55.5395877633479</v>
      </c>
      <c r="C1214" s="61">
        <f>IFERROR(__xludf.DUMMYFUNCTION("""COMPUTED_VALUE"""),1.0)</f>
        <v>1</v>
      </c>
      <c r="D1214" s="61">
        <f>IFERROR(__xludf.DUMMYFUNCTION("""COMPUTED_VALUE"""),78.0)</f>
        <v>78</v>
      </c>
      <c r="E1214" s="61">
        <f>IFERROR(__xludf.DUMMYFUNCTION("""COMPUTED_VALUE"""),8.0)</f>
        <v>8</v>
      </c>
      <c r="F1214" s="62" t="str">
        <f>IFERROR(__xludf.DUMMYFUNCTION("""COMPUTED_VALUE"""),"https://www.google.com/maps/search/?api=1&amp;query=-30.8960437638141,-55.5395877633479")</f>
        <v>https://www.google.com/maps/search/?api=1&amp;query=-30.8960437638141,-55.5395877633479</v>
      </c>
      <c r="G1214" s="63" t="str">
        <f>IFERROR(__xludf.DUMMYFUNCTION("""COMPUTED_VALUE"""),"https://earth.google.com/web/search/-30.8960437638141,-55.5395877633479")</f>
        <v>https://earth.google.com/web/search/-30.8960437638141,-55.5395877633479</v>
      </c>
      <c r="H1214" s="64"/>
      <c r="I1214" s="64"/>
      <c r="J1214" s="64"/>
      <c r="K1214" s="64"/>
      <c r="L1214" s="64"/>
      <c r="M1214" s="64"/>
      <c r="N1214" s="64"/>
      <c r="O1214" s="64"/>
      <c r="P1214" s="64"/>
      <c r="Q1214" s="64"/>
      <c r="R1214" s="64"/>
      <c r="S1214" s="64"/>
      <c r="T1214" s="64"/>
      <c r="U1214" s="64"/>
      <c r="V1214" s="64"/>
      <c r="W1214" s="64"/>
      <c r="X1214" s="64"/>
      <c r="Y1214" s="64"/>
      <c r="Z1214" s="64"/>
    </row>
    <row r="1215">
      <c r="A1215" s="65" t="str">
        <f>IFERROR(__xludf.DUMMYFUNCTION("""COMPUTED_VALUE"""),"-30.8959597047258")</f>
        <v>-30.8959597047258</v>
      </c>
      <c r="B1215" s="66" t="str">
        <f>IFERROR(__xludf.DUMMYFUNCTION("""COMPUTED_VALUE"""),"-55.5393456717798")</f>
        <v>-55.5393456717798</v>
      </c>
      <c r="C1215" s="66">
        <f>IFERROR(__xludf.DUMMYFUNCTION("""COMPUTED_VALUE"""),1.0)</f>
        <v>1</v>
      </c>
      <c r="D1215" s="66">
        <f>IFERROR(__xludf.DUMMYFUNCTION("""COMPUTED_VALUE"""),78.0)</f>
        <v>78</v>
      </c>
      <c r="E1215" s="66">
        <f>IFERROR(__xludf.DUMMYFUNCTION("""COMPUTED_VALUE"""),9.0)</f>
        <v>9</v>
      </c>
      <c r="F1215" s="67" t="str">
        <f>IFERROR(__xludf.DUMMYFUNCTION("""COMPUTED_VALUE"""),"https://www.google.com/maps/search/?api=1&amp;query=-30.8959597047258,-55.5393456717798")</f>
        <v>https://www.google.com/maps/search/?api=1&amp;query=-30.8959597047258,-55.5393456717798</v>
      </c>
      <c r="G1215" s="68" t="str">
        <f>IFERROR(__xludf.DUMMYFUNCTION("""COMPUTED_VALUE"""),"https://earth.google.com/web/search/-30.8959597047258,-55.5393456717798")</f>
        <v>https://earth.google.com/web/search/-30.8959597047258,-55.5393456717798</v>
      </c>
      <c r="H1215" s="64"/>
      <c r="I1215" s="64"/>
      <c r="J1215" s="64"/>
      <c r="K1215" s="64"/>
      <c r="L1215" s="64"/>
      <c r="M1215" s="64"/>
      <c r="N1215" s="64"/>
      <c r="O1215" s="64"/>
      <c r="P1215" s="64"/>
      <c r="Q1215" s="64"/>
      <c r="R1215" s="64"/>
      <c r="S1215" s="64"/>
      <c r="T1215" s="64"/>
      <c r="U1215" s="64"/>
      <c r="V1215" s="64"/>
      <c r="W1215" s="64"/>
      <c r="X1215" s="64"/>
      <c r="Y1215" s="64"/>
      <c r="Z1215" s="64"/>
    </row>
    <row r="1216">
      <c r="A1216" s="69" t="str">
        <f>IFERROR(__xludf.DUMMYFUNCTION("""COMPUTED_VALUE"""),"-30.8960736953033")</f>
        <v>-30.8960736953033</v>
      </c>
      <c r="B1216" s="61" t="str">
        <f>IFERROR(__xludf.DUMMYFUNCTION("""COMPUTED_VALUE"""),"-55.5391167912065")</f>
        <v>-55.5391167912065</v>
      </c>
      <c r="C1216" s="61">
        <f>IFERROR(__xludf.DUMMYFUNCTION("""COMPUTED_VALUE"""),1.0)</f>
        <v>1</v>
      </c>
      <c r="D1216" s="61">
        <f>IFERROR(__xludf.DUMMYFUNCTION("""COMPUTED_VALUE"""),78.0)</f>
        <v>78</v>
      </c>
      <c r="E1216" s="61">
        <f>IFERROR(__xludf.DUMMYFUNCTION("""COMPUTED_VALUE"""),10.0)</f>
        <v>10</v>
      </c>
      <c r="F1216" s="62" t="str">
        <f>IFERROR(__xludf.DUMMYFUNCTION("""COMPUTED_VALUE"""),"https://www.google.com/maps/search/?api=1&amp;query=-30.8960736953033,-55.5391167912065")</f>
        <v>https://www.google.com/maps/search/?api=1&amp;query=-30.8960736953033,-55.5391167912065</v>
      </c>
      <c r="G1216" s="63" t="str">
        <f>IFERROR(__xludf.DUMMYFUNCTION("""COMPUTED_VALUE"""),"https://earth.google.com/web/search/-30.8960736953033,-55.5391167912065")</f>
        <v>https://earth.google.com/web/search/-30.8960736953033,-55.5391167912065</v>
      </c>
      <c r="H1216" s="64"/>
      <c r="I1216" s="64"/>
      <c r="J1216" s="64"/>
      <c r="K1216" s="64"/>
      <c r="L1216" s="64"/>
      <c r="M1216" s="64"/>
      <c r="N1216" s="64"/>
      <c r="O1216" s="64"/>
      <c r="P1216" s="64"/>
      <c r="Q1216" s="64"/>
      <c r="R1216" s="64"/>
      <c r="S1216" s="64"/>
      <c r="T1216" s="64"/>
      <c r="U1216" s="64"/>
      <c r="V1216" s="64"/>
      <c r="W1216" s="64"/>
      <c r="X1216" s="64"/>
      <c r="Y1216" s="64"/>
      <c r="Z1216" s="64"/>
    </row>
    <row r="1217">
      <c r="A1217" s="65" t="str">
        <f>IFERROR(__xludf.DUMMYFUNCTION("""COMPUTED_VALUE"""),"-30.8961390166818")</f>
        <v>-30.8961390166818</v>
      </c>
      <c r="B1217" s="66" t="str">
        <f>IFERROR(__xludf.DUMMYFUNCTION("""COMPUTED_VALUE"""),"-55.5389877795353")</f>
        <v>-55.5389877795353</v>
      </c>
      <c r="C1217" s="66">
        <f>IFERROR(__xludf.DUMMYFUNCTION("""COMPUTED_VALUE"""),1.0)</f>
        <v>1</v>
      </c>
      <c r="D1217" s="66">
        <f>IFERROR(__xludf.DUMMYFUNCTION("""COMPUTED_VALUE"""),78.0)</f>
        <v>78</v>
      </c>
      <c r="E1217" s="66">
        <f>IFERROR(__xludf.DUMMYFUNCTION("""COMPUTED_VALUE"""),11.0)</f>
        <v>11</v>
      </c>
      <c r="F1217" s="67" t="str">
        <f>IFERROR(__xludf.DUMMYFUNCTION("""COMPUTED_VALUE"""),"https://www.google.com/maps/search/?api=1&amp;query=-30.8961390166818,-55.5389877795353")</f>
        <v>https://www.google.com/maps/search/?api=1&amp;query=-30.8961390166818,-55.5389877795353</v>
      </c>
      <c r="G1217" s="68" t="str">
        <f>IFERROR(__xludf.DUMMYFUNCTION("""COMPUTED_VALUE"""),"https://earth.google.com/web/search/-30.8961390166818,-55.5389877795353")</f>
        <v>https://earth.google.com/web/search/-30.8961390166818,-55.5389877795353</v>
      </c>
      <c r="H1217" s="64"/>
      <c r="I1217" s="64"/>
      <c r="J1217" s="64"/>
      <c r="K1217" s="64"/>
      <c r="L1217" s="64"/>
      <c r="M1217" s="64"/>
      <c r="N1217" s="64"/>
      <c r="O1217" s="64"/>
      <c r="P1217" s="64"/>
      <c r="Q1217" s="64"/>
      <c r="R1217" s="64"/>
      <c r="S1217" s="64"/>
      <c r="T1217" s="64"/>
      <c r="U1217" s="64"/>
      <c r="V1217" s="64"/>
      <c r="W1217" s="64"/>
      <c r="X1217" s="64"/>
      <c r="Y1217" s="64"/>
      <c r="Z1217" s="64"/>
    </row>
    <row r="1218">
      <c r="A1218" s="69" t="str">
        <f>IFERROR(__xludf.DUMMYFUNCTION("""COMPUTED_VALUE"""),"-30.8962142188988")</f>
        <v>-30.8962142188988</v>
      </c>
      <c r="B1218" s="61" t="str">
        <f>IFERROR(__xludf.DUMMYFUNCTION("""COMPUTED_VALUE"""),"-55.5388615483696")</f>
        <v>-55.5388615483696</v>
      </c>
      <c r="C1218" s="61">
        <f>IFERROR(__xludf.DUMMYFUNCTION("""COMPUTED_VALUE"""),1.0)</f>
        <v>1</v>
      </c>
      <c r="D1218" s="61">
        <f>IFERROR(__xludf.DUMMYFUNCTION("""COMPUTED_VALUE"""),78.0)</f>
        <v>78</v>
      </c>
      <c r="E1218" s="61">
        <f>IFERROR(__xludf.DUMMYFUNCTION("""COMPUTED_VALUE"""),12.0)</f>
        <v>12</v>
      </c>
      <c r="F1218" s="62" t="str">
        <f>IFERROR(__xludf.DUMMYFUNCTION("""COMPUTED_VALUE"""),"https://www.google.com/maps/search/?api=1&amp;query=-30.8962142188988,-55.5388615483696")</f>
        <v>https://www.google.com/maps/search/?api=1&amp;query=-30.8962142188988,-55.5388615483696</v>
      </c>
      <c r="G1218" s="63" t="str">
        <f>IFERROR(__xludf.DUMMYFUNCTION("""COMPUTED_VALUE"""),"https://earth.google.com/web/search/-30.8962142188988,-55.5388615483696")</f>
        <v>https://earth.google.com/web/search/-30.8962142188988,-55.5388615483696</v>
      </c>
      <c r="H1218" s="64"/>
      <c r="I1218" s="64"/>
      <c r="J1218" s="64"/>
      <c r="K1218" s="64"/>
      <c r="L1218" s="64"/>
      <c r="M1218" s="64"/>
      <c r="N1218" s="64"/>
      <c r="O1218" s="64"/>
      <c r="P1218" s="64"/>
      <c r="Q1218" s="64"/>
      <c r="R1218" s="64"/>
      <c r="S1218" s="64"/>
      <c r="T1218" s="64"/>
      <c r="U1218" s="64"/>
      <c r="V1218" s="64"/>
      <c r="W1218" s="64"/>
      <c r="X1218" s="64"/>
      <c r="Y1218" s="64"/>
      <c r="Z1218" s="64"/>
    </row>
    <row r="1219">
      <c r="A1219" s="65" t="str">
        <f>IFERROR(__xludf.DUMMYFUNCTION("""COMPUTED_VALUE"""),"-30.8964626012366")</f>
        <v>-30.8964626012366</v>
      </c>
      <c r="B1219" s="66" t="str">
        <f>IFERROR(__xludf.DUMMYFUNCTION("""COMPUTED_VALUE"""),"-5.5538626617819")</f>
        <v>-5.5538626617819</v>
      </c>
      <c r="C1219" s="66">
        <f>IFERROR(__xludf.DUMMYFUNCTION("""COMPUTED_VALUE"""),1.0)</f>
        <v>1</v>
      </c>
      <c r="D1219" s="66">
        <f>IFERROR(__xludf.DUMMYFUNCTION("""COMPUTED_VALUE"""),77.0)</f>
        <v>77</v>
      </c>
      <c r="E1219" s="66">
        <f>IFERROR(__xludf.DUMMYFUNCTION("""COMPUTED_VALUE"""),1.0)</f>
        <v>1</v>
      </c>
      <c r="F1219" s="67" t="str">
        <f>IFERROR(__xludf.DUMMYFUNCTION("""COMPUTED_VALUE"""),"https://www.google.com/maps/search/?api=1&amp;query=-30.8964626012366,-5.5538626617819")</f>
        <v>https://www.google.com/maps/search/?api=1&amp;query=-30.8964626012366,-5.5538626617819</v>
      </c>
      <c r="G1219" s="68" t="str">
        <f>IFERROR(__xludf.DUMMYFUNCTION("""COMPUTED_VALUE"""),"https://earth.google.com/web/search/-30.8964626012366,-5.5538626617819")</f>
        <v>https://earth.google.com/web/search/-30.8964626012366,-5.5538626617819</v>
      </c>
      <c r="H1219" s="64"/>
      <c r="I1219" s="64"/>
      <c r="J1219" s="64"/>
      <c r="K1219" s="64"/>
      <c r="L1219" s="64"/>
      <c r="M1219" s="64"/>
      <c r="N1219" s="64"/>
      <c r="O1219" s="64"/>
      <c r="P1219" s="64"/>
      <c r="Q1219" s="64"/>
      <c r="R1219" s="64"/>
      <c r="S1219" s="64"/>
      <c r="T1219" s="64"/>
      <c r="U1219" s="64"/>
      <c r="V1219" s="64"/>
      <c r="W1219" s="64"/>
      <c r="X1219" s="64"/>
      <c r="Y1219" s="64"/>
      <c r="Z1219" s="64"/>
    </row>
    <row r="1220">
      <c r="A1220" s="69" t="str">
        <f>IFERROR(__xludf.DUMMYFUNCTION("""COMPUTED_VALUE"""),"-30.8965446189862")</f>
        <v>-30.8965446189862</v>
      </c>
      <c r="B1220" s="61" t="str">
        <f>IFERROR(__xludf.DUMMYFUNCTION("""COMPUTED_VALUE"""),"-55.5386850099032")</f>
        <v>-55.5386850099032</v>
      </c>
      <c r="C1220" s="61">
        <f>IFERROR(__xludf.DUMMYFUNCTION("""COMPUTED_VALUE"""),1.0)</f>
        <v>1</v>
      </c>
      <c r="D1220" s="61">
        <f>IFERROR(__xludf.DUMMYFUNCTION("""COMPUTED_VALUE"""),77.0)</f>
        <v>77</v>
      </c>
      <c r="E1220" s="61">
        <f>IFERROR(__xludf.DUMMYFUNCTION("""COMPUTED_VALUE"""),2.0)</f>
        <v>2</v>
      </c>
      <c r="F1220" s="62" t="str">
        <f>IFERROR(__xludf.DUMMYFUNCTION("""COMPUTED_VALUE"""),"https://www.google.com/maps/search/?api=1&amp;query=-30.8965446189862,-55.5386850099032")</f>
        <v>https://www.google.com/maps/search/?api=1&amp;query=-30.8965446189862,-55.5386850099032</v>
      </c>
      <c r="G1220" s="63" t="str">
        <f>IFERROR(__xludf.DUMMYFUNCTION("""COMPUTED_VALUE"""),"https://earth.google.com/web/search/-30.8965446189862,-55.5386850099032")</f>
        <v>https://earth.google.com/web/search/-30.8965446189862,-55.5386850099032</v>
      </c>
      <c r="H1220" s="64"/>
      <c r="I1220" s="64"/>
      <c r="J1220" s="64"/>
      <c r="K1220" s="64"/>
      <c r="L1220" s="64"/>
      <c r="M1220" s="64"/>
      <c r="N1220" s="64"/>
      <c r="O1220" s="64"/>
      <c r="P1220" s="64"/>
      <c r="Q1220" s="64"/>
      <c r="R1220" s="64"/>
      <c r="S1220" s="64"/>
      <c r="T1220" s="64"/>
      <c r="U1220" s="64"/>
      <c r="V1220" s="64"/>
      <c r="W1220" s="64"/>
      <c r="X1220" s="64"/>
      <c r="Y1220" s="64"/>
      <c r="Z1220" s="64"/>
    </row>
    <row r="1221">
      <c r="A1221" s="65" t="str">
        <f>IFERROR(__xludf.DUMMYFUNCTION("""COMPUTED_VALUE"""),"-3.0896828355727")</f>
        <v>-3.0896828355727</v>
      </c>
      <c r="B1221" s="66" t="str">
        <f>IFERROR(__xludf.DUMMYFUNCTION("""COMPUTED_VALUE"""),"-55.5388977491593")</f>
        <v>-55.5388977491593</v>
      </c>
      <c r="C1221" s="66">
        <f>IFERROR(__xludf.DUMMYFUNCTION("""COMPUTED_VALUE"""),1.0)</f>
        <v>1</v>
      </c>
      <c r="D1221" s="66">
        <f>IFERROR(__xludf.DUMMYFUNCTION("""COMPUTED_VALUE"""),77.0)</f>
        <v>77</v>
      </c>
      <c r="E1221" s="66">
        <f>IFERROR(__xludf.DUMMYFUNCTION("""COMPUTED_VALUE"""),3.0)</f>
        <v>3</v>
      </c>
      <c r="F1221" s="67" t="str">
        <f>IFERROR(__xludf.DUMMYFUNCTION("""COMPUTED_VALUE"""),"https://www.google.com/maps/search/?api=1&amp;query=-3.0896828355727,-55.5388977491593")</f>
        <v>https://www.google.com/maps/search/?api=1&amp;query=-3.0896828355727,-55.5388977491593</v>
      </c>
      <c r="G1221" s="68" t="str">
        <f>IFERROR(__xludf.DUMMYFUNCTION("""COMPUTED_VALUE"""),"https://earth.google.com/web/search/-3.0896828355727,-55.5388977491593")</f>
        <v>https://earth.google.com/web/search/-3.0896828355727,-55.5388977491593</v>
      </c>
      <c r="H1221" s="64"/>
      <c r="I1221" s="64"/>
      <c r="J1221" s="64"/>
      <c r="K1221" s="64"/>
      <c r="L1221" s="64"/>
      <c r="M1221" s="64"/>
      <c r="N1221" s="64"/>
      <c r="O1221" s="64"/>
      <c r="P1221" s="64"/>
      <c r="Q1221" s="64"/>
      <c r="R1221" s="64"/>
      <c r="S1221" s="64"/>
      <c r="T1221" s="64"/>
      <c r="U1221" s="64"/>
      <c r="V1221" s="64"/>
      <c r="W1221" s="64"/>
      <c r="X1221" s="64"/>
      <c r="Y1221" s="64"/>
      <c r="Z1221" s="64"/>
    </row>
    <row r="1222">
      <c r="A1222" s="69" t="str">
        <f>IFERROR(__xludf.DUMMYFUNCTION("""COMPUTED_VALUE"""),"-30.8968764406173")</f>
        <v>-30.8968764406173</v>
      </c>
      <c r="B1222" s="61" t="str">
        <f>IFERROR(__xludf.DUMMYFUNCTION("""COMPUTED_VALUE"""),"-5.5538949707548")</f>
        <v>-5.5538949707548</v>
      </c>
      <c r="C1222" s="61">
        <f>IFERROR(__xludf.DUMMYFUNCTION("""COMPUTED_VALUE"""),1.0)</f>
        <v>1</v>
      </c>
      <c r="D1222" s="61">
        <f>IFERROR(__xludf.DUMMYFUNCTION("""COMPUTED_VALUE"""),77.0)</f>
        <v>77</v>
      </c>
      <c r="E1222" s="61">
        <f>IFERROR(__xludf.DUMMYFUNCTION("""COMPUTED_VALUE"""),4.0)</f>
        <v>4</v>
      </c>
      <c r="F1222" s="62" t="str">
        <f>IFERROR(__xludf.DUMMYFUNCTION("""COMPUTED_VALUE"""),"https://www.google.com/maps/search/?api=1&amp;query=-30.8968764406173,-5.5538949707548")</f>
        <v>https://www.google.com/maps/search/?api=1&amp;query=-30.8968764406173,-5.5538949707548</v>
      </c>
      <c r="G1222" s="63" t="str">
        <f>IFERROR(__xludf.DUMMYFUNCTION("""COMPUTED_VALUE"""),"https://earth.google.com/web/search/-30.8968764406173,-5.5538949707548")</f>
        <v>https://earth.google.com/web/search/-30.8968764406173,-5.5538949707548</v>
      </c>
      <c r="H1222" s="64"/>
      <c r="I1222" s="64"/>
      <c r="J1222" s="64"/>
      <c r="K1222" s="64"/>
      <c r="L1222" s="64"/>
      <c r="M1222" s="64"/>
      <c r="N1222" s="64"/>
      <c r="O1222" s="64"/>
      <c r="P1222" s="64"/>
      <c r="Q1222" s="64"/>
      <c r="R1222" s="64"/>
      <c r="S1222" s="64"/>
      <c r="T1222" s="64"/>
      <c r="U1222" s="64"/>
      <c r="V1222" s="64"/>
      <c r="W1222" s="64"/>
      <c r="X1222" s="64"/>
      <c r="Y1222" s="64"/>
      <c r="Z1222" s="64"/>
    </row>
    <row r="1223">
      <c r="A1223" s="65" t="str">
        <f>IFERROR(__xludf.DUMMYFUNCTION("""COMPUTED_VALUE"""),"-30.8969406450004")</f>
        <v>-30.8969406450004</v>
      </c>
      <c r="B1223" s="66" t="str">
        <f>IFERROR(__xludf.DUMMYFUNCTION("""COMPUTED_VALUE"""),"-55.5389796793526")</f>
        <v>-55.5389796793526</v>
      </c>
      <c r="C1223" s="66">
        <f>IFERROR(__xludf.DUMMYFUNCTION("""COMPUTED_VALUE"""),1.0)</f>
        <v>1</v>
      </c>
      <c r="D1223" s="66">
        <f>IFERROR(__xludf.DUMMYFUNCTION("""COMPUTED_VALUE"""),77.0)</f>
        <v>77</v>
      </c>
      <c r="E1223" s="66">
        <f>IFERROR(__xludf.DUMMYFUNCTION("""COMPUTED_VALUE"""),5.0)</f>
        <v>5</v>
      </c>
      <c r="F1223" s="67" t="str">
        <f>IFERROR(__xludf.DUMMYFUNCTION("""COMPUTED_VALUE"""),"https://www.google.com/maps/search/?api=1&amp;query=-30.8969406450004,-55.5389796793526")</f>
        <v>https://www.google.com/maps/search/?api=1&amp;query=-30.8969406450004,-55.5389796793526</v>
      </c>
      <c r="G1223" s="68" t="str">
        <f>IFERROR(__xludf.DUMMYFUNCTION("""COMPUTED_VALUE"""),"https://earth.google.com/web/search/-30.8969406450004,-55.5389796793526")</f>
        <v>https://earth.google.com/web/search/-30.8969406450004,-55.5389796793526</v>
      </c>
      <c r="H1223" s="64"/>
      <c r="I1223" s="64"/>
      <c r="J1223" s="64"/>
      <c r="K1223" s="64"/>
      <c r="L1223" s="64"/>
      <c r="M1223" s="64"/>
      <c r="N1223" s="64"/>
      <c r="O1223" s="64"/>
      <c r="P1223" s="64"/>
      <c r="Q1223" s="64"/>
      <c r="R1223" s="64"/>
      <c r="S1223" s="64"/>
      <c r="T1223" s="64"/>
      <c r="U1223" s="64"/>
      <c r="V1223" s="64"/>
      <c r="W1223" s="64"/>
      <c r="X1223" s="64"/>
      <c r="Y1223" s="64"/>
      <c r="Z1223" s="64"/>
    </row>
    <row r="1224">
      <c r="A1224" s="69" t="str">
        <f>IFERROR(__xludf.DUMMYFUNCTION("""COMPUTED_VALUE"""),"-30.8970086943143")</f>
        <v>-30.8970086943143</v>
      </c>
      <c r="B1224" s="61" t="str">
        <f>IFERROR(__xludf.DUMMYFUNCTION("""COMPUTED_VALUE"""),"-55.5390323463274")</f>
        <v>-55.5390323463274</v>
      </c>
      <c r="C1224" s="61">
        <f>IFERROR(__xludf.DUMMYFUNCTION("""COMPUTED_VALUE"""),1.0)</f>
        <v>1</v>
      </c>
      <c r="D1224" s="61">
        <f>IFERROR(__xludf.DUMMYFUNCTION("""COMPUTED_VALUE"""),77.0)</f>
        <v>77</v>
      </c>
      <c r="E1224" s="61">
        <f>IFERROR(__xludf.DUMMYFUNCTION("""COMPUTED_VALUE"""),6.0)</f>
        <v>6</v>
      </c>
      <c r="F1224" s="62" t="str">
        <f>IFERROR(__xludf.DUMMYFUNCTION("""COMPUTED_VALUE"""),"https://www.google.com/maps/search/?api=1&amp;query=-30.8970086943143,-55.5390323463274")</f>
        <v>https://www.google.com/maps/search/?api=1&amp;query=-30.8970086943143,-55.5390323463274</v>
      </c>
      <c r="G1224" s="63" t="str">
        <f>IFERROR(__xludf.DUMMYFUNCTION("""COMPUTED_VALUE"""),"https://earth.google.com/web/search/-30.8970086943143,-55.5390323463274")</f>
        <v>https://earth.google.com/web/search/-30.8970086943143,-55.5390323463274</v>
      </c>
      <c r="H1224" s="64"/>
      <c r="I1224" s="64"/>
      <c r="J1224" s="64"/>
      <c r="K1224" s="64"/>
      <c r="L1224" s="64"/>
      <c r="M1224" s="64"/>
      <c r="N1224" s="64"/>
      <c r="O1224" s="64"/>
      <c r="P1224" s="64"/>
      <c r="Q1224" s="64"/>
      <c r="R1224" s="64"/>
      <c r="S1224" s="64"/>
      <c r="T1224" s="64"/>
      <c r="U1224" s="64"/>
      <c r="V1224" s="64"/>
      <c r="W1224" s="64"/>
      <c r="X1224" s="64"/>
      <c r="Y1224" s="64"/>
      <c r="Z1224" s="64"/>
    </row>
    <row r="1225">
      <c r="A1225" s="65" t="str">
        <f>IFERROR(__xludf.DUMMYFUNCTION("""COMPUTED_VALUE"""),"-30.8972179414473")</f>
        <v>-30.8972179414473</v>
      </c>
      <c r="B1225" s="66" t="str">
        <f>IFERROR(__xludf.DUMMYFUNCTION("""COMPUTED_VALUE"""),"-5.5538795279808")</f>
        <v>-5.5538795279808</v>
      </c>
      <c r="C1225" s="66">
        <f>IFERROR(__xludf.DUMMYFUNCTION("""COMPUTED_VALUE"""),1.0)</f>
        <v>1</v>
      </c>
      <c r="D1225" s="66">
        <f>IFERROR(__xludf.DUMMYFUNCTION("""COMPUTED_VALUE"""),77.0)</f>
        <v>77</v>
      </c>
      <c r="E1225" s="66">
        <f>IFERROR(__xludf.DUMMYFUNCTION("""COMPUTED_VALUE"""),7.0)</f>
        <v>7</v>
      </c>
      <c r="F1225" s="67" t="str">
        <f>IFERROR(__xludf.DUMMYFUNCTION("""COMPUTED_VALUE"""),"https://www.google.com/maps/search/?api=1&amp;query=-30.8972179414473,-5.5538795279808")</f>
        <v>https://www.google.com/maps/search/?api=1&amp;query=-30.8972179414473,-5.5538795279808</v>
      </c>
      <c r="G1225" s="68" t="str">
        <f>IFERROR(__xludf.DUMMYFUNCTION("""COMPUTED_VALUE"""),"https://earth.google.com/web/search/-30.8972179414473,-5.5538795279808")</f>
        <v>https://earth.google.com/web/search/-30.8972179414473,-5.5538795279808</v>
      </c>
      <c r="H1225" s="64"/>
      <c r="I1225" s="64"/>
      <c r="J1225" s="64"/>
      <c r="K1225" s="64"/>
      <c r="L1225" s="64"/>
      <c r="M1225" s="64"/>
      <c r="N1225" s="64"/>
      <c r="O1225" s="64"/>
      <c r="P1225" s="64"/>
      <c r="Q1225" s="64"/>
      <c r="R1225" s="64"/>
      <c r="S1225" s="64"/>
      <c r="T1225" s="64"/>
      <c r="U1225" s="64"/>
      <c r="V1225" s="64"/>
      <c r="W1225" s="64"/>
      <c r="X1225" s="64"/>
      <c r="Y1225" s="64"/>
      <c r="Z1225" s="64"/>
    </row>
    <row r="1226">
      <c r="A1226" s="69" t="str">
        <f>IFERROR(__xludf.DUMMYFUNCTION("""COMPUTED_VALUE"""),"-30.8972380946243")</f>
        <v>-30.8972380946243</v>
      </c>
      <c r="B1226" s="61" t="str">
        <f>IFERROR(__xludf.DUMMYFUNCTION("""COMPUTED_VALUE"""),"-55.5387387561222")</f>
        <v>-55.5387387561222</v>
      </c>
      <c r="C1226" s="61">
        <f>IFERROR(__xludf.DUMMYFUNCTION("""COMPUTED_VALUE"""),1.0)</f>
        <v>1</v>
      </c>
      <c r="D1226" s="61">
        <f>IFERROR(__xludf.DUMMYFUNCTION("""COMPUTED_VALUE"""),77.0)</f>
        <v>77</v>
      </c>
      <c r="E1226" s="61">
        <f>IFERROR(__xludf.DUMMYFUNCTION("""COMPUTED_VALUE"""),8.0)</f>
        <v>8</v>
      </c>
      <c r="F1226" s="62" t="str">
        <f>IFERROR(__xludf.DUMMYFUNCTION("""COMPUTED_VALUE"""),"https://www.google.com/maps/search/?api=1&amp;query=-30.8972380946243,-55.5387387561222")</f>
        <v>https://www.google.com/maps/search/?api=1&amp;query=-30.8972380946243,-55.5387387561222</v>
      </c>
      <c r="G1226" s="63" t="str">
        <f>IFERROR(__xludf.DUMMYFUNCTION("""COMPUTED_VALUE"""),"https://earth.google.com/web/search/-30.8972380946243,-55.5387387561222")</f>
        <v>https://earth.google.com/web/search/-30.8972380946243,-55.5387387561222</v>
      </c>
      <c r="H1226" s="64"/>
      <c r="I1226" s="64"/>
      <c r="J1226" s="64"/>
      <c r="K1226" s="64"/>
      <c r="L1226" s="64"/>
      <c r="M1226" s="64"/>
      <c r="N1226" s="64"/>
      <c r="O1226" s="64"/>
      <c r="P1226" s="64"/>
      <c r="Q1226" s="64"/>
      <c r="R1226" s="64"/>
      <c r="S1226" s="64"/>
      <c r="T1226" s="64"/>
      <c r="U1226" s="64"/>
      <c r="V1226" s="64"/>
      <c r="W1226" s="64"/>
      <c r="X1226" s="64"/>
      <c r="Y1226" s="64"/>
      <c r="Z1226" s="64"/>
    </row>
    <row r="1227">
      <c r="A1227" s="65" t="str">
        <f>IFERROR(__xludf.DUMMYFUNCTION("""COMPUTED_VALUE"""),"-30.8972622018724")</f>
        <v>-30.8972622018724</v>
      </c>
      <c r="B1227" s="66" t="str">
        <f>IFERROR(__xludf.DUMMYFUNCTION("""COMPUTED_VALUE"""),"-55.5386929178202")</f>
        <v>-55.5386929178202</v>
      </c>
      <c r="C1227" s="66">
        <f>IFERROR(__xludf.DUMMYFUNCTION("""COMPUTED_VALUE"""),1.0)</f>
        <v>1</v>
      </c>
      <c r="D1227" s="66">
        <f>IFERROR(__xludf.DUMMYFUNCTION("""COMPUTED_VALUE"""),77.0)</f>
        <v>77</v>
      </c>
      <c r="E1227" s="66">
        <f>IFERROR(__xludf.DUMMYFUNCTION("""COMPUTED_VALUE"""),9.0)</f>
        <v>9</v>
      </c>
      <c r="F1227" s="67" t="str">
        <f>IFERROR(__xludf.DUMMYFUNCTION("""COMPUTED_VALUE"""),"https://www.google.com/maps/search/?api=1&amp;query=-30.8972622018724,-55.5386929178202")</f>
        <v>https://www.google.com/maps/search/?api=1&amp;query=-30.8972622018724,-55.5386929178202</v>
      </c>
      <c r="G1227" s="68" t="str">
        <f>IFERROR(__xludf.DUMMYFUNCTION("""COMPUTED_VALUE"""),"https://earth.google.com/web/search/-30.8972622018724,-55.5386929178202")</f>
        <v>https://earth.google.com/web/search/-30.8972622018724,-55.5386929178202</v>
      </c>
      <c r="H1227" s="64"/>
      <c r="I1227" s="64"/>
      <c r="J1227" s="64"/>
      <c r="K1227" s="64"/>
      <c r="L1227" s="64"/>
      <c r="M1227" s="64"/>
      <c r="N1227" s="64"/>
      <c r="O1227" s="64"/>
      <c r="P1227" s="64"/>
      <c r="Q1227" s="64"/>
      <c r="R1227" s="64"/>
      <c r="S1227" s="64"/>
      <c r="T1227" s="64"/>
      <c r="U1227" s="64"/>
      <c r="V1227" s="64"/>
      <c r="W1227" s="64"/>
      <c r="X1227" s="64"/>
      <c r="Y1227" s="64"/>
      <c r="Z1227" s="64"/>
    </row>
    <row r="1228">
      <c r="A1228" s="69" t="str">
        <f>IFERROR(__xludf.DUMMYFUNCTION("""COMPUTED_VALUE"""),"-30.8973054825383")</f>
        <v>-30.8973054825383</v>
      </c>
      <c r="B1228" s="61" t="str">
        <f>IFERROR(__xludf.DUMMYFUNCTION("""COMPUTED_VALUE"""),"-55.5386134142694")</f>
        <v>-55.5386134142694</v>
      </c>
      <c r="C1228" s="61">
        <f>IFERROR(__xludf.DUMMYFUNCTION("""COMPUTED_VALUE"""),1.0)</f>
        <v>1</v>
      </c>
      <c r="D1228" s="61">
        <f>IFERROR(__xludf.DUMMYFUNCTION("""COMPUTED_VALUE"""),77.0)</f>
        <v>77</v>
      </c>
      <c r="E1228" s="61">
        <f>IFERROR(__xludf.DUMMYFUNCTION("""COMPUTED_VALUE"""),10.0)</f>
        <v>10</v>
      </c>
      <c r="F1228" s="62" t="str">
        <f>IFERROR(__xludf.DUMMYFUNCTION("""COMPUTED_VALUE"""),"https://www.google.com/maps/search/?api=1&amp;query=-30.8973054825383,-55.5386134142694")</f>
        <v>https://www.google.com/maps/search/?api=1&amp;query=-30.8973054825383,-55.5386134142694</v>
      </c>
      <c r="G1228" s="63" t="str">
        <f>IFERROR(__xludf.DUMMYFUNCTION("""COMPUTED_VALUE"""),"https://earth.google.com/web/search/-30.8973054825383,-55.5386134142694")</f>
        <v>https://earth.google.com/web/search/-30.8973054825383,-55.5386134142694</v>
      </c>
      <c r="H1228" s="64"/>
      <c r="I1228" s="64"/>
      <c r="J1228" s="64"/>
      <c r="K1228" s="64"/>
      <c r="L1228" s="64"/>
      <c r="M1228" s="64"/>
      <c r="N1228" s="64"/>
      <c r="O1228" s="64"/>
      <c r="P1228" s="64"/>
      <c r="Q1228" s="64"/>
      <c r="R1228" s="64"/>
      <c r="S1228" s="64"/>
      <c r="T1228" s="64"/>
      <c r="U1228" s="64"/>
      <c r="V1228" s="64"/>
      <c r="W1228" s="64"/>
      <c r="X1228" s="64"/>
      <c r="Y1228" s="64"/>
      <c r="Z1228" s="64"/>
    </row>
    <row r="1229">
      <c r="A1229" s="65" t="str">
        <f>IFERROR(__xludf.DUMMYFUNCTION("""COMPUTED_VALUE"""),"-30.8978742785496")</f>
        <v>-30.8978742785496</v>
      </c>
      <c r="B1229" s="66" t="str">
        <f>IFERROR(__xludf.DUMMYFUNCTION("""COMPUTED_VALUE"""),"-55.5372296209453")</f>
        <v>-55.5372296209453</v>
      </c>
      <c r="C1229" s="66">
        <f>IFERROR(__xludf.DUMMYFUNCTION("""COMPUTED_VALUE"""),1.0)</f>
        <v>1</v>
      </c>
      <c r="D1229" s="66">
        <f>IFERROR(__xludf.DUMMYFUNCTION("""COMPUTED_VALUE"""),76.0)</f>
        <v>76</v>
      </c>
      <c r="E1229" s="66">
        <f>IFERROR(__xludf.DUMMYFUNCTION("""COMPUTED_VALUE"""),1.0)</f>
        <v>1</v>
      </c>
      <c r="F1229" s="67" t="str">
        <f>IFERROR(__xludf.DUMMYFUNCTION("""COMPUTED_VALUE"""),"https://www.google.com/maps/search/?api=1&amp;query=-30.8978742785496,-55.5372296209453")</f>
        <v>https://www.google.com/maps/search/?api=1&amp;query=-30.8978742785496,-55.5372296209453</v>
      </c>
      <c r="G1229" s="68" t="str">
        <f>IFERROR(__xludf.DUMMYFUNCTION("""COMPUTED_VALUE"""),"https://earth.google.com/web/search/-30.8978742785496,-55.5372296209453")</f>
        <v>https://earth.google.com/web/search/-30.8978742785496,-55.5372296209453</v>
      </c>
      <c r="H1229" s="64"/>
      <c r="I1229" s="64"/>
      <c r="J1229" s="64"/>
      <c r="K1229" s="64"/>
      <c r="L1229" s="64"/>
      <c r="M1229" s="64"/>
      <c r="N1229" s="64"/>
      <c r="O1229" s="64"/>
      <c r="P1229" s="64"/>
      <c r="Q1229" s="64"/>
      <c r="R1229" s="64"/>
      <c r="S1229" s="64"/>
      <c r="T1229" s="64"/>
      <c r="U1229" s="64"/>
      <c r="V1229" s="64"/>
      <c r="W1229" s="64"/>
      <c r="X1229" s="64"/>
      <c r="Y1229" s="64"/>
      <c r="Z1229" s="64"/>
    </row>
    <row r="1230">
      <c r="A1230" s="69" t="str">
        <f>IFERROR(__xludf.DUMMYFUNCTION("""COMPUTED_VALUE"""),"-30.8978130778811")</f>
        <v>-30.8978130778811</v>
      </c>
      <c r="B1230" s="61" t="str">
        <f>IFERROR(__xludf.DUMMYFUNCTION("""COMPUTED_VALUE"""),"-55.5371826522195")</f>
        <v>-55.5371826522195</v>
      </c>
      <c r="C1230" s="61">
        <f>IFERROR(__xludf.DUMMYFUNCTION("""COMPUTED_VALUE"""),1.0)</f>
        <v>1</v>
      </c>
      <c r="D1230" s="61">
        <f>IFERROR(__xludf.DUMMYFUNCTION("""COMPUTED_VALUE"""),76.0)</f>
        <v>76</v>
      </c>
      <c r="E1230" s="61">
        <f>IFERROR(__xludf.DUMMYFUNCTION("""COMPUTED_VALUE"""),2.0)</f>
        <v>2</v>
      </c>
      <c r="F1230" s="62" t="str">
        <f>IFERROR(__xludf.DUMMYFUNCTION("""COMPUTED_VALUE"""),"https://www.google.com/maps/search/?api=1&amp;query=-30.8978130778811,-55.5371826522195")</f>
        <v>https://www.google.com/maps/search/?api=1&amp;query=-30.8978130778811,-55.5371826522195</v>
      </c>
      <c r="G1230" s="63" t="str">
        <f>IFERROR(__xludf.DUMMYFUNCTION("""COMPUTED_VALUE"""),"https://earth.google.com/web/search/-30.8978130778811,-55.5371826522195")</f>
        <v>https://earth.google.com/web/search/-30.8978130778811,-55.5371826522195</v>
      </c>
      <c r="H1230" s="64"/>
      <c r="I1230" s="64"/>
      <c r="J1230" s="64"/>
      <c r="K1230" s="64"/>
      <c r="L1230" s="64"/>
      <c r="M1230" s="64"/>
      <c r="N1230" s="64"/>
      <c r="O1230" s="64"/>
      <c r="P1230" s="64"/>
      <c r="Q1230" s="64"/>
      <c r="R1230" s="64"/>
      <c r="S1230" s="64"/>
      <c r="T1230" s="64"/>
      <c r="U1230" s="64"/>
      <c r="V1230" s="64"/>
      <c r="W1230" s="64"/>
      <c r="X1230" s="64"/>
      <c r="Y1230" s="64"/>
      <c r="Z1230" s="64"/>
    </row>
    <row r="1231">
      <c r="A1231" s="65" t="str">
        <f>IFERROR(__xludf.DUMMYFUNCTION("""COMPUTED_VALUE"""),"-30.8977758243543")</f>
        <v>-30.8977758243543</v>
      </c>
      <c r="B1231" s="66" t="str">
        <f>IFERROR(__xludf.DUMMYFUNCTION("""COMPUTED_VALUE"""),"-55.5371387784613")</f>
        <v>-55.5371387784613</v>
      </c>
      <c r="C1231" s="66">
        <f>IFERROR(__xludf.DUMMYFUNCTION("""COMPUTED_VALUE"""),1.0)</f>
        <v>1</v>
      </c>
      <c r="D1231" s="66">
        <f>IFERROR(__xludf.DUMMYFUNCTION("""COMPUTED_VALUE"""),76.0)</f>
        <v>76</v>
      </c>
      <c r="E1231" s="66">
        <f>IFERROR(__xludf.DUMMYFUNCTION("""COMPUTED_VALUE"""),3.0)</f>
        <v>3</v>
      </c>
      <c r="F1231" s="67" t="str">
        <f>IFERROR(__xludf.DUMMYFUNCTION("""COMPUTED_VALUE"""),"https://www.google.com/maps/search/?api=1&amp;query=-30.8977758243543,-55.5371387784613")</f>
        <v>https://www.google.com/maps/search/?api=1&amp;query=-30.8977758243543,-55.5371387784613</v>
      </c>
      <c r="G1231" s="68" t="str">
        <f>IFERROR(__xludf.DUMMYFUNCTION("""COMPUTED_VALUE"""),"https://earth.google.com/web/search/-30.8977758243543,-55.5371387784613")</f>
        <v>https://earth.google.com/web/search/-30.8977758243543,-55.5371387784613</v>
      </c>
      <c r="H1231" s="64"/>
      <c r="I1231" s="64"/>
      <c r="J1231" s="64"/>
      <c r="K1231" s="64"/>
      <c r="L1231" s="64"/>
      <c r="M1231" s="64"/>
      <c r="N1231" s="64"/>
      <c r="O1231" s="64"/>
      <c r="P1231" s="64"/>
      <c r="Q1231" s="64"/>
      <c r="R1231" s="64"/>
      <c r="S1231" s="64"/>
      <c r="T1231" s="64"/>
      <c r="U1231" s="64"/>
      <c r="V1231" s="64"/>
      <c r="W1231" s="64"/>
      <c r="X1231" s="64"/>
      <c r="Y1231" s="64"/>
      <c r="Z1231" s="64"/>
    </row>
    <row r="1232">
      <c r="A1232" s="69" t="str">
        <f>IFERROR(__xludf.DUMMYFUNCTION("""COMPUTED_VALUE"""),"-30.8976993907593")</f>
        <v>-30.8976993907593</v>
      </c>
      <c r="B1232" s="61" t="str">
        <f>IFERROR(__xludf.DUMMYFUNCTION("""COMPUTED_VALUE"""),"-55.5370900828042")</f>
        <v>-55.5370900828042</v>
      </c>
      <c r="C1232" s="61">
        <f>IFERROR(__xludf.DUMMYFUNCTION("""COMPUTED_VALUE"""),1.0)</f>
        <v>1</v>
      </c>
      <c r="D1232" s="61">
        <f>IFERROR(__xludf.DUMMYFUNCTION("""COMPUTED_VALUE"""),76.0)</f>
        <v>76</v>
      </c>
      <c r="E1232" s="61">
        <f>IFERROR(__xludf.DUMMYFUNCTION("""COMPUTED_VALUE"""),4.0)</f>
        <v>4</v>
      </c>
      <c r="F1232" s="62" t="str">
        <f>IFERROR(__xludf.DUMMYFUNCTION("""COMPUTED_VALUE"""),"https://www.google.com/maps/search/?api=1&amp;query=-30.8976993907593,-55.5370900828042")</f>
        <v>https://www.google.com/maps/search/?api=1&amp;query=-30.8976993907593,-55.5370900828042</v>
      </c>
      <c r="G1232" s="63" t="str">
        <f>IFERROR(__xludf.DUMMYFUNCTION("""COMPUTED_VALUE"""),"https://earth.google.com/web/search/-30.8976993907593,-55.5370900828042")</f>
        <v>https://earth.google.com/web/search/-30.8976993907593,-55.5370900828042</v>
      </c>
      <c r="H1232" s="64"/>
      <c r="I1232" s="64"/>
      <c r="J1232" s="64"/>
      <c r="K1232" s="64"/>
      <c r="L1232" s="64"/>
      <c r="M1232" s="64"/>
      <c r="N1232" s="64"/>
      <c r="O1232" s="64"/>
      <c r="P1232" s="64"/>
      <c r="Q1232" s="64"/>
      <c r="R1232" s="64"/>
      <c r="S1232" s="64"/>
      <c r="T1232" s="64"/>
      <c r="U1232" s="64"/>
      <c r="V1232" s="64"/>
      <c r="W1232" s="64"/>
      <c r="X1232" s="64"/>
      <c r="Y1232" s="64"/>
      <c r="Z1232" s="64"/>
    </row>
    <row r="1233">
      <c r="A1233" s="65" t="str">
        <f>IFERROR(__xludf.DUMMYFUNCTION("""COMPUTED_VALUE"""),"-30.8976060447126")</f>
        <v>-30.8976060447126</v>
      </c>
      <c r="B1233" s="66" t="str">
        <f>IFERROR(__xludf.DUMMYFUNCTION("""COMPUTED_VALUE"""),"-55.5370329687333")</f>
        <v>-55.5370329687333</v>
      </c>
      <c r="C1233" s="66">
        <f>IFERROR(__xludf.DUMMYFUNCTION("""COMPUTED_VALUE"""),1.0)</f>
        <v>1</v>
      </c>
      <c r="D1233" s="66">
        <f>IFERROR(__xludf.DUMMYFUNCTION("""COMPUTED_VALUE"""),76.0)</f>
        <v>76</v>
      </c>
      <c r="E1233" s="66">
        <f>IFERROR(__xludf.DUMMYFUNCTION("""COMPUTED_VALUE"""),5.0)</f>
        <v>5</v>
      </c>
      <c r="F1233" s="67" t="str">
        <f>IFERROR(__xludf.DUMMYFUNCTION("""COMPUTED_VALUE"""),"https://www.google.com/maps/search/?api=1&amp;query=-30.8976060447126,-55.5370329687333")</f>
        <v>https://www.google.com/maps/search/?api=1&amp;query=-30.8976060447126,-55.5370329687333</v>
      </c>
      <c r="G1233" s="68" t="str">
        <f>IFERROR(__xludf.DUMMYFUNCTION("""COMPUTED_VALUE"""),"https://earth.google.com/web/search/-30.8976060447126,-55.5370329687333")</f>
        <v>https://earth.google.com/web/search/-30.8976060447126,-55.5370329687333</v>
      </c>
      <c r="H1233" s="64"/>
      <c r="I1233" s="64"/>
      <c r="J1233" s="64"/>
      <c r="K1233" s="64"/>
      <c r="L1233" s="64"/>
      <c r="M1233" s="64"/>
      <c r="N1233" s="64"/>
      <c r="O1233" s="64"/>
      <c r="P1233" s="64"/>
      <c r="Q1233" s="64"/>
      <c r="R1233" s="64"/>
      <c r="S1233" s="64"/>
      <c r="T1233" s="64"/>
      <c r="U1233" s="64"/>
      <c r="V1233" s="64"/>
      <c r="W1233" s="64"/>
      <c r="X1233" s="64"/>
      <c r="Y1233" s="64"/>
      <c r="Z1233" s="64"/>
    </row>
    <row r="1234">
      <c r="A1234" s="69" t="str">
        <f>IFERROR(__xludf.DUMMYFUNCTION("""COMPUTED_VALUE"""),"-30.8974781170179")</f>
        <v>-30.8974781170179</v>
      </c>
      <c r="B1234" s="61" t="str">
        <f>IFERROR(__xludf.DUMMYFUNCTION("""COMPUTED_VALUE"""),"-55.5369390903648")</f>
        <v>-55.5369390903648</v>
      </c>
      <c r="C1234" s="61">
        <f>IFERROR(__xludf.DUMMYFUNCTION("""COMPUTED_VALUE"""),1.0)</f>
        <v>1</v>
      </c>
      <c r="D1234" s="61">
        <f>IFERROR(__xludf.DUMMYFUNCTION("""COMPUTED_VALUE"""),76.0)</f>
        <v>76</v>
      </c>
      <c r="E1234" s="61">
        <f>IFERROR(__xludf.DUMMYFUNCTION("""COMPUTED_VALUE"""),6.0)</f>
        <v>6</v>
      </c>
      <c r="F1234" s="62" t="str">
        <f>IFERROR(__xludf.DUMMYFUNCTION("""COMPUTED_VALUE"""),"https://www.google.com/maps/search/?api=1&amp;query=-30.8974781170179,-55.5369390903648")</f>
        <v>https://www.google.com/maps/search/?api=1&amp;query=-30.8974781170179,-55.5369390903648</v>
      </c>
      <c r="G1234" s="63" t="str">
        <f>IFERROR(__xludf.DUMMYFUNCTION("""COMPUTED_VALUE"""),"https://earth.google.com/web/search/-30.8974781170179,-55.5369390903648")</f>
        <v>https://earth.google.com/web/search/-30.8974781170179,-55.5369390903648</v>
      </c>
      <c r="H1234" s="64"/>
      <c r="I1234" s="64"/>
      <c r="J1234" s="64"/>
      <c r="K1234" s="64"/>
      <c r="L1234" s="64"/>
      <c r="M1234" s="64"/>
      <c r="N1234" s="64"/>
      <c r="O1234" s="64"/>
      <c r="P1234" s="64"/>
      <c r="Q1234" s="64"/>
      <c r="R1234" s="64"/>
      <c r="S1234" s="64"/>
      <c r="T1234" s="64"/>
      <c r="U1234" s="64"/>
      <c r="V1234" s="64"/>
      <c r="W1234" s="64"/>
      <c r="X1234" s="64"/>
      <c r="Y1234" s="64"/>
      <c r="Z1234" s="64"/>
    </row>
    <row r="1235">
      <c r="A1235" s="65" t="str">
        <f>IFERROR(__xludf.DUMMYFUNCTION("""COMPUTED_VALUE"""),"-30.8974002164777")</f>
        <v>-30.8974002164777</v>
      </c>
      <c r="B1235" s="66" t="str">
        <f>IFERROR(__xludf.DUMMYFUNCTION("""COMPUTED_VALUE"""),"-55.5368883965872")</f>
        <v>-55.5368883965872</v>
      </c>
      <c r="C1235" s="66">
        <f>IFERROR(__xludf.DUMMYFUNCTION("""COMPUTED_VALUE"""),1.0)</f>
        <v>1</v>
      </c>
      <c r="D1235" s="66">
        <f>IFERROR(__xludf.DUMMYFUNCTION("""COMPUTED_VALUE"""),76.0)</f>
        <v>76</v>
      </c>
      <c r="E1235" s="66">
        <f>IFERROR(__xludf.DUMMYFUNCTION("""COMPUTED_VALUE"""),7.0)</f>
        <v>7</v>
      </c>
      <c r="F1235" s="67" t="str">
        <f>IFERROR(__xludf.DUMMYFUNCTION("""COMPUTED_VALUE"""),"https://www.google.com/maps/search/?api=1&amp;query=-30.8974002164777,-55.5368883965872")</f>
        <v>https://www.google.com/maps/search/?api=1&amp;query=-30.8974002164777,-55.5368883965872</v>
      </c>
      <c r="G1235" s="68" t="str">
        <f>IFERROR(__xludf.DUMMYFUNCTION("""COMPUTED_VALUE"""),"https://earth.google.com/web/search/-30.8974002164777,-55.5368883965872")</f>
        <v>https://earth.google.com/web/search/-30.8974002164777,-55.5368883965872</v>
      </c>
      <c r="H1235" s="64"/>
      <c r="I1235" s="64"/>
      <c r="J1235" s="64"/>
      <c r="K1235" s="64"/>
      <c r="L1235" s="64"/>
      <c r="M1235" s="64"/>
      <c r="N1235" s="64"/>
      <c r="O1235" s="64"/>
      <c r="P1235" s="64"/>
      <c r="Q1235" s="64"/>
      <c r="R1235" s="64"/>
      <c r="S1235" s="64"/>
      <c r="T1235" s="64"/>
      <c r="U1235" s="64"/>
      <c r="V1235" s="64"/>
      <c r="W1235" s="64"/>
      <c r="X1235" s="64"/>
      <c r="Y1235" s="64"/>
      <c r="Z1235" s="64"/>
    </row>
    <row r="1236">
      <c r="A1236" s="69" t="str">
        <f>IFERROR(__xludf.DUMMYFUNCTION("""COMPUTED_VALUE"""),"-30.8969835301764")</f>
        <v>-30.8969835301764</v>
      </c>
      <c r="B1236" s="61" t="str">
        <f>IFERROR(__xludf.DUMMYFUNCTION("""COMPUTED_VALUE"""),"-55.5374018777374")</f>
        <v>-55.5374018777374</v>
      </c>
      <c r="C1236" s="61">
        <f>IFERROR(__xludf.DUMMYFUNCTION("""COMPUTED_VALUE"""),1.0)</f>
        <v>1</v>
      </c>
      <c r="D1236" s="61">
        <f>IFERROR(__xludf.DUMMYFUNCTION("""COMPUTED_VALUE"""),76.0)</f>
        <v>76</v>
      </c>
      <c r="E1236" s="61">
        <f>IFERROR(__xludf.DUMMYFUNCTION("""COMPUTED_VALUE"""),8.0)</f>
        <v>8</v>
      </c>
      <c r="F1236" s="62" t="str">
        <f>IFERROR(__xludf.DUMMYFUNCTION("""COMPUTED_VALUE"""),"https://www.google.com/maps/search/?api=1&amp;query=-30.8969835301764,-55.5374018777374")</f>
        <v>https://www.google.com/maps/search/?api=1&amp;query=-30.8969835301764,-55.5374018777374</v>
      </c>
      <c r="G1236" s="63" t="str">
        <f>IFERROR(__xludf.DUMMYFUNCTION("""COMPUTED_VALUE"""),"https://earth.google.com/web/search/-30.8969835301764,-55.5374018777374")</f>
        <v>https://earth.google.com/web/search/-30.8969835301764,-55.5374018777374</v>
      </c>
      <c r="H1236" s="64"/>
      <c r="I1236" s="64"/>
      <c r="J1236" s="64"/>
      <c r="K1236" s="64"/>
      <c r="L1236" s="64"/>
      <c r="M1236" s="64"/>
      <c r="N1236" s="64"/>
      <c r="O1236" s="64"/>
      <c r="P1236" s="64"/>
      <c r="Q1236" s="64"/>
      <c r="R1236" s="64"/>
      <c r="S1236" s="64"/>
      <c r="T1236" s="64"/>
      <c r="U1236" s="64"/>
      <c r="V1236" s="64"/>
      <c r="W1236" s="64"/>
      <c r="X1236" s="64"/>
      <c r="Y1236" s="64"/>
      <c r="Z1236" s="64"/>
    </row>
    <row r="1237">
      <c r="A1237" s="65" t="str">
        <f>IFERROR(__xludf.DUMMYFUNCTION("""COMPUTED_VALUE"""),"-30.8969577814029")</f>
        <v>-30.8969577814029</v>
      </c>
      <c r="B1237" s="66" t="str">
        <f>IFERROR(__xludf.DUMMYFUNCTION("""COMPUTED_VALUE"""),"-55.5374591353061")</f>
        <v>-55.5374591353061</v>
      </c>
      <c r="C1237" s="66">
        <f>IFERROR(__xludf.DUMMYFUNCTION("""COMPUTED_VALUE"""),1.0)</f>
        <v>1</v>
      </c>
      <c r="D1237" s="66">
        <f>IFERROR(__xludf.DUMMYFUNCTION("""COMPUTED_VALUE"""),76.0)</f>
        <v>76</v>
      </c>
      <c r="E1237" s="66">
        <f>IFERROR(__xludf.DUMMYFUNCTION("""COMPUTED_VALUE"""),9.0)</f>
        <v>9</v>
      </c>
      <c r="F1237" s="67" t="str">
        <f>IFERROR(__xludf.DUMMYFUNCTION("""COMPUTED_VALUE"""),"https://www.google.com/maps/search/?api=1&amp;query=-30.8969577814029,-55.5374591353061")</f>
        <v>https://www.google.com/maps/search/?api=1&amp;query=-30.8969577814029,-55.5374591353061</v>
      </c>
      <c r="G1237" s="68" t="str">
        <f>IFERROR(__xludf.DUMMYFUNCTION("""COMPUTED_VALUE"""),"https://earth.google.com/web/search/-30.8969577814029,-55.5374591353061")</f>
        <v>https://earth.google.com/web/search/-30.8969577814029,-55.5374591353061</v>
      </c>
      <c r="H1237" s="64"/>
      <c r="I1237" s="64"/>
      <c r="J1237" s="64"/>
      <c r="K1237" s="64"/>
      <c r="L1237" s="64"/>
      <c r="M1237" s="64"/>
      <c r="N1237" s="64"/>
      <c r="O1237" s="64"/>
      <c r="P1237" s="64"/>
      <c r="Q1237" s="64"/>
      <c r="R1237" s="64"/>
      <c r="S1237" s="64"/>
      <c r="T1237" s="64"/>
      <c r="U1237" s="64"/>
      <c r="V1237" s="64"/>
      <c r="W1237" s="64"/>
      <c r="X1237" s="64"/>
      <c r="Y1237" s="64"/>
      <c r="Z1237" s="64"/>
    </row>
    <row r="1238">
      <c r="A1238" s="69" t="str">
        <f>IFERROR(__xludf.DUMMYFUNCTION("""COMPUTED_VALUE"""),"-30.8969318614729")</f>
        <v>-30.8969318614729</v>
      </c>
      <c r="B1238" s="61" t="str">
        <f>IFERROR(__xludf.DUMMYFUNCTION("""COMPUTED_VALUE"""),"-55.5375051170701")</f>
        <v>-55.5375051170701</v>
      </c>
      <c r="C1238" s="61">
        <f>IFERROR(__xludf.DUMMYFUNCTION("""COMPUTED_VALUE"""),1.0)</f>
        <v>1</v>
      </c>
      <c r="D1238" s="61">
        <f>IFERROR(__xludf.DUMMYFUNCTION("""COMPUTED_VALUE"""),76.0)</f>
        <v>76</v>
      </c>
      <c r="E1238" s="61">
        <f>IFERROR(__xludf.DUMMYFUNCTION("""COMPUTED_VALUE"""),10.0)</f>
        <v>10</v>
      </c>
      <c r="F1238" s="62" t="str">
        <f>IFERROR(__xludf.DUMMYFUNCTION("""COMPUTED_VALUE"""),"https://www.google.com/maps/search/?api=1&amp;query=-30.8969318614729,-55.5375051170701")</f>
        <v>https://www.google.com/maps/search/?api=1&amp;query=-30.8969318614729,-55.5375051170701</v>
      </c>
      <c r="G1238" s="63" t="str">
        <f>IFERROR(__xludf.DUMMYFUNCTION("""COMPUTED_VALUE"""),"https://earth.google.com/web/search/-30.8969318614729,-55.5375051170701")</f>
        <v>https://earth.google.com/web/search/-30.8969318614729,-55.5375051170701</v>
      </c>
      <c r="H1238" s="64"/>
      <c r="I1238" s="64"/>
      <c r="J1238" s="64"/>
      <c r="K1238" s="64"/>
      <c r="L1238" s="64"/>
      <c r="M1238" s="64"/>
      <c r="N1238" s="64"/>
      <c r="O1238" s="64"/>
      <c r="P1238" s="64"/>
      <c r="Q1238" s="64"/>
      <c r="R1238" s="64"/>
      <c r="S1238" s="64"/>
      <c r="T1238" s="64"/>
      <c r="U1238" s="64"/>
      <c r="V1238" s="64"/>
      <c r="W1238" s="64"/>
      <c r="X1238" s="64"/>
      <c r="Y1238" s="64"/>
      <c r="Z1238" s="64"/>
    </row>
    <row r="1239">
      <c r="A1239" s="65" t="str">
        <f>IFERROR(__xludf.DUMMYFUNCTION("""COMPUTED_VALUE"""),"-30.8968957440172")</f>
        <v>-30.8968957440172</v>
      </c>
      <c r="B1239" s="66" t="str">
        <f>IFERROR(__xludf.DUMMYFUNCTION("""COMPUTED_VALUE"""),"-55.5375627035909")</f>
        <v>-55.5375627035909</v>
      </c>
      <c r="C1239" s="66">
        <f>IFERROR(__xludf.DUMMYFUNCTION("""COMPUTED_VALUE"""),1.0)</f>
        <v>1</v>
      </c>
      <c r="D1239" s="66">
        <f>IFERROR(__xludf.DUMMYFUNCTION("""COMPUTED_VALUE"""),76.0)</f>
        <v>76</v>
      </c>
      <c r="E1239" s="66">
        <f>IFERROR(__xludf.DUMMYFUNCTION("""COMPUTED_VALUE"""),11.0)</f>
        <v>11</v>
      </c>
      <c r="F1239" s="67" t="str">
        <f>IFERROR(__xludf.DUMMYFUNCTION("""COMPUTED_VALUE"""),"https://www.google.com/maps/search/?api=1&amp;query=-30.8968957440172,-55.5375627035909")</f>
        <v>https://www.google.com/maps/search/?api=1&amp;query=-30.8968957440172,-55.5375627035909</v>
      </c>
      <c r="G1239" s="68" t="str">
        <f>IFERROR(__xludf.DUMMYFUNCTION("""COMPUTED_VALUE"""),"https://earth.google.com/web/search/-30.8968957440172,-55.5375627035909")</f>
        <v>https://earth.google.com/web/search/-30.8968957440172,-55.5375627035909</v>
      </c>
      <c r="H1239" s="64"/>
      <c r="I1239" s="64"/>
      <c r="J1239" s="64"/>
      <c r="K1239" s="64"/>
      <c r="L1239" s="64"/>
      <c r="M1239" s="64"/>
      <c r="N1239" s="64"/>
      <c r="O1239" s="64"/>
      <c r="P1239" s="64"/>
      <c r="Q1239" s="64"/>
      <c r="R1239" s="64"/>
      <c r="S1239" s="64"/>
      <c r="T1239" s="64"/>
      <c r="U1239" s="64"/>
      <c r="V1239" s="64"/>
      <c r="W1239" s="64"/>
      <c r="X1239" s="64"/>
      <c r="Y1239" s="64"/>
      <c r="Z1239" s="64"/>
    </row>
    <row r="1240">
      <c r="A1240" s="69" t="str">
        <f>IFERROR(__xludf.DUMMYFUNCTION("""COMPUTED_VALUE"""),"-30.8969503529115")</f>
        <v>-30.8969503529115</v>
      </c>
      <c r="B1240" s="61" t="str">
        <f>IFERROR(__xludf.DUMMYFUNCTION("""COMPUTED_VALUE"""),"-55.5376814422364")</f>
        <v>-55.5376814422364</v>
      </c>
      <c r="C1240" s="61">
        <f>IFERROR(__xludf.DUMMYFUNCTION("""COMPUTED_VALUE"""),1.0)</f>
        <v>1</v>
      </c>
      <c r="D1240" s="61">
        <f>IFERROR(__xludf.DUMMYFUNCTION("""COMPUTED_VALUE"""),76.0)</f>
        <v>76</v>
      </c>
      <c r="E1240" s="61">
        <f>IFERROR(__xludf.DUMMYFUNCTION("""COMPUTED_VALUE"""),12.0)</f>
        <v>12</v>
      </c>
      <c r="F1240" s="62" t="str">
        <f>IFERROR(__xludf.DUMMYFUNCTION("""COMPUTED_VALUE"""),"https://www.google.com/maps/search/?api=1&amp;query=-30.8969503529115,-55.5376814422364")</f>
        <v>https://www.google.com/maps/search/?api=1&amp;query=-30.8969503529115,-55.5376814422364</v>
      </c>
      <c r="G1240" s="63" t="str">
        <f>IFERROR(__xludf.DUMMYFUNCTION("""COMPUTED_VALUE"""),"https://earth.google.com/web/search/-30.8969503529115,-55.5376814422364")</f>
        <v>https://earth.google.com/web/search/-30.8969503529115,-55.5376814422364</v>
      </c>
      <c r="H1240" s="64"/>
      <c r="I1240" s="64"/>
      <c r="J1240" s="64"/>
      <c r="K1240" s="64"/>
      <c r="L1240" s="64"/>
      <c r="M1240" s="64"/>
      <c r="N1240" s="64"/>
      <c r="O1240" s="64"/>
      <c r="P1240" s="64"/>
      <c r="Q1240" s="64"/>
      <c r="R1240" s="64"/>
      <c r="S1240" s="64"/>
      <c r="T1240" s="64"/>
      <c r="U1240" s="64"/>
      <c r="V1240" s="64"/>
      <c r="W1240" s="64"/>
      <c r="X1240" s="64"/>
      <c r="Y1240" s="64"/>
      <c r="Z1240" s="64"/>
    </row>
    <row r="1241">
      <c r="A1241" s="65" t="str">
        <f>IFERROR(__xludf.DUMMYFUNCTION("""COMPUTED_VALUE"""),"-30.8979365247093")</f>
        <v>-30.8979365247093</v>
      </c>
      <c r="B1241" s="66" t="str">
        <f>IFERROR(__xludf.DUMMYFUNCTION("""COMPUTED_VALUE"""),"-55.5374225903332")</f>
        <v>-55.5374225903332</v>
      </c>
      <c r="C1241" s="66">
        <f>IFERROR(__xludf.DUMMYFUNCTION("""COMPUTED_VALUE"""),1.0)</f>
        <v>1</v>
      </c>
      <c r="D1241" s="66">
        <f>IFERROR(__xludf.DUMMYFUNCTION("""COMPUTED_VALUE"""),76.0)</f>
        <v>76</v>
      </c>
      <c r="E1241" s="66">
        <f>IFERROR(__xludf.DUMMYFUNCTION("""COMPUTED_VALUE"""),13.0)</f>
        <v>13</v>
      </c>
      <c r="F1241" s="67" t="str">
        <f>IFERROR(__xludf.DUMMYFUNCTION("""COMPUTED_VALUE"""),"https://www.google.com/maps/search/?api=1&amp;query=-30.8979365247093,-55.5374225903332")</f>
        <v>https://www.google.com/maps/search/?api=1&amp;query=-30.8979365247093,-55.5374225903332</v>
      </c>
      <c r="G1241" s="68" t="str">
        <f>IFERROR(__xludf.DUMMYFUNCTION("""COMPUTED_VALUE"""),"https://earth.google.com/web/search/-30.8979365247093,-55.5374225903332")</f>
        <v>https://earth.google.com/web/search/-30.8979365247093,-55.5374225903332</v>
      </c>
      <c r="H1241" s="64"/>
      <c r="I1241" s="64"/>
      <c r="J1241" s="64"/>
      <c r="K1241" s="64"/>
      <c r="L1241" s="64"/>
      <c r="M1241" s="64"/>
      <c r="N1241" s="64"/>
      <c r="O1241" s="64"/>
      <c r="P1241" s="64"/>
      <c r="Q1241" s="64"/>
      <c r="R1241" s="64"/>
      <c r="S1241" s="64"/>
      <c r="T1241" s="64"/>
      <c r="U1241" s="64"/>
      <c r="V1241" s="64"/>
      <c r="W1241" s="64"/>
      <c r="X1241" s="64"/>
      <c r="Y1241" s="64"/>
      <c r="Z1241" s="64"/>
    </row>
    <row r="1242">
      <c r="A1242" s="69" t="str">
        <f>IFERROR(__xludf.DUMMYFUNCTION("""COMPUTED_VALUE"""),"-30.8978089958384")</f>
        <v>-30.8978089958384</v>
      </c>
      <c r="B1242" s="61" t="str">
        <f>IFERROR(__xludf.DUMMYFUNCTION("""COMPUTED_VALUE"""),"-5.5535927781608")</f>
        <v>-5.5535927781608</v>
      </c>
      <c r="C1242" s="61">
        <f>IFERROR(__xludf.DUMMYFUNCTION("""COMPUTED_VALUE"""),1.0)</f>
        <v>1</v>
      </c>
      <c r="D1242" s="61">
        <f>IFERROR(__xludf.DUMMYFUNCTION("""COMPUTED_VALUE"""),75.0)</f>
        <v>75</v>
      </c>
      <c r="E1242" s="61">
        <f>IFERROR(__xludf.DUMMYFUNCTION("""COMPUTED_VALUE"""),1.0)</f>
        <v>1</v>
      </c>
      <c r="F1242" s="62" t="str">
        <f>IFERROR(__xludf.DUMMYFUNCTION("""COMPUTED_VALUE"""),"https://www.google.com/maps/search/?api=1&amp;query=-30.8978089958384,-5.5535927781608")</f>
        <v>https://www.google.com/maps/search/?api=1&amp;query=-30.8978089958384,-5.5535927781608</v>
      </c>
      <c r="G1242" s="63" t="str">
        <f>IFERROR(__xludf.DUMMYFUNCTION("""COMPUTED_VALUE"""),"https://earth.google.com/web/search/-30.8978089958384,-5.5535927781608")</f>
        <v>https://earth.google.com/web/search/-30.8978089958384,-5.5535927781608</v>
      </c>
      <c r="H1242" s="64"/>
      <c r="I1242" s="64"/>
      <c r="J1242" s="64"/>
      <c r="K1242" s="64"/>
      <c r="L1242" s="64"/>
      <c r="M1242" s="64"/>
      <c r="N1242" s="64"/>
      <c r="O1242" s="64"/>
      <c r="P1242" s="64"/>
      <c r="Q1242" s="64"/>
      <c r="R1242" s="64"/>
      <c r="S1242" s="64"/>
      <c r="T1242" s="64"/>
      <c r="U1242" s="64"/>
      <c r="V1242" s="64"/>
      <c r="W1242" s="64"/>
      <c r="X1242" s="64"/>
      <c r="Y1242" s="64"/>
      <c r="Z1242" s="64"/>
    </row>
    <row r="1243">
      <c r="A1243" s="65" t="str">
        <f>IFERROR(__xludf.DUMMYFUNCTION("""COMPUTED_VALUE"""),"-30.8982188415444")</f>
        <v>-30.8982188415444</v>
      </c>
      <c r="B1243" s="66" t="str">
        <f>IFERROR(__xludf.DUMMYFUNCTION("""COMPUTED_VALUE"""),"-55.5362273635869")</f>
        <v>-55.5362273635869</v>
      </c>
      <c r="C1243" s="66">
        <f>IFERROR(__xludf.DUMMYFUNCTION("""COMPUTED_VALUE"""),1.0)</f>
        <v>1</v>
      </c>
      <c r="D1243" s="66">
        <f>IFERROR(__xludf.DUMMYFUNCTION("""COMPUTED_VALUE"""),75.0)</f>
        <v>75</v>
      </c>
      <c r="E1243" s="66">
        <f>IFERROR(__xludf.DUMMYFUNCTION("""COMPUTED_VALUE"""),2.0)</f>
        <v>2</v>
      </c>
      <c r="F1243" s="67" t="str">
        <f>IFERROR(__xludf.DUMMYFUNCTION("""COMPUTED_VALUE"""),"https://www.google.com/maps/search/?api=1&amp;query=-30.8982188415444,-55.5362273635869")</f>
        <v>https://www.google.com/maps/search/?api=1&amp;query=-30.8982188415444,-55.5362273635869</v>
      </c>
      <c r="G1243" s="68" t="str">
        <f>IFERROR(__xludf.DUMMYFUNCTION("""COMPUTED_VALUE"""),"https://earth.google.com/web/search/-30.8982188415444,-55.5362273635869")</f>
        <v>https://earth.google.com/web/search/-30.8982188415444,-55.5362273635869</v>
      </c>
      <c r="H1243" s="64"/>
      <c r="I1243" s="64"/>
      <c r="J1243" s="64"/>
      <c r="K1243" s="64"/>
      <c r="L1243" s="64"/>
      <c r="M1243" s="64"/>
      <c r="N1243" s="64"/>
      <c r="O1243" s="64"/>
      <c r="P1243" s="64"/>
      <c r="Q1243" s="64"/>
      <c r="R1243" s="64"/>
      <c r="S1243" s="64"/>
      <c r="T1243" s="64"/>
      <c r="U1243" s="64"/>
      <c r="V1243" s="64"/>
      <c r="W1243" s="64"/>
      <c r="X1243" s="64"/>
      <c r="Y1243" s="64"/>
      <c r="Z1243" s="64"/>
    </row>
    <row r="1244">
      <c r="A1244" s="69" t="str">
        <f>IFERROR(__xludf.DUMMYFUNCTION("""COMPUTED_VALUE"""),"-30.8982263468621")</f>
        <v>-30.8982263468621</v>
      </c>
      <c r="B1244" s="61" t="str">
        <f>IFERROR(__xludf.DUMMYFUNCTION("""COMPUTED_VALUE"""),"-55.5368865159951")</f>
        <v>-55.5368865159951</v>
      </c>
      <c r="C1244" s="61">
        <f>IFERROR(__xludf.DUMMYFUNCTION("""COMPUTED_VALUE"""),1.0)</f>
        <v>1</v>
      </c>
      <c r="D1244" s="61">
        <f>IFERROR(__xludf.DUMMYFUNCTION("""COMPUTED_VALUE"""),75.0)</f>
        <v>75</v>
      </c>
      <c r="E1244" s="61">
        <f>IFERROR(__xludf.DUMMYFUNCTION("""COMPUTED_VALUE"""),3.0)</f>
        <v>3</v>
      </c>
      <c r="F1244" s="62" t="str">
        <f>IFERROR(__xludf.DUMMYFUNCTION("""COMPUTED_VALUE"""),"https://www.google.com/maps/search/?api=1&amp;query=-30.8982263468621,-55.5368865159951")</f>
        <v>https://www.google.com/maps/search/?api=1&amp;query=-30.8982263468621,-55.5368865159951</v>
      </c>
      <c r="G1244" s="63" t="str">
        <f>IFERROR(__xludf.DUMMYFUNCTION("""COMPUTED_VALUE"""),"https://earth.google.com/web/search/-30.8982263468621,-55.5368865159951")</f>
        <v>https://earth.google.com/web/search/-30.8982263468621,-55.5368865159951</v>
      </c>
      <c r="H1244" s="64"/>
      <c r="I1244" s="64"/>
      <c r="J1244" s="64"/>
      <c r="K1244" s="64"/>
      <c r="L1244" s="64"/>
      <c r="M1244" s="64"/>
      <c r="N1244" s="64"/>
      <c r="O1244" s="64"/>
      <c r="P1244" s="64"/>
      <c r="Q1244" s="64"/>
      <c r="R1244" s="64"/>
      <c r="S1244" s="64"/>
      <c r="T1244" s="64"/>
      <c r="U1244" s="64"/>
      <c r="V1244" s="64"/>
      <c r="W1244" s="64"/>
      <c r="X1244" s="64"/>
      <c r="Y1244" s="64"/>
      <c r="Z1244" s="64"/>
    </row>
    <row r="1245">
      <c r="A1245" s="65" t="str">
        <f>IFERROR(__xludf.DUMMYFUNCTION("""COMPUTED_VALUE"""),"-30.8980146178878")</f>
        <v>-30.8980146178878</v>
      </c>
      <c r="B1245" s="66" t="str">
        <f>IFERROR(__xludf.DUMMYFUNCTION("""COMPUTED_VALUE"""),"-55.5371913696195")</f>
        <v>-55.5371913696195</v>
      </c>
      <c r="C1245" s="66">
        <f>IFERROR(__xludf.DUMMYFUNCTION("""COMPUTED_VALUE"""),1.0)</f>
        <v>1</v>
      </c>
      <c r="D1245" s="66">
        <f>IFERROR(__xludf.DUMMYFUNCTION("""COMPUTED_VALUE"""),75.0)</f>
        <v>75</v>
      </c>
      <c r="E1245" s="66">
        <f>IFERROR(__xludf.DUMMYFUNCTION("""COMPUTED_VALUE"""),4.0)</f>
        <v>4</v>
      </c>
      <c r="F1245" s="67" t="str">
        <f>IFERROR(__xludf.DUMMYFUNCTION("""COMPUTED_VALUE"""),"https://www.google.com/maps/search/?api=1&amp;query=-30.8980146178878,-55.5371913696195")</f>
        <v>https://www.google.com/maps/search/?api=1&amp;query=-30.8980146178878,-55.5371913696195</v>
      </c>
      <c r="G1245" s="68" t="str">
        <f>IFERROR(__xludf.DUMMYFUNCTION("""COMPUTED_VALUE"""),"https://earth.google.com/web/search/-30.8980146178878,-55.5371913696195")</f>
        <v>https://earth.google.com/web/search/-30.8980146178878,-55.5371913696195</v>
      </c>
      <c r="H1245" s="64"/>
      <c r="I1245" s="64"/>
      <c r="J1245" s="64"/>
      <c r="K1245" s="64"/>
      <c r="L1245" s="64"/>
      <c r="M1245" s="64"/>
      <c r="N1245" s="64"/>
      <c r="O1245" s="64"/>
      <c r="P1245" s="64"/>
      <c r="Q1245" s="64"/>
      <c r="R1245" s="64"/>
      <c r="S1245" s="64"/>
      <c r="T1245" s="64"/>
      <c r="U1245" s="64"/>
      <c r="V1245" s="64"/>
      <c r="W1245" s="64"/>
      <c r="X1245" s="64"/>
      <c r="Y1245" s="64"/>
      <c r="Z1245" s="64"/>
    </row>
    <row r="1246">
      <c r="A1246" s="69" t="str">
        <f>IFERROR(__xludf.DUMMYFUNCTION("""COMPUTED_VALUE"""),"-3.0897963249291")</f>
        <v>-3.0897963249291</v>
      </c>
      <c r="B1246" s="61" t="str">
        <f>IFERROR(__xludf.DUMMYFUNCTION("""COMPUTED_VALUE"""),"-55.5371454767079")</f>
        <v>-55.5371454767079</v>
      </c>
      <c r="C1246" s="61">
        <f>IFERROR(__xludf.DUMMYFUNCTION("""COMPUTED_VALUE"""),1.0)</f>
        <v>1</v>
      </c>
      <c r="D1246" s="61">
        <f>IFERROR(__xludf.DUMMYFUNCTION("""COMPUTED_VALUE"""),75.0)</f>
        <v>75</v>
      </c>
      <c r="E1246" s="61">
        <f>IFERROR(__xludf.DUMMYFUNCTION("""COMPUTED_VALUE"""),5.0)</f>
        <v>5</v>
      </c>
      <c r="F1246" s="62" t="str">
        <f>IFERROR(__xludf.DUMMYFUNCTION("""COMPUTED_VALUE"""),"https://www.google.com/maps/search/?api=1&amp;query=-3.0897963249291,-55.5371454767079")</f>
        <v>https://www.google.com/maps/search/?api=1&amp;query=-3.0897963249291,-55.5371454767079</v>
      </c>
      <c r="G1246" s="63" t="str">
        <f>IFERROR(__xludf.DUMMYFUNCTION("""COMPUTED_VALUE"""),"https://earth.google.com/web/search/-3.0897963249291,-55.5371454767079")</f>
        <v>https://earth.google.com/web/search/-3.0897963249291,-55.5371454767079</v>
      </c>
      <c r="H1246" s="64"/>
      <c r="I1246" s="64"/>
      <c r="J1246" s="64"/>
      <c r="K1246" s="64"/>
      <c r="L1246" s="64"/>
      <c r="M1246" s="64"/>
      <c r="N1246" s="64"/>
      <c r="O1246" s="64"/>
      <c r="P1246" s="64"/>
      <c r="Q1246" s="64"/>
      <c r="R1246" s="64"/>
      <c r="S1246" s="64"/>
      <c r="T1246" s="64"/>
      <c r="U1246" s="64"/>
      <c r="V1246" s="64"/>
      <c r="W1246" s="64"/>
      <c r="X1246" s="64"/>
      <c r="Y1246" s="64"/>
      <c r="Z1246" s="64"/>
    </row>
    <row r="1247">
      <c r="A1247" s="65" t="str">
        <f>IFERROR(__xludf.DUMMYFUNCTION("""COMPUTED_VALUE"""),"-3.0897746548529")</f>
        <v>-3.0897746548529</v>
      </c>
      <c r="B1247" s="66" t="str">
        <f>IFERROR(__xludf.DUMMYFUNCTION("""COMPUTED_VALUE"""),"-55.5369831526619")</f>
        <v>-55.5369831526619</v>
      </c>
      <c r="C1247" s="66">
        <f>IFERROR(__xludf.DUMMYFUNCTION("""COMPUTED_VALUE"""),1.0)</f>
        <v>1</v>
      </c>
      <c r="D1247" s="66">
        <f>IFERROR(__xludf.DUMMYFUNCTION("""COMPUTED_VALUE"""),75.0)</f>
        <v>75</v>
      </c>
      <c r="E1247" s="66">
        <f>IFERROR(__xludf.DUMMYFUNCTION("""COMPUTED_VALUE"""),6.0)</f>
        <v>6</v>
      </c>
      <c r="F1247" s="67" t="str">
        <f>IFERROR(__xludf.DUMMYFUNCTION("""COMPUTED_VALUE"""),"https://www.google.com/maps/search/?api=1&amp;query=-3.0897746548529,-55.5369831526619")</f>
        <v>https://www.google.com/maps/search/?api=1&amp;query=-3.0897746548529,-55.5369831526619</v>
      </c>
      <c r="G1247" s="68" t="str">
        <f>IFERROR(__xludf.DUMMYFUNCTION("""COMPUTED_VALUE"""),"https://earth.google.com/web/search/-3.0897746548529,-55.5369831526619")</f>
        <v>https://earth.google.com/web/search/-3.0897746548529,-55.5369831526619</v>
      </c>
      <c r="H1247" s="64"/>
      <c r="I1247" s="64"/>
      <c r="J1247" s="64"/>
      <c r="K1247" s="64"/>
      <c r="L1247" s="64"/>
      <c r="M1247" s="64"/>
      <c r="N1247" s="64"/>
      <c r="O1247" s="64"/>
      <c r="P1247" s="64"/>
      <c r="Q1247" s="64"/>
      <c r="R1247" s="64"/>
      <c r="S1247" s="64"/>
      <c r="T1247" s="64"/>
      <c r="U1247" s="64"/>
      <c r="V1247" s="64"/>
      <c r="W1247" s="64"/>
      <c r="X1247" s="64"/>
      <c r="Y1247" s="64"/>
      <c r="Z1247" s="64"/>
    </row>
    <row r="1248">
      <c r="A1248" s="69" t="str">
        <f>IFERROR(__xludf.DUMMYFUNCTION("""COMPUTED_VALUE"""),"-30.8976493498301")</f>
        <v>-30.8976493498301</v>
      </c>
      <c r="B1248" s="61" t="str">
        <f>IFERROR(__xludf.DUMMYFUNCTION("""COMPUTED_VALUE"""),"-55.5369286107194")</f>
        <v>-55.5369286107194</v>
      </c>
      <c r="C1248" s="61">
        <f>IFERROR(__xludf.DUMMYFUNCTION("""COMPUTED_VALUE"""),1.0)</f>
        <v>1</v>
      </c>
      <c r="D1248" s="61">
        <f>IFERROR(__xludf.DUMMYFUNCTION("""COMPUTED_VALUE"""),75.0)</f>
        <v>75</v>
      </c>
      <c r="E1248" s="61">
        <f>IFERROR(__xludf.DUMMYFUNCTION("""COMPUTED_VALUE"""),7.0)</f>
        <v>7</v>
      </c>
      <c r="F1248" s="62" t="str">
        <f>IFERROR(__xludf.DUMMYFUNCTION("""COMPUTED_VALUE"""),"https://www.google.com/maps/search/?api=1&amp;query=-30.8976493498301,-55.5369286107194")</f>
        <v>https://www.google.com/maps/search/?api=1&amp;query=-30.8976493498301,-55.5369286107194</v>
      </c>
      <c r="G1248" s="63" t="str">
        <f>IFERROR(__xludf.DUMMYFUNCTION("""COMPUTED_VALUE"""),"https://earth.google.com/web/search/-30.8976493498301,-55.5369286107194")</f>
        <v>https://earth.google.com/web/search/-30.8976493498301,-55.5369286107194</v>
      </c>
      <c r="H1248" s="64"/>
      <c r="I1248" s="64"/>
      <c r="J1248" s="64"/>
      <c r="K1248" s="64"/>
      <c r="L1248" s="64"/>
      <c r="M1248" s="64"/>
      <c r="N1248" s="64"/>
      <c r="O1248" s="64"/>
      <c r="P1248" s="64"/>
      <c r="Q1248" s="64"/>
      <c r="R1248" s="64"/>
      <c r="S1248" s="64"/>
      <c r="T1248" s="64"/>
      <c r="U1248" s="64"/>
      <c r="V1248" s="64"/>
      <c r="W1248" s="64"/>
      <c r="X1248" s="64"/>
      <c r="Y1248" s="64"/>
      <c r="Z1248" s="64"/>
    </row>
    <row r="1249">
      <c r="A1249" s="65" t="str">
        <f>IFERROR(__xludf.DUMMYFUNCTION("""COMPUTED_VALUE"""),"-30.8976059943484")</f>
        <v>-30.8976059943484</v>
      </c>
      <c r="B1249" s="66" t="str">
        <f>IFERROR(__xludf.DUMMYFUNCTION("""COMPUTED_VALUE"""),"-55.5362292930463")</f>
        <v>-55.5362292930463</v>
      </c>
      <c r="C1249" s="66">
        <f>IFERROR(__xludf.DUMMYFUNCTION("""COMPUTED_VALUE"""),1.0)</f>
        <v>1</v>
      </c>
      <c r="D1249" s="66">
        <f>IFERROR(__xludf.DUMMYFUNCTION("""COMPUTED_VALUE"""),75.0)</f>
        <v>75</v>
      </c>
      <c r="E1249" s="66">
        <f>IFERROR(__xludf.DUMMYFUNCTION("""COMPUTED_VALUE"""),8.0)</f>
        <v>8</v>
      </c>
      <c r="F1249" s="67" t="str">
        <f>IFERROR(__xludf.DUMMYFUNCTION("""COMPUTED_VALUE"""),"https://www.google.com/maps/search/?api=1&amp;query=-30.8976059943484,-55.5362292930463")</f>
        <v>https://www.google.com/maps/search/?api=1&amp;query=-30.8976059943484,-55.5362292930463</v>
      </c>
      <c r="G1249" s="68" t="str">
        <f>IFERROR(__xludf.DUMMYFUNCTION("""COMPUTED_VALUE"""),"https://earth.google.com/web/search/-30.8976059943484,-55.5362292930463")</f>
        <v>https://earth.google.com/web/search/-30.8976059943484,-55.5362292930463</v>
      </c>
      <c r="H1249" s="64"/>
      <c r="I1249" s="64"/>
      <c r="J1249" s="64"/>
      <c r="K1249" s="64"/>
      <c r="L1249" s="64"/>
      <c r="M1249" s="64"/>
      <c r="N1249" s="64"/>
      <c r="O1249" s="64"/>
      <c r="P1249" s="64"/>
      <c r="Q1249" s="64"/>
      <c r="R1249" s="64"/>
      <c r="S1249" s="64"/>
      <c r="T1249" s="64"/>
      <c r="U1249" s="64"/>
      <c r="V1249" s="64"/>
      <c r="W1249" s="64"/>
      <c r="X1249" s="64"/>
      <c r="Y1249" s="64"/>
      <c r="Z1249" s="64"/>
    </row>
    <row r="1250">
      <c r="A1250" s="69" t="str">
        <f>IFERROR(__xludf.DUMMYFUNCTION("""COMPUTED_VALUE"""),"-30.8988967802284")</f>
        <v>-30.8988967802284</v>
      </c>
      <c r="B1250" s="61" t="str">
        <f>IFERROR(__xludf.DUMMYFUNCTION("""COMPUTED_VALUE"""),"-55.5354411890879")</f>
        <v>-55.5354411890879</v>
      </c>
      <c r="C1250" s="61">
        <f>IFERROR(__xludf.DUMMYFUNCTION("""COMPUTED_VALUE"""),1.0)</f>
        <v>1</v>
      </c>
      <c r="D1250" s="61">
        <f>IFERROR(__xludf.DUMMYFUNCTION("""COMPUTED_VALUE"""),74.0)</f>
        <v>74</v>
      </c>
      <c r="E1250" s="61">
        <f>IFERROR(__xludf.DUMMYFUNCTION("""COMPUTED_VALUE"""),1.0)</f>
        <v>1</v>
      </c>
      <c r="F1250" s="62" t="str">
        <f>IFERROR(__xludf.DUMMYFUNCTION("""COMPUTED_VALUE"""),"https://www.google.com/maps/search/?api=1&amp;query=-30.8988967802284,-55.5354411890879")</f>
        <v>https://www.google.com/maps/search/?api=1&amp;query=-30.8988967802284,-55.5354411890879</v>
      </c>
      <c r="G1250" s="63" t="str">
        <f>IFERROR(__xludf.DUMMYFUNCTION("""COMPUTED_VALUE"""),"https://earth.google.com/web/search/-30.8988967802284,-55.5354411890879")</f>
        <v>https://earth.google.com/web/search/-30.8988967802284,-55.5354411890879</v>
      </c>
      <c r="H1250" s="64"/>
      <c r="I1250" s="64"/>
      <c r="J1250" s="64"/>
      <c r="K1250" s="64"/>
      <c r="L1250" s="64"/>
      <c r="M1250" s="64"/>
      <c r="N1250" s="64"/>
      <c r="O1250" s="64"/>
      <c r="P1250" s="64"/>
      <c r="Q1250" s="64"/>
      <c r="R1250" s="64"/>
      <c r="S1250" s="64"/>
      <c r="T1250" s="64"/>
      <c r="U1250" s="64"/>
      <c r="V1250" s="64"/>
      <c r="W1250" s="64"/>
      <c r="X1250" s="64"/>
      <c r="Y1250" s="64"/>
      <c r="Z1250" s="64"/>
    </row>
    <row r="1251">
      <c r="A1251" s="65" t="str">
        <f>IFERROR(__xludf.DUMMYFUNCTION("""COMPUTED_VALUE"""),"-30.8987268779951")</f>
        <v>-30.8987268779951</v>
      </c>
      <c r="B1251" s="66" t="str">
        <f>IFERROR(__xludf.DUMMYFUNCTION("""COMPUTED_VALUE"""),"-55.5353168640542")</f>
        <v>-55.5353168640542</v>
      </c>
      <c r="C1251" s="66">
        <f>IFERROR(__xludf.DUMMYFUNCTION("""COMPUTED_VALUE"""),1.0)</f>
        <v>1</v>
      </c>
      <c r="D1251" s="66">
        <f>IFERROR(__xludf.DUMMYFUNCTION("""COMPUTED_VALUE"""),74.0)</f>
        <v>74</v>
      </c>
      <c r="E1251" s="66">
        <f>IFERROR(__xludf.DUMMYFUNCTION("""COMPUTED_VALUE"""),2.0)</f>
        <v>2</v>
      </c>
      <c r="F1251" s="67" t="str">
        <f>IFERROR(__xludf.DUMMYFUNCTION("""COMPUTED_VALUE"""),"https://www.google.com/maps/search/?api=1&amp;query=-30.8987268779951,-55.5353168640542")</f>
        <v>https://www.google.com/maps/search/?api=1&amp;query=-30.8987268779951,-55.5353168640542</v>
      </c>
      <c r="G1251" s="68" t="str">
        <f>IFERROR(__xludf.DUMMYFUNCTION("""COMPUTED_VALUE"""),"https://earth.google.com/web/search/-30.8987268779951,-55.5353168640542")</f>
        <v>https://earth.google.com/web/search/-30.8987268779951,-55.5353168640542</v>
      </c>
      <c r="H1251" s="64"/>
      <c r="I1251" s="64"/>
      <c r="J1251" s="64"/>
      <c r="K1251" s="64"/>
      <c r="L1251" s="64"/>
      <c r="M1251" s="64"/>
      <c r="N1251" s="64"/>
      <c r="O1251" s="64"/>
      <c r="P1251" s="64"/>
      <c r="Q1251" s="64"/>
      <c r="R1251" s="64"/>
      <c r="S1251" s="64"/>
      <c r="T1251" s="64"/>
      <c r="U1251" s="64"/>
      <c r="V1251" s="64"/>
      <c r="W1251" s="64"/>
      <c r="X1251" s="64"/>
      <c r="Y1251" s="64"/>
      <c r="Z1251" s="64"/>
    </row>
    <row r="1252">
      <c r="A1252" s="69" t="str">
        <f>IFERROR(__xludf.DUMMYFUNCTION("""COMPUTED_VALUE"""),"-30.8981437920385")</f>
        <v>-30.8981437920385</v>
      </c>
      <c r="B1252" s="61" t="str">
        <f>IFERROR(__xludf.DUMMYFUNCTION("""COMPUTED_VALUE"""),"-55.5352160424994")</f>
        <v>-55.5352160424994</v>
      </c>
      <c r="C1252" s="61">
        <f>IFERROR(__xludf.DUMMYFUNCTION("""COMPUTED_VALUE"""),1.0)</f>
        <v>1</v>
      </c>
      <c r="D1252" s="61">
        <f>IFERROR(__xludf.DUMMYFUNCTION("""COMPUTED_VALUE"""),74.0)</f>
        <v>74</v>
      </c>
      <c r="E1252" s="61">
        <f>IFERROR(__xludf.DUMMYFUNCTION("""COMPUTED_VALUE"""),3.0)</f>
        <v>3</v>
      </c>
      <c r="F1252" s="62" t="str">
        <f>IFERROR(__xludf.DUMMYFUNCTION("""COMPUTED_VALUE"""),"https://www.google.com/maps/search/?api=1&amp;query=-30.8981437920385,-55.5352160424994")</f>
        <v>https://www.google.com/maps/search/?api=1&amp;query=-30.8981437920385,-55.5352160424994</v>
      </c>
      <c r="G1252" s="63" t="str">
        <f>IFERROR(__xludf.DUMMYFUNCTION("""COMPUTED_VALUE"""),"https://earth.google.com/web/search/-30.8981437920385,-55.5352160424994")</f>
        <v>https://earth.google.com/web/search/-30.8981437920385,-55.5352160424994</v>
      </c>
      <c r="H1252" s="64"/>
      <c r="I1252" s="64"/>
      <c r="J1252" s="64"/>
      <c r="K1252" s="64"/>
      <c r="L1252" s="64"/>
      <c r="M1252" s="64"/>
      <c r="N1252" s="64"/>
      <c r="O1252" s="64"/>
      <c r="P1252" s="64"/>
      <c r="Q1252" s="64"/>
      <c r="R1252" s="64"/>
      <c r="S1252" s="64"/>
      <c r="T1252" s="64"/>
      <c r="U1252" s="64"/>
      <c r="V1252" s="64"/>
      <c r="W1252" s="64"/>
      <c r="X1252" s="64"/>
      <c r="Y1252" s="64"/>
      <c r="Z1252" s="64"/>
    </row>
    <row r="1253">
      <c r="A1253" s="65" t="str">
        <f>IFERROR(__xludf.DUMMYFUNCTION("""COMPUTED_VALUE"""),"-3.0897962579011")</f>
        <v>-3.0897962579011</v>
      </c>
      <c r="B1253" s="66" t="str">
        <f>IFERROR(__xludf.DUMMYFUNCTION("""COMPUTED_VALUE"""),"-55.5355506626906")</f>
        <v>-55.5355506626906</v>
      </c>
      <c r="C1253" s="66">
        <f>IFERROR(__xludf.DUMMYFUNCTION("""COMPUTED_VALUE"""),1.0)</f>
        <v>1</v>
      </c>
      <c r="D1253" s="66">
        <f>IFERROR(__xludf.DUMMYFUNCTION("""COMPUTED_VALUE"""),74.0)</f>
        <v>74</v>
      </c>
      <c r="E1253" s="66">
        <f>IFERROR(__xludf.DUMMYFUNCTION("""COMPUTED_VALUE"""),4.0)</f>
        <v>4</v>
      </c>
      <c r="F1253" s="67" t="str">
        <f>IFERROR(__xludf.DUMMYFUNCTION("""COMPUTED_VALUE"""),"https://www.google.com/maps/search/?api=1&amp;query=-3.0897962579011,-55.5355506626906")</f>
        <v>https://www.google.com/maps/search/?api=1&amp;query=-3.0897962579011,-55.5355506626906</v>
      </c>
      <c r="G1253" s="68" t="str">
        <f>IFERROR(__xludf.DUMMYFUNCTION("""COMPUTED_VALUE"""),"https://earth.google.com/web/search/-3.0897962579011,-55.5355506626906")</f>
        <v>https://earth.google.com/web/search/-3.0897962579011,-55.5355506626906</v>
      </c>
      <c r="H1253" s="64"/>
      <c r="I1253" s="64"/>
      <c r="J1253" s="64"/>
      <c r="K1253" s="64"/>
      <c r="L1253" s="64"/>
      <c r="M1253" s="64"/>
      <c r="N1253" s="64"/>
      <c r="O1253" s="64"/>
      <c r="P1253" s="64"/>
      <c r="Q1253" s="64"/>
      <c r="R1253" s="64"/>
      <c r="S1253" s="64"/>
      <c r="T1253" s="64"/>
      <c r="U1253" s="64"/>
      <c r="V1253" s="64"/>
      <c r="W1253" s="64"/>
      <c r="X1253" s="64"/>
      <c r="Y1253" s="64"/>
      <c r="Z1253" s="64"/>
    </row>
    <row r="1254">
      <c r="A1254" s="69" t="str">
        <f>IFERROR(__xludf.DUMMYFUNCTION("""COMPUTED_VALUE"""),"-30.8984471531176")</f>
        <v>-30.8984471531176</v>
      </c>
      <c r="B1254" s="61" t="str">
        <f>IFERROR(__xludf.DUMMYFUNCTION("""COMPUTED_VALUE"""),"-5.5536238993896")</f>
        <v>-5.5536238993896</v>
      </c>
      <c r="C1254" s="61">
        <f>IFERROR(__xludf.DUMMYFUNCTION("""COMPUTED_VALUE"""),1.0)</f>
        <v>1</v>
      </c>
      <c r="D1254" s="61">
        <f>IFERROR(__xludf.DUMMYFUNCTION("""COMPUTED_VALUE"""),74.0)</f>
        <v>74</v>
      </c>
      <c r="E1254" s="61">
        <f>IFERROR(__xludf.DUMMYFUNCTION("""COMPUTED_VALUE"""),5.0)</f>
        <v>5</v>
      </c>
      <c r="F1254" s="62" t="str">
        <f>IFERROR(__xludf.DUMMYFUNCTION("""COMPUTED_VALUE"""),"https://www.google.com/maps/search/?api=1&amp;query=-30.8984471531176,-5.5536238993896")</f>
        <v>https://www.google.com/maps/search/?api=1&amp;query=-30.8984471531176,-5.5536238993896</v>
      </c>
      <c r="G1254" s="63" t="str">
        <f>IFERROR(__xludf.DUMMYFUNCTION("""COMPUTED_VALUE"""),"https://earth.google.com/web/search/-30.8984471531176,-5.5536238993896")</f>
        <v>https://earth.google.com/web/search/-30.8984471531176,-5.5536238993896</v>
      </c>
      <c r="H1254" s="64"/>
      <c r="I1254" s="64"/>
      <c r="J1254" s="64"/>
      <c r="K1254" s="64"/>
      <c r="L1254" s="64"/>
      <c r="M1254" s="64"/>
      <c r="N1254" s="64"/>
      <c r="O1254" s="64"/>
      <c r="P1254" s="64"/>
      <c r="Q1254" s="64"/>
      <c r="R1254" s="64"/>
      <c r="S1254" s="64"/>
      <c r="T1254" s="64"/>
      <c r="U1254" s="64"/>
      <c r="V1254" s="64"/>
      <c r="W1254" s="64"/>
      <c r="X1254" s="64"/>
      <c r="Y1254" s="64"/>
      <c r="Z1254" s="64"/>
    </row>
    <row r="1255">
      <c r="A1255" s="65" t="str">
        <f>IFERROR(__xludf.DUMMYFUNCTION("""COMPUTED_VALUE"""),"-30.8985433860614")</f>
        <v>-30.8985433860614</v>
      </c>
      <c r="B1255" s="66" t="str">
        <f>IFERROR(__xludf.DUMMYFUNCTION("""COMPUTED_VALUE"""),"-55.5362969065373")</f>
        <v>-55.5362969065373</v>
      </c>
      <c r="C1255" s="66">
        <f>IFERROR(__xludf.DUMMYFUNCTION("""COMPUTED_VALUE"""),1.0)</f>
        <v>1</v>
      </c>
      <c r="D1255" s="66">
        <f>IFERROR(__xludf.DUMMYFUNCTION("""COMPUTED_VALUE"""),74.0)</f>
        <v>74</v>
      </c>
      <c r="E1255" s="66">
        <f>IFERROR(__xludf.DUMMYFUNCTION("""COMPUTED_VALUE"""),6.0)</f>
        <v>6</v>
      </c>
      <c r="F1255" s="67" t="str">
        <f>IFERROR(__xludf.DUMMYFUNCTION("""COMPUTED_VALUE"""),"https://www.google.com/maps/search/?api=1&amp;query=-30.8985433860614,-55.5362969065373")</f>
        <v>https://www.google.com/maps/search/?api=1&amp;query=-30.8985433860614,-55.5362969065373</v>
      </c>
      <c r="G1255" s="68" t="str">
        <f>IFERROR(__xludf.DUMMYFUNCTION("""COMPUTED_VALUE"""),"https://earth.google.com/web/search/-30.8985433860614,-55.5362969065373")</f>
        <v>https://earth.google.com/web/search/-30.8985433860614,-55.5362969065373</v>
      </c>
      <c r="H1255" s="64"/>
      <c r="I1255" s="64"/>
      <c r="J1255" s="64"/>
      <c r="K1255" s="64"/>
      <c r="L1255" s="64"/>
      <c r="M1255" s="64"/>
      <c r="N1255" s="64"/>
      <c r="O1255" s="64"/>
      <c r="P1255" s="64"/>
      <c r="Q1255" s="64"/>
      <c r="R1255" s="64"/>
      <c r="S1255" s="64"/>
      <c r="T1255" s="64"/>
      <c r="U1255" s="64"/>
      <c r="V1255" s="64"/>
      <c r="W1255" s="64"/>
      <c r="X1255" s="64"/>
      <c r="Y1255" s="64"/>
      <c r="Z1255" s="64"/>
    </row>
    <row r="1256">
      <c r="A1256" s="69" t="str">
        <f>IFERROR(__xludf.DUMMYFUNCTION("""COMPUTED_VALUE"""),"-30.8986046267538")</f>
        <v>-30.8986046267538</v>
      </c>
      <c r="B1256" s="61" t="str">
        <f>IFERROR(__xludf.DUMMYFUNCTION("""COMPUTED_VALUE"""),"-55.5362017012846")</f>
        <v>-55.5362017012846</v>
      </c>
      <c r="C1256" s="61">
        <f>IFERROR(__xludf.DUMMYFUNCTION("""COMPUTED_VALUE"""),1.0)</f>
        <v>1</v>
      </c>
      <c r="D1256" s="61">
        <f>IFERROR(__xludf.DUMMYFUNCTION("""COMPUTED_VALUE"""),74.0)</f>
        <v>74</v>
      </c>
      <c r="E1256" s="61">
        <f>IFERROR(__xludf.DUMMYFUNCTION("""COMPUTED_VALUE"""),7.0)</f>
        <v>7</v>
      </c>
      <c r="F1256" s="62" t="str">
        <f>IFERROR(__xludf.DUMMYFUNCTION("""COMPUTED_VALUE"""),"https://www.google.com/maps/search/?api=1&amp;query=-30.8986046267538,-55.5362017012846")</f>
        <v>https://www.google.com/maps/search/?api=1&amp;query=-30.8986046267538,-55.5362017012846</v>
      </c>
      <c r="G1256" s="63" t="str">
        <f>IFERROR(__xludf.DUMMYFUNCTION("""COMPUTED_VALUE"""),"https://earth.google.com/web/search/-30.8986046267538,-55.5362017012846")</f>
        <v>https://earth.google.com/web/search/-30.8986046267538,-55.5362017012846</v>
      </c>
      <c r="H1256" s="64"/>
      <c r="I1256" s="64"/>
      <c r="J1256" s="64"/>
      <c r="K1256" s="64"/>
      <c r="L1256" s="64"/>
      <c r="M1256" s="64"/>
      <c r="N1256" s="64"/>
      <c r="O1256" s="64"/>
      <c r="P1256" s="64"/>
      <c r="Q1256" s="64"/>
      <c r="R1256" s="64"/>
      <c r="S1256" s="64"/>
      <c r="T1256" s="64"/>
      <c r="U1256" s="64"/>
      <c r="V1256" s="64"/>
      <c r="W1256" s="64"/>
      <c r="X1256" s="64"/>
      <c r="Y1256" s="64"/>
      <c r="Z1256" s="64"/>
    </row>
    <row r="1257">
      <c r="A1257" s="65" t="str">
        <f>IFERROR(__xludf.DUMMYFUNCTION("""COMPUTED_VALUE"""),"-30.8986431542149")</f>
        <v>-30.8986431542149</v>
      </c>
      <c r="B1257" s="66" t="str">
        <f>IFERROR(__xludf.DUMMYFUNCTION("""COMPUTED_VALUE"""),"-55.5361057335285")</f>
        <v>-55.5361057335285</v>
      </c>
      <c r="C1257" s="66">
        <f>IFERROR(__xludf.DUMMYFUNCTION("""COMPUTED_VALUE"""),1.0)</f>
        <v>1</v>
      </c>
      <c r="D1257" s="66">
        <f>IFERROR(__xludf.DUMMYFUNCTION("""COMPUTED_VALUE"""),74.0)</f>
        <v>74</v>
      </c>
      <c r="E1257" s="66">
        <f>IFERROR(__xludf.DUMMYFUNCTION("""COMPUTED_VALUE"""),8.0)</f>
        <v>8</v>
      </c>
      <c r="F1257" s="67" t="str">
        <f>IFERROR(__xludf.DUMMYFUNCTION("""COMPUTED_VALUE"""),"https://www.google.com/maps/search/?api=1&amp;query=-30.8986431542149,-55.5361057335285")</f>
        <v>https://www.google.com/maps/search/?api=1&amp;query=-30.8986431542149,-55.5361057335285</v>
      </c>
      <c r="G1257" s="68" t="str">
        <f>IFERROR(__xludf.DUMMYFUNCTION("""COMPUTED_VALUE"""),"https://earth.google.com/web/search/-30.8986431542149,-55.5361057335285")</f>
        <v>https://earth.google.com/web/search/-30.8986431542149,-55.5361057335285</v>
      </c>
      <c r="H1257" s="64"/>
      <c r="I1257" s="64"/>
      <c r="J1257" s="64"/>
      <c r="K1257" s="64"/>
      <c r="L1257" s="64"/>
      <c r="M1257" s="64"/>
      <c r="N1257" s="64"/>
      <c r="O1257" s="64"/>
      <c r="P1257" s="64"/>
      <c r="Q1257" s="64"/>
      <c r="R1257" s="64"/>
      <c r="S1257" s="64"/>
      <c r="T1257" s="64"/>
      <c r="U1257" s="64"/>
      <c r="V1257" s="64"/>
      <c r="W1257" s="64"/>
      <c r="X1257" s="64"/>
      <c r="Y1257" s="64"/>
      <c r="Z1257" s="64"/>
    </row>
    <row r="1258">
      <c r="A1258" s="69" t="str">
        <f>IFERROR(__xludf.DUMMYFUNCTION("""COMPUTED_VALUE"""),"-30.8986968357314")</f>
        <v>-30.8986968357314</v>
      </c>
      <c r="B1258" s="61" t="str">
        <f>IFERROR(__xludf.DUMMYFUNCTION("""COMPUTED_VALUE"""),"-5.5536006622107")</f>
        <v>-5.5536006622107</v>
      </c>
      <c r="C1258" s="61">
        <f>IFERROR(__xludf.DUMMYFUNCTION("""COMPUTED_VALUE"""),1.0)</f>
        <v>1</v>
      </c>
      <c r="D1258" s="61">
        <f>IFERROR(__xludf.DUMMYFUNCTION("""COMPUTED_VALUE"""),74.0)</f>
        <v>74</v>
      </c>
      <c r="E1258" s="61">
        <f>IFERROR(__xludf.DUMMYFUNCTION("""COMPUTED_VALUE"""),9.0)</f>
        <v>9</v>
      </c>
      <c r="F1258" s="62" t="str">
        <f>IFERROR(__xludf.DUMMYFUNCTION("""COMPUTED_VALUE"""),"https://www.google.com/maps/search/?api=1&amp;query=-30.8986968357314,-5.5536006622107")</f>
        <v>https://www.google.com/maps/search/?api=1&amp;query=-30.8986968357314,-5.5536006622107</v>
      </c>
      <c r="G1258" s="63" t="str">
        <f>IFERROR(__xludf.DUMMYFUNCTION("""COMPUTED_VALUE"""),"https://earth.google.com/web/search/-30.8986968357314,-5.5536006622107")</f>
        <v>https://earth.google.com/web/search/-30.8986968357314,-5.5536006622107</v>
      </c>
      <c r="H1258" s="64"/>
      <c r="I1258" s="64"/>
      <c r="J1258" s="64"/>
      <c r="K1258" s="64"/>
      <c r="L1258" s="64"/>
      <c r="M1258" s="64"/>
      <c r="N1258" s="64"/>
      <c r="O1258" s="64"/>
      <c r="P1258" s="64"/>
      <c r="Q1258" s="64"/>
      <c r="R1258" s="64"/>
      <c r="S1258" s="64"/>
      <c r="T1258" s="64"/>
      <c r="U1258" s="64"/>
      <c r="V1258" s="64"/>
      <c r="W1258" s="64"/>
      <c r="X1258" s="64"/>
      <c r="Y1258" s="64"/>
      <c r="Z1258" s="64"/>
    </row>
    <row r="1259">
      <c r="A1259" s="65" t="str">
        <f>IFERROR(__xludf.DUMMYFUNCTION("""COMPUTED_VALUE"""),"-30.8988599883304")</f>
        <v>-30.8988599883304</v>
      </c>
      <c r="B1259" s="66" t="str">
        <f>IFERROR(__xludf.DUMMYFUNCTION("""COMPUTED_VALUE"""),"-55.5356806125588")</f>
        <v>-55.5356806125588</v>
      </c>
      <c r="C1259" s="66">
        <f>IFERROR(__xludf.DUMMYFUNCTION("""COMPUTED_VALUE"""),1.0)</f>
        <v>1</v>
      </c>
      <c r="D1259" s="66">
        <f>IFERROR(__xludf.DUMMYFUNCTION("""COMPUTED_VALUE"""),74.0)</f>
        <v>74</v>
      </c>
      <c r="E1259" s="66">
        <f>IFERROR(__xludf.DUMMYFUNCTION("""COMPUTED_VALUE"""),10.0)</f>
        <v>10</v>
      </c>
      <c r="F1259" s="67" t="str">
        <f>IFERROR(__xludf.DUMMYFUNCTION("""COMPUTED_VALUE"""),"https://www.google.com/maps/search/?api=1&amp;query=-30.8988599883304,-55.5356806125588")</f>
        <v>https://www.google.com/maps/search/?api=1&amp;query=-30.8988599883304,-55.5356806125588</v>
      </c>
      <c r="G1259" s="68" t="str">
        <f>IFERROR(__xludf.DUMMYFUNCTION("""COMPUTED_VALUE"""),"https://earth.google.com/web/search/-30.8988599883304,-55.5356806125588")</f>
        <v>https://earth.google.com/web/search/-30.8988599883304,-55.5356806125588</v>
      </c>
      <c r="H1259" s="64"/>
      <c r="I1259" s="64"/>
      <c r="J1259" s="64"/>
      <c r="K1259" s="64"/>
      <c r="L1259" s="64"/>
      <c r="M1259" s="64"/>
      <c r="N1259" s="64"/>
      <c r="O1259" s="64"/>
      <c r="P1259" s="64"/>
      <c r="Q1259" s="64"/>
      <c r="R1259" s="64"/>
      <c r="S1259" s="64"/>
      <c r="T1259" s="64"/>
      <c r="U1259" s="64"/>
      <c r="V1259" s="64"/>
      <c r="W1259" s="64"/>
      <c r="X1259" s="64"/>
      <c r="Y1259" s="64"/>
      <c r="Z1259" s="64"/>
    </row>
    <row r="1260">
      <c r="A1260" s="69" t="str">
        <f>IFERROR(__xludf.DUMMYFUNCTION("""COMPUTED_VALUE"""),"-30.8988771793001")</f>
        <v>-30.8988771793001</v>
      </c>
      <c r="B1260" s="61" t="str">
        <f>IFERROR(__xludf.DUMMYFUNCTION("""COMPUTED_VALUE"""),"-55.5341865359679")</f>
        <v>-55.5341865359679</v>
      </c>
      <c r="C1260" s="61">
        <f>IFERROR(__xludf.DUMMYFUNCTION("""COMPUTED_VALUE"""),1.0)</f>
        <v>1</v>
      </c>
      <c r="D1260" s="61">
        <f>IFERROR(__xludf.DUMMYFUNCTION("""COMPUTED_VALUE"""),73.0)</f>
        <v>73</v>
      </c>
      <c r="E1260" s="61">
        <f>IFERROR(__xludf.DUMMYFUNCTION("""COMPUTED_VALUE"""),1.0)</f>
        <v>1</v>
      </c>
      <c r="F1260" s="62" t="str">
        <f>IFERROR(__xludf.DUMMYFUNCTION("""COMPUTED_VALUE"""),"https://www.google.com/maps/search/?api=1&amp;query=-30.8988771793001,-55.5341865359679")</f>
        <v>https://www.google.com/maps/search/?api=1&amp;query=-30.8988771793001,-55.5341865359679</v>
      </c>
      <c r="G1260" s="63" t="str">
        <f>IFERROR(__xludf.DUMMYFUNCTION("""COMPUTED_VALUE"""),"https://earth.google.com/web/search/-30.8988771793001,-55.5341865359679")</f>
        <v>https://earth.google.com/web/search/-30.8988771793001,-55.5341865359679</v>
      </c>
      <c r="H1260" s="64"/>
      <c r="I1260" s="64"/>
      <c r="J1260" s="64"/>
      <c r="K1260" s="64"/>
      <c r="L1260" s="64"/>
      <c r="M1260" s="64"/>
      <c r="N1260" s="64"/>
      <c r="O1260" s="64"/>
      <c r="P1260" s="64"/>
      <c r="Q1260" s="64"/>
      <c r="R1260" s="64"/>
      <c r="S1260" s="64"/>
      <c r="T1260" s="64"/>
      <c r="U1260" s="64"/>
      <c r="V1260" s="64"/>
      <c r="W1260" s="64"/>
      <c r="X1260" s="64"/>
      <c r="Y1260" s="64"/>
      <c r="Z1260" s="64"/>
    </row>
    <row r="1261">
      <c r="A1261" s="65" t="str">
        <f>IFERROR(__xludf.DUMMYFUNCTION("""COMPUTED_VALUE"""),"-30.8989422008512")</f>
        <v>-30.8989422008512</v>
      </c>
      <c r="B1261" s="66" t="str">
        <f>IFERROR(__xludf.DUMMYFUNCTION("""COMPUTED_VALUE"""),"-55.5342301144277")</f>
        <v>-55.5342301144277</v>
      </c>
      <c r="C1261" s="66">
        <f>IFERROR(__xludf.DUMMYFUNCTION("""COMPUTED_VALUE"""),1.0)</f>
        <v>1</v>
      </c>
      <c r="D1261" s="66">
        <f>IFERROR(__xludf.DUMMYFUNCTION("""COMPUTED_VALUE"""),73.0)</f>
        <v>73</v>
      </c>
      <c r="E1261" s="66">
        <f>IFERROR(__xludf.DUMMYFUNCTION("""COMPUTED_VALUE"""),2.0)</f>
        <v>2</v>
      </c>
      <c r="F1261" s="67" t="str">
        <f>IFERROR(__xludf.DUMMYFUNCTION("""COMPUTED_VALUE"""),"https://www.google.com/maps/search/?api=1&amp;query=-30.8989422008512,-55.5342301144277")</f>
        <v>https://www.google.com/maps/search/?api=1&amp;query=-30.8989422008512,-55.5342301144277</v>
      </c>
      <c r="G1261" s="68" t="str">
        <f>IFERROR(__xludf.DUMMYFUNCTION("""COMPUTED_VALUE"""),"https://earth.google.com/web/search/-30.8989422008512,-55.5342301144277")</f>
        <v>https://earth.google.com/web/search/-30.8989422008512,-55.5342301144277</v>
      </c>
      <c r="H1261" s="64"/>
      <c r="I1261" s="64"/>
      <c r="J1261" s="64"/>
      <c r="K1261" s="64"/>
      <c r="L1261" s="64"/>
      <c r="M1261" s="64"/>
      <c r="N1261" s="64"/>
      <c r="O1261" s="64"/>
      <c r="P1261" s="64"/>
      <c r="Q1261" s="64"/>
      <c r="R1261" s="64"/>
      <c r="S1261" s="64"/>
      <c r="T1261" s="64"/>
      <c r="U1261" s="64"/>
      <c r="V1261" s="64"/>
      <c r="W1261" s="64"/>
      <c r="X1261" s="64"/>
      <c r="Y1261" s="64"/>
      <c r="Z1261" s="64"/>
    </row>
    <row r="1262">
      <c r="A1262" s="69" t="str">
        <f>IFERROR(__xludf.DUMMYFUNCTION("""COMPUTED_VALUE"""),"-30.8990121797176")</f>
        <v>-30.8990121797176</v>
      </c>
      <c r="B1262" s="61" t="str">
        <f>IFERROR(__xludf.DUMMYFUNCTION("""COMPUTED_VALUE"""),"-55.5342816265292")</f>
        <v>-55.5342816265292</v>
      </c>
      <c r="C1262" s="61">
        <f>IFERROR(__xludf.DUMMYFUNCTION("""COMPUTED_VALUE"""),1.0)</f>
        <v>1</v>
      </c>
      <c r="D1262" s="61">
        <f>IFERROR(__xludf.DUMMYFUNCTION("""COMPUTED_VALUE"""),73.0)</f>
        <v>73</v>
      </c>
      <c r="E1262" s="61">
        <f>IFERROR(__xludf.DUMMYFUNCTION("""COMPUTED_VALUE"""),3.0)</f>
        <v>3</v>
      </c>
      <c r="F1262" s="62" t="str">
        <f>IFERROR(__xludf.DUMMYFUNCTION("""COMPUTED_VALUE"""),"https://www.google.com/maps/search/?api=1&amp;query=-30.8990121797176,-55.5342816265292")</f>
        <v>https://www.google.com/maps/search/?api=1&amp;query=-30.8990121797176,-55.5342816265292</v>
      </c>
      <c r="G1262" s="63" t="str">
        <f>IFERROR(__xludf.DUMMYFUNCTION("""COMPUTED_VALUE"""),"https://earth.google.com/web/search/-30.8990121797176,-55.5342816265292")</f>
        <v>https://earth.google.com/web/search/-30.8990121797176,-55.5342816265292</v>
      </c>
      <c r="H1262" s="64"/>
      <c r="I1262" s="64"/>
      <c r="J1262" s="64"/>
      <c r="K1262" s="64"/>
      <c r="L1262" s="64"/>
      <c r="M1262" s="64"/>
      <c r="N1262" s="64"/>
      <c r="O1262" s="64"/>
      <c r="P1262" s="64"/>
      <c r="Q1262" s="64"/>
      <c r="R1262" s="64"/>
      <c r="S1262" s="64"/>
      <c r="T1262" s="64"/>
      <c r="U1262" s="64"/>
      <c r="V1262" s="64"/>
      <c r="W1262" s="64"/>
      <c r="X1262" s="64"/>
      <c r="Y1262" s="64"/>
      <c r="Z1262" s="64"/>
    </row>
    <row r="1263">
      <c r="A1263" s="65" t="str">
        <f>IFERROR(__xludf.DUMMYFUNCTION("""COMPUTED_VALUE"""),"-30.8991251556663")</f>
        <v>-30.8991251556663</v>
      </c>
      <c r="B1263" s="66" t="str">
        <f>IFERROR(__xludf.DUMMYFUNCTION("""COMPUTED_VALUE"""),"-55.5343500525238")</f>
        <v>-55.5343500525238</v>
      </c>
      <c r="C1263" s="66">
        <f>IFERROR(__xludf.DUMMYFUNCTION("""COMPUTED_VALUE"""),1.0)</f>
        <v>1</v>
      </c>
      <c r="D1263" s="66">
        <f>IFERROR(__xludf.DUMMYFUNCTION("""COMPUTED_VALUE"""),73.0)</f>
        <v>73</v>
      </c>
      <c r="E1263" s="66">
        <f>IFERROR(__xludf.DUMMYFUNCTION("""COMPUTED_VALUE"""),4.0)</f>
        <v>4</v>
      </c>
      <c r="F1263" s="67" t="str">
        <f>IFERROR(__xludf.DUMMYFUNCTION("""COMPUTED_VALUE"""),"https://www.google.com/maps/search/?api=1&amp;query=-30.8991251556663,-55.5343500525238")</f>
        <v>https://www.google.com/maps/search/?api=1&amp;query=-30.8991251556663,-55.5343500525238</v>
      </c>
      <c r="G1263" s="68" t="str">
        <f>IFERROR(__xludf.DUMMYFUNCTION("""COMPUTED_VALUE"""),"https://earth.google.com/web/search/-30.8991251556663,-55.5343500525238")</f>
        <v>https://earth.google.com/web/search/-30.8991251556663,-55.5343500525238</v>
      </c>
      <c r="H1263" s="64"/>
      <c r="I1263" s="64"/>
      <c r="J1263" s="64"/>
      <c r="K1263" s="64"/>
      <c r="L1263" s="64"/>
      <c r="M1263" s="64"/>
      <c r="N1263" s="64"/>
      <c r="O1263" s="64"/>
      <c r="P1263" s="64"/>
      <c r="Q1263" s="64"/>
      <c r="R1263" s="64"/>
      <c r="S1263" s="64"/>
      <c r="T1263" s="64"/>
      <c r="U1263" s="64"/>
      <c r="V1263" s="64"/>
      <c r="W1263" s="64"/>
      <c r="X1263" s="64"/>
      <c r="Y1263" s="64"/>
      <c r="Z1263" s="64"/>
    </row>
    <row r="1264">
      <c r="A1264" s="69" t="str">
        <f>IFERROR(__xludf.DUMMYFUNCTION("""COMPUTED_VALUE"""),"-30.8992218666684")</f>
        <v>-30.8992218666684</v>
      </c>
      <c r="B1264" s="61" t="str">
        <f>IFERROR(__xludf.DUMMYFUNCTION("""COMPUTED_VALUE"""),"-55.5344356158961")</f>
        <v>-55.5344356158961</v>
      </c>
      <c r="C1264" s="61">
        <f>IFERROR(__xludf.DUMMYFUNCTION("""COMPUTED_VALUE"""),1.0)</f>
        <v>1</v>
      </c>
      <c r="D1264" s="61">
        <f>IFERROR(__xludf.DUMMYFUNCTION("""COMPUTED_VALUE"""),73.0)</f>
        <v>73</v>
      </c>
      <c r="E1264" s="61">
        <f>IFERROR(__xludf.DUMMYFUNCTION("""COMPUTED_VALUE"""),5.0)</f>
        <v>5</v>
      </c>
      <c r="F1264" s="62" t="str">
        <f>IFERROR(__xludf.DUMMYFUNCTION("""COMPUTED_VALUE"""),"https://www.google.com/maps/search/?api=1&amp;query=-30.8992218666684,-55.5344356158961")</f>
        <v>https://www.google.com/maps/search/?api=1&amp;query=-30.8992218666684,-55.5344356158961</v>
      </c>
      <c r="G1264" s="63" t="str">
        <f>IFERROR(__xludf.DUMMYFUNCTION("""COMPUTED_VALUE"""),"https://earth.google.com/web/search/-30.8992218666684,-55.5344356158961")</f>
        <v>https://earth.google.com/web/search/-30.8992218666684,-55.5344356158961</v>
      </c>
      <c r="H1264" s="64"/>
      <c r="I1264" s="64"/>
      <c r="J1264" s="64"/>
      <c r="K1264" s="64"/>
      <c r="L1264" s="64"/>
      <c r="M1264" s="64"/>
      <c r="N1264" s="64"/>
      <c r="O1264" s="64"/>
      <c r="P1264" s="64"/>
      <c r="Q1264" s="64"/>
      <c r="R1264" s="64"/>
      <c r="S1264" s="64"/>
      <c r="T1264" s="64"/>
      <c r="U1264" s="64"/>
      <c r="V1264" s="64"/>
      <c r="W1264" s="64"/>
      <c r="X1264" s="64"/>
      <c r="Y1264" s="64"/>
      <c r="Z1264" s="64"/>
    </row>
    <row r="1265">
      <c r="A1265" s="65" t="str">
        <f>IFERROR(__xludf.DUMMYFUNCTION("""COMPUTED_VALUE"""),"-30.8992972706257")</f>
        <v>-30.8992972706257</v>
      </c>
      <c r="B1265" s="66" t="str">
        <f>IFERROR(__xludf.DUMMYFUNCTION("""COMPUTED_VALUE"""),"-55.5348582939105")</f>
        <v>-55.5348582939105</v>
      </c>
      <c r="C1265" s="66">
        <f>IFERROR(__xludf.DUMMYFUNCTION("""COMPUTED_VALUE"""),1.0)</f>
        <v>1</v>
      </c>
      <c r="D1265" s="66">
        <f>IFERROR(__xludf.DUMMYFUNCTION("""COMPUTED_VALUE"""),73.0)</f>
        <v>73</v>
      </c>
      <c r="E1265" s="66">
        <f>IFERROR(__xludf.DUMMYFUNCTION("""COMPUTED_VALUE"""),6.0)</f>
        <v>6</v>
      </c>
      <c r="F1265" s="67" t="str">
        <f>IFERROR(__xludf.DUMMYFUNCTION("""COMPUTED_VALUE"""),"https://www.google.com/maps/search/?api=1&amp;query=-30.8992972706257,-55.5348582939105")</f>
        <v>https://www.google.com/maps/search/?api=1&amp;query=-30.8992972706257,-55.5348582939105</v>
      </c>
      <c r="G1265" s="68" t="str">
        <f>IFERROR(__xludf.DUMMYFUNCTION("""COMPUTED_VALUE"""),"https://earth.google.com/web/search/-30.8992972706257,-55.5348582939105")</f>
        <v>https://earth.google.com/web/search/-30.8992972706257,-55.5348582939105</v>
      </c>
      <c r="H1265" s="64"/>
      <c r="I1265" s="64"/>
      <c r="J1265" s="64"/>
      <c r="K1265" s="64"/>
      <c r="L1265" s="64"/>
      <c r="M1265" s="64"/>
      <c r="N1265" s="64"/>
      <c r="O1265" s="64"/>
      <c r="P1265" s="64"/>
      <c r="Q1265" s="64"/>
      <c r="R1265" s="64"/>
      <c r="S1265" s="64"/>
      <c r="T1265" s="64"/>
      <c r="U1265" s="64"/>
      <c r="V1265" s="64"/>
      <c r="W1265" s="64"/>
      <c r="X1265" s="64"/>
      <c r="Y1265" s="64"/>
      <c r="Z1265" s="64"/>
    </row>
    <row r="1266">
      <c r="A1266" s="69" t="str">
        <f>IFERROR(__xludf.DUMMYFUNCTION("""COMPUTED_VALUE"""),"-30.8992429207418")</f>
        <v>-30.8992429207418</v>
      </c>
      <c r="B1266" s="61" t="str">
        <f>IFERROR(__xludf.DUMMYFUNCTION("""COMPUTED_VALUE"""),"-55.5349703365172")</f>
        <v>-55.5349703365172</v>
      </c>
      <c r="C1266" s="61">
        <f>IFERROR(__xludf.DUMMYFUNCTION("""COMPUTED_VALUE"""),1.0)</f>
        <v>1</v>
      </c>
      <c r="D1266" s="61">
        <f>IFERROR(__xludf.DUMMYFUNCTION("""COMPUTED_VALUE"""),73.0)</f>
        <v>73</v>
      </c>
      <c r="E1266" s="61">
        <f>IFERROR(__xludf.DUMMYFUNCTION("""COMPUTED_VALUE"""),7.0)</f>
        <v>7</v>
      </c>
      <c r="F1266" s="62" t="str">
        <f>IFERROR(__xludf.DUMMYFUNCTION("""COMPUTED_VALUE"""),"https://www.google.com/maps/search/?api=1&amp;query=-30.8992429207418,-55.5349703365172")</f>
        <v>https://www.google.com/maps/search/?api=1&amp;query=-30.8992429207418,-55.5349703365172</v>
      </c>
      <c r="G1266" s="63" t="str">
        <f>IFERROR(__xludf.DUMMYFUNCTION("""COMPUTED_VALUE"""),"https://earth.google.com/web/search/-30.8992429207418,-55.5349703365172")</f>
        <v>https://earth.google.com/web/search/-30.8992429207418,-55.5349703365172</v>
      </c>
      <c r="H1266" s="64"/>
      <c r="I1266" s="64"/>
      <c r="J1266" s="64"/>
      <c r="K1266" s="64"/>
      <c r="L1266" s="64"/>
      <c r="M1266" s="64"/>
      <c r="N1266" s="64"/>
      <c r="O1266" s="64"/>
      <c r="P1266" s="64"/>
      <c r="Q1266" s="64"/>
      <c r="R1266" s="64"/>
      <c r="S1266" s="64"/>
      <c r="T1266" s="64"/>
      <c r="U1266" s="64"/>
      <c r="V1266" s="64"/>
      <c r="W1266" s="64"/>
      <c r="X1266" s="64"/>
      <c r="Y1266" s="64"/>
      <c r="Z1266" s="64"/>
    </row>
    <row r="1267">
      <c r="A1267" s="65" t="str">
        <f>IFERROR(__xludf.DUMMYFUNCTION("""COMPUTED_VALUE"""),"-30.8991176606271")</f>
        <v>-30.8991176606271</v>
      </c>
      <c r="B1267" s="66" t="str">
        <f>IFERROR(__xludf.DUMMYFUNCTION("""COMPUTED_VALUE"""),"-55.5352094102902")</f>
        <v>-55.5352094102902</v>
      </c>
      <c r="C1267" s="66">
        <f>IFERROR(__xludf.DUMMYFUNCTION("""COMPUTED_VALUE"""),1.0)</f>
        <v>1</v>
      </c>
      <c r="D1267" s="66">
        <f>IFERROR(__xludf.DUMMYFUNCTION("""COMPUTED_VALUE"""),73.0)</f>
        <v>73</v>
      </c>
      <c r="E1267" s="66">
        <f>IFERROR(__xludf.DUMMYFUNCTION("""COMPUTED_VALUE"""),8.0)</f>
        <v>8</v>
      </c>
      <c r="F1267" s="67" t="str">
        <f>IFERROR(__xludf.DUMMYFUNCTION("""COMPUTED_VALUE"""),"https://www.google.com/maps/search/?api=1&amp;query=-30.8991176606271,-55.5352094102902")</f>
        <v>https://www.google.com/maps/search/?api=1&amp;query=-30.8991176606271,-55.5352094102902</v>
      </c>
      <c r="G1267" s="68" t="str">
        <f>IFERROR(__xludf.DUMMYFUNCTION("""COMPUTED_VALUE"""),"https://earth.google.com/web/search/-30.8991176606271,-55.5352094102902")</f>
        <v>https://earth.google.com/web/search/-30.8991176606271,-55.5352094102902</v>
      </c>
      <c r="H1267" s="64"/>
      <c r="I1267" s="64"/>
      <c r="J1267" s="64"/>
      <c r="K1267" s="64"/>
      <c r="L1267" s="64"/>
      <c r="M1267" s="64"/>
      <c r="N1267" s="64"/>
      <c r="O1267" s="64"/>
      <c r="P1267" s="64"/>
      <c r="Q1267" s="64"/>
      <c r="R1267" s="64"/>
      <c r="S1267" s="64"/>
      <c r="T1267" s="64"/>
      <c r="U1267" s="64"/>
      <c r="V1267" s="64"/>
      <c r="W1267" s="64"/>
      <c r="X1267" s="64"/>
      <c r="Y1267" s="64"/>
      <c r="Z1267" s="64"/>
    </row>
    <row r="1268">
      <c r="A1268" s="69" t="str">
        <f>IFERROR(__xludf.DUMMYFUNCTION("""COMPUTED_VALUE"""),"-30.8990876677845")</f>
        <v>-30.8990876677845</v>
      </c>
      <c r="B1268" s="61" t="str">
        <f>IFERROR(__xludf.DUMMYFUNCTION("""COMPUTED_VALUE"""),"-55.5352810521249")</f>
        <v>-55.5352810521249</v>
      </c>
      <c r="C1268" s="61">
        <f>IFERROR(__xludf.DUMMYFUNCTION("""COMPUTED_VALUE"""),1.0)</f>
        <v>1</v>
      </c>
      <c r="D1268" s="61">
        <f>IFERROR(__xludf.DUMMYFUNCTION("""COMPUTED_VALUE"""),73.0)</f>
        <v>73</v>
      </c>
      <c r="E1268" s="61">
        <f>IFERROR(__xludf.DUMMYFUNCTION("""COMPUTED_VALUE"""),9.0)</f>
        <v>9</v>
      </c>
      <c r="F1268" s="62" t="str">
        <f>IFERROR(__xludf.DUMMYFUNCTION("""COMPUTED_VALUE"""),"https://www.google.com/maps/search/?api=1&amp;query=-30.8990876677845,-55.5352810521249")</f>
        <v>https://www.google.com/maps/search/?api=1&amp;query=-30.8990876677845,-55.5352810521249</v>
      </c>
      <c r="G1268" s="63" t="str">
        <f>IFERROR(__xludf.DUMMYFUNCTION("""COMPUTED_VALUE"""),"https://earth.google.com/web/search/-30.8990876677845,-55.5352810521249")</f>
        <v>https://earth.google.com/web/search/-30.8990876677845,-55.5352810521249</v>
      </c>
      <c r="H1268" s="64"/>
      <c r="I1268" s="64"/>
      <c r="J1268" s="64"/>
      <c r="K1268" s="64"/>
      <c r="L1268" s="64"/>
      <c r="M1268" s="64"/>
      <c r="N1268" s="64"/>
      <c r="O1268" s="64"/>
      <c r="P1268" s="64"/>
      <c r="Q1268" s="64"/>
      <c r="R1268" s="64"/>
      <c r="S1268" s="64"/>
      <c r="T1268" s="64"/>
      <c r="U1268" s="64"/>
      <c r="V1268" s="64"/>
      <c r="W1268" s="64"/>
      <c r="X1268" s="64"/>
      <c r="Y1268" s="64"/>
      <c r="Z1268" s="64"/>
    </row>
    <row r="1269">
      <c r="A1269" s="65" t="str">
        <f>IFERROR(__xludf.DUMMYFUNCTION("""COMPUTED_VALUE"""),"-3.0898990655785")</f>
        <v>-3.0898990655785</v>
      </c>
      <c r="B1269" s="66" t="str">
        <f>IFERROR(__xludf.DUMMYFUNCTION("""COMPUTED_VALUE"""),"-55.5353753890523")</f>
        <v>-55.5353753890523</v>
      </c>
      <c r="C1269" s="66">
        <f>IFERROR(__xludf.DUMMYFUNCTION("""COMPUTED_VALUE"""),1.0)</f>
        <v>1</v>
      </c>
      <c r="D1269" s="66">
        <f>IFERROR(__xludf.DUMMYFUNCTION("""COMPUTED_VALUE"""),73.0)</f>
        <v>73</v>
      </c>
      <c r="E1269" s="66">
        <f>IFERROR(__xludf.DUMMYFUNCTION("""COMPUTED_VALUE"""),10.0)</f>
        <v>10</v>
      </c>
      <c r="F1269" s="67" t="str">
        <f>IFERROR(__xludf.DUMMYFUNCTION("""COMPUTED_VALUE"""),"https://www.google.com/maps/search/?api=1&amp;query=-3.0898990655785,-55.5353753890523")</f>
        <v>https://www.google.com/maps/search/?api=1&amp;query=-3.0898990655785,-55.5353753890523</v>
      </c>
      <c r="G1269" s="68" t="str">
        <f>IFERROR(__xludf.DUMMYFUNCTION("""COMPUTED_VALUE"""),"https://earth.google.com/web/search/-3.0898990655785,-55.5353753890523")</f>
        <v>https://earth.google.com/web/search/-3.0898990655785,-55.5353753890523</v>
      </c>
      <c r="H1269" s="64"/>
      <c r="I1269" s="64"/>
      <c r="J1269" s="64"/>
      <c r="K1269" s="64"/>
      <c r="L1269" s="64"/>
      <c r="M1269" s="64"/>
      <c r="N1269" s="64"/>
      <c r="O1269" s="64"/>
      <c r="P1269" s="64"/>
      <c r="Q1269" s="64"/>
      <c r="R1269" s="64"/>
      <c r="S1269" s="64"/>
      <c r="T1269" s="64"/>
      <c r="U1269" s="64"/>
      <c r="V1269" s="64"/>
      <c r="W1269" s="64"/>
      <c r="X1269" s="64"/>
      <c r="Y1269" s="64"/>
      <c r="Z1269" s="64"/>
    </row>
    <row r="1270">
      <c r="A1270" s="69" t="str">
        <f>IFERROR(__xludf.DUMMYFUNCTION("""COMPUTED_VALUE"""),"-30.8989171176309")</f>
        <v>-30.8989171176309</v>
      </c>
      <c r="B1270" s="61" t="str">
        <f>IFERROR(__xludf.DUMMYFUNCTION("""COMPUTED_VALUE"""),"-55.5353269063079")</f>
        <v>-55.5353269063079</v>
      </c>
      <c r="C1270" s="61">
        <f>IFERROR(__xludf.DUMMYFUNCTION("""COMPUTED_VALUE"""),1.0)</f>
        <v>1</v>
      </c>
      <c r="D1270" s="61">
        <f>IFERROR(__xludf.DUMMYFUNCTION("""COMPUTED_VALUE"""),73.0)</f>
        <v>73</v>
      </c>
      <c r="E1270" s="61">
        <f>IFERROR(__xludf.DUMMYFUNCTION("""COMPUTED_VALUE"""),11.0)</f>
        <v>11</v>
      </c>
      <c r="F1270" s="62" t="str">
        <f>IFERROR(__xludf.DUMMYFUNCTION("""COMPUTED_VALUE"""),"https://www.google.com/maps/search/?api=1&amp;query=-30.8989171176309,-55.5353269063079")</f>
        <v>https://www.google.com/maps/search/?api=1&amp;query=-30.8989171176309,-55.5353269063079</v>
      </c>
      <c r="G1270" s="63" t="str">
        <f>IFERROR(__xludf.DUMMYFUNCTION("""COMPUTED_VALUE"""),"https://earth.google.com/web/search/-30.8989171176309,-55.5353269063079")</f>
        <v>https://earth.google.com/web/search/-30.8989171176309,-55.5353269063079</v>
      </c>
      <c r="H1270" s="64"/>
      <c r="I1270" s="64"/>
      <c r="J1270" s="64"/>
      <c r="K1270" s="64"/>
      <c r="L1270" s="64"/>
      <c r="M1270" s="64"/>
      <c r="N1270" s="64"/>
      <c r="O1270" s="64"/>
      <c r="P1270" s="64"/>
      <c r="Q1270" s="64"/>
      <c r="R1270" s="64"/>
      <c r="S1270" s="64"/>
      <c r="T1270" s="64"/>
      <c r="U1270" s="64"/>
      <c r="V1270" s="64"/>
      <c r="W1270" s="64"/>
      <c r="X1270" s="64"/>
      <c r="Y1270" s="64"/>
      <c r="Z1270" s="64"/>
    </row>
    <row r="1271">
      <c r="A1271" s="65" t="str">
        <f>IFERROR(__xludf.DUMMYFUNCTION("""COMPUTED_VALUE"""),"-30.8987819190639")</f>
        <v>-30.8987819190639</v>
      </c>
      <c r="B1271" s="66" t="str">
        <f>IFERROR(__xludf.DUMMYFUNCTION("""COMPUTED_VALUE"""),"-55.5352320015739")</f>
        <v>-55.5352320015739</v>
      </c>
      <c r="C1271" s="66">
        <f>IFERROR(__xludf.DUMMYFUNCTION("""COMPUTED_VALUE"""),1.0)</f>
        <v>1</v>
      </c>
      <c r="D1271" s="66">
        <f>IFERROR(__xludf.DUMMYFUNCTION("""COMPUTED_VALUE"""),73.0)</f>
        <v>73</v>
      </c>
      <c r="E1271" s="66">
        <f>IFERROR(__xludf.DUMMYFUNCTION("""COMPUTED_VALUE"""),12.0)</f>
        <v>12</v>
      </c>
      <c r="F1271" s="67" t="str">
        <f>IFERROR(__xludf.DUMMYFUNCTION("""COMPUTED_VALUE"""),"https://www.google.com/maps/search/?api=1&amp;query=-30.8987819190639,-55.5352320015739")</f>
        <v>https://www.google.com/maps/search/?api=1&amp;query=-30.8987819190639,-55.5352320015739</v>
      </c>
      <c r="G1271" s="68" t="str">
        <f>IFERROR(__xludf.DUMMYFUNCTION("""COMPUTED_VALUE"""),"https://earth.google.com/web/search/-30.8987819190639,-55.5352320015739")</f>
        <v>https://earth.google.com/web/search/-30.8987819190639,-55.5352320015739</v>
      </c>
      <c r="H1271" s="64"/>
      <c r="I1271" s="64"/>
      <c r="J1271" s="64"/>
      <c r="K1271" s="64"/>
      <c r="L1271" s="64"/>
      <c r="M1271" s="64"/>
      <c r="N1271" s="64"/>
      <c r="O1271" s="64"/>
      <c r="P1271" s="64"/>
      <c r="Q1271" s="64"/>
      <c r="R1271" s="64"/>
      <c r="S1271" s="64"/>
      <c r="T1271" s="64"/>
      <c r="U1271" s="64"/>
      <c r="V1271" s="64"/>
      <c r="W1271" s="64"/>
      <c r="X1271" s="64"/>
      <c r="Y1271" s="64"/>
      <c r="Z1271" s="64"/>
    </row>
    <row r="1272">
      <c r="A1272" s="69" t="str">
        <f>IFERROR(__xludf.DUMMYFUNCTION("""COMPUTED_VALUE"""),"-30.8987081633881")</f>
        <v>-30.8987081633881</v>
      </c>
      <c r="B1272" s="61" t="str">
        <f>IFERROR(__xludf.DUMMYFUNCTION("""COMPUTED_VALUE"""),"-0.5553517730235")</f>
        <v>-0.5553517730235</v>
      </c>
      <c r="C1272" s="61">
        <f>IFERROR(__xludf.DUMMYFUNCTION("""COMPUTED_VALUE"""),1.0)</f>
        <v>1</v>
      </c>
      <c r="D1272" s="61">
        <f>IFERROR(__xludf.DUMMYFUNCTION("""COMPUTED_VALUE"""),73.0)</f>
        <v>73</v>
      </c>
      <c r="E1272" s="61">
        <f>IFERROR(__xludf.DUMMYFUNCTION("""COMPUTED_VALUE"""),13.0)</f>
        <v>13</v>
      </c>
      <c r="F1272" s="62" t="str">
        <f>IFERROR(__xludf.DUMMYFUNCTION("""COMPUTED_VALUE"""),"https://www.google.com/maps/search/?api=1&amp;query=-30.8987081633881,-0.5553517730235")</f>
        <v>https://www.google.com/maps/search/?api=1&amp;query=-30.8987081633881,-0.5553517730235</v>
      </c>
      <c r="G1272" s="63" t="str">
        <f>IFERROR(__xludf.DUMMYFUNCTION("""COMPUTED_VALUE"""),"https://earth.google.com/web/search/-30.8987081633881,-0.5553517730235")</f>
        <v>https://earth.google.com/web/search/-30.8987081633881,-0.5553517730235</v>
      </c>
      <c r="H1272" s="64"/>
      <c r="I1272" s="64"/>
      <c r="J1272" s="64"/>
      <c r="K1272" s="64"/>
      <c r="L1272" s="64"/>
      <c r="M1272" s="64"/>
      <c r="N1272" s="64"/>
      <c r="O1272" s="64"/>
      <c r="P1272" s="64"/>
      <c r="Q1272" s="64"/>
      <c r="R1272" s="64"/>
      <c r="S1272" s="64"/>
      <c r="T1272" s="64"/>
      <c r="U1272" s="64"/>
      <c r="V1272" s="64"/>
      <c r="W1272" s="64"/>
      <c r="X1272" s="64"/>
      <c r="Y1272" s="64"/>
      <c r="Z1272" s="64"/>
    </row>
    <row r="1273">
      <c r="A1273" s="65" t="str">
        <f>IFERROR(__xludf.DUMMYFUNCTION("""COMPUTED_VALUE"""),"-30.8984262186529")</f>
        <v>-30.8984262186529</v>
      </c>
      <c r="B1273" s="66" t="str">
        <f>IFERROR(__xludf.DUMMYFUNCTION("""COMPUTED_VALUE"""),"-55.5346837605438")</f>
        <v>-55.5346837605438</v>
      </c>
      <c r="C1273" s="66">
        <f>IFERROR(__xludf.DUMMYFUNCTION("""COMPUTED_VALUE"""),1.0)</f>
        <v>1</v>
      </c>
      <c r="D1273" s="66">
        <f>IFERROR(__xludf.DUMMYFUNCTION("""COMPUTED_VALUE"""),73.0)</f>
        <v>73</v>
      </c>
      <c r="E1273" s="66">
        <f>IFERROR(__xludf.DUMMYFUNCTION("""COMPUTED_VALUE"""),14.0)</f>
        <v>14</v>
      </c>
      <c r="F1273" s="67" t="str">
        <f>IFERROR(__xludf.DUMMYFUNCTION("""COMPUTED_VALUE"""),"https://www.google.com/maps/search/?api=1&amp;query=-30.8984262186529,-55.5346837605438")</f>
        <v>https://www.google.com/maps/search/?api=1&amp;query=-30.8984262186529,-55.5346837605438</v>
      </c>
      <c r="G1273" s="68" t="str">
        <f>IFERROR(__xludf.DUMMYFUNCTION("""COMPUTED_VALUE"""),"https://earth.google.com/web/search/-30.8984262186529,-55.5346837605438")</f>
        <v>https://earth.google.com/web/search/-30.8984262186529,-55.5346837605438</v>
      </c>
      <c r="H1273" s="64"/>
      <c r="I1273" s="64"/>
      <c r="J1273" s="64"/>
      <c r="K1273" s="64"/>
      <c r="L1273" s="64"/>
      <c r="M1273" s="64"/>
      <c r="N1273" s="64"/>
      <c r="O1273" s="64"/>
      <c r="P1273" s="64"/>
      <c r="Q1273" s="64"/>
      <c r="R1273" s="64"/>
      <c r="S1273" s="64"/>
      <c r="T1273" s="64"/>
      <c r="U1273" s="64"/>
      <c r="V1273" s="64"/>
      <c r="W1273" s="64"/>
      <c r="X1273" s="64"/>
      <c r="Y1273" s="64"/>
      <c r="Z1273" s="64"/>
    </row>
    <row r="1274">
      <c r="A1274" s="69" t="str">
        <f>IFERROR(__xludf.DUMMYFUNCTION("""COMPUTED_VALUE"""),"-30.8980717932903")</f>
        <v>-30.8980717932903</v>
      </c>
      <c r="B1274" s="61" t="str">
        <f>IFERROR(__xludf.DUMMYFUNCTION("""COMPUTED_VALUE"""),"-55.5347201371306")</f>
        <v>-55.5347201371306</v>
      </c>
      <c r="C1274" s="61">
        <f>IFERROR(__xludf.DUMMYFUNCTION("""COMPUTED_VALUE"""),1.0)</f>
        <v>1</v>
      </c>
      <c r="D1274" s="61">
        <f>IFERROR(__xludf.DUMMYFUNCTION("""COMPUTED_VALUE"""),71.0)</f>
        <v>71</v>
      </c>
      <c r="E1274" s="61">
        <f>IFERROR(__xludf.DUMMYFUNCTION("""COMPUTED_VALUE"""),1.0)</f>
        <v>1</v>
      </c>
      <c r="F1274" s="62" t="str">
        <f>IFERROR(__xludf.DUMMYFUNCTION("""COMPUTED_VALUE"""),"https://www.google.com/maps/search/?api=1&amp;query=-30.8980717932903,-55.5347201371306")</f>
        <v>https://www.google.com/maps/search/?api=1&amp;query=-30.8980717932903,-55.5347201371306</v>
      </c>
      <c r="G1274" s="63" t="str">
        <f>IFERROR(__xludf.DUMMYFUNCTION("""COMPUTED_VALUE"""),"https://earth.google.com/web/search/-30.8980717932903,-55.5347201371306")</f>
        <v>https://earth.google.com/web/search/-30.8980717932903,-55.5347201371306</v>
      </c>
      <c r="H1274" s="64"/>
      <c r="I1274" s="64"/>
      <c r="J1274" s="64"/>
      <c r="K1274" s="64"/>
      <c r="L1274" s="64"/>
      <c r="M1274" s="64"/>
      <c r="N1274" s="64"/>
      <c r="O1274" s="64"/>
      <c r="P1274" s="64"/>
      <c r="Q1274" s="64"/>
      <c r="R1274" s="64"/>
      <c r="S1274" s="64"/>
      <c r="T1274" s="64"/>
      <c r="U1274" s="64"/>
      <c r="V1274" s="64"/>
      <c r="W1274" s="64"/>
      <c r="X1274" s="64"/>
      <c r="Y1274" s="64"/>
      <c r="Z1274" s="64"/>
    </row>
    <row r="1275">
      <c r="A1275" s="65" t="str">
        <f>IFERROR(__xludf.DUMMYFUNCTION("""COMPUTED_VALUE"""),"-30.8979441775746")</f>
        <v>-30.8979441775746</v>
      </c>
      <c r="B1275" s="66" t="str">
        <f>IFERROR(__xludf.DUMMYFUNCTION("""COMPUTED_VALUE"""),"-55.5346226718623")</f>
        <v>-55.5346226718623</v>
      </c>
      <c r="C1275" s="66">
        <f>IFERROR(__xludf.DUMMYFUNCTION("""COMPUTED_VALUE"""),1.0)</f>
        <v>1</v>
      </c>
      <c r="D1275" s="66">
        <f>IFERROR(__xludf.DUMMYFUNCTION("""COMPUTED_VALUE"""),71.0)</f>
        <v>71</v>
      </c>
      <c r="E1275" s="66">
        <f>IFERROR(__xludf.DUMMYFUNCTION("""COMPUTED_VALUE"""),2.0)</f>
        <v>2</v>
      </c>
      <c r="F1275" s="67" t="str">
        <f>IFERROR(__xludf.DUMMYFUNCTION("""COMPUTED_VALUE"""),"https://www.google.com/maps/search/?api=1&amp;query=-30.8979441775746,-55.5346226718623")</f>
        <v>https://www.google.com/maps/search/?api=1&amp;query=-30.8979441775746,-55.5346226718623</v>
      </c>
      <c r="G1275" s="68" t="str">
        <f>IFERROR(__xludf.DUMMYFUNCTION("""COMPUTED_VALUE"""),"https://earth.google.com/web/search/-30.8979441775746,-55.5346226718623")</f>
        <v>https://earth.google.com/web/search/-30.8979441775746,-55.5346226718623</v>
      </c>
      <c r="H1275" s="64"/>
      <c r="I1275" s="64"/>
      <c r="J1275" s="64"/>
      <c r="K1275" s="64"/>
      <c r="L1275" s="64"/>
      <c r="M1275" s="64"/>
      <c r="N1275" s="64"/>
      <c r="O1275" s="64"/>
      <c r="P1275" s="64"/>
      <c r="Q1275" s="64"/>
      <c r="R1275" s="64"/>
      <c r="S1275" s="64"/>
      <c r="T1275" s="64"/>
      <c r="U1275" s="64"/>
      <c r="V1275" s="64"/>
      <c r="W1275" s="64"/>
      <c r="X1275" s="64"/>
      <c r="Y1275" s="64"/>
      <c r="Z1275" s="64"/>
    </row>
    <row r="1276">
      <c r="A1276" s="69" t="str">
        <f>IFERROR(__xludf.DUMMYFUNCTION("""COMPUTED_VALUE"""),"-30.8978062827663")</f>
        <v>-30.8978062827663</v>
      </c>
      <c r="B1276" s="61" t="str">
        <f>IFERROR(__xludf.DUMMYFUNCTION("""COMPUTED_VALUE"""),"-55.5345443988156")</f>
        <v>-55.5345443988156</v>
      </c>
      <c r="C1276" s="61">
        <f>IFERROR(__xludf.DUMMYFUNCTION("""COMPUTED_VALUE"""),1.0)</f>
        <v>1</v>
      </c>
      <c r="D1276" s="61">
        <f>IFERROR(__xludf.DUMMYFUNCTION("""COMPUTED_VALUE"""),71.0)</f>
        <v>71</v>
      </c>
      <c r="E1276" s="61">
        <f>IFERROR(__xludf.DUMMYFUNCTION("""COMPUTED_VALUE"""),3.0)</f>
        <v>3</v>
      </c>
      <c r="F1276" s="62" t="str">
        <f>IFERROR(__xludf.DUMMYFUNCTION("""COMPUTED_VALUE"""),"https://www.google.com/maps/search/?api=1&amp;query=-30.8978062827663,-55.5345443988156")</f>
        <v>https://www.google.com/maps/search/?api=1&amp;query=-30.8978062827663,-55.5345443988156</v>
      </c>
      <c r="G1276" s="63" t="str">
        <f>IFERROR(__xludf.DUMMYFUNCTION("""COMPUTED_VALUE"""),"https://earth.google.com/web/search/-30.8978062827663,-55.5345443988156")</f>
        <v>https://earth.google.com/web/search/-30.8978062827663,-55.5345443988156</v>
      </c>
      <c r="H1276" s="64"/>
      <c r="I1276" s="64"/>
      <c r="J1276" s="64"/>
      <c r="K1276" s="64"/>
      <c r="L1276" s="64"/>
      <c r="M1276" s="64"/>
      <c r="N1276" s="64"/>
      <c r="O1276" s="64"/>
      <c r="P1276" s="64"/>
      <c r="Q1276" s="64"/>
      <c r="R1276" s="64"/>
      <c r="S1276" s="64"/>
      <c r="T1276" s="64"/>
      <c r="U1276" s="64"/>
      <c r="V1276" s="64"/>
      <c r="W1276" s="64"/>
      <c r="X1276" s="64"/>
      <c r="Y1276" s="64"/>
      <c r="Z1276" s="64"/>
    </row>
    <row r="1277">
      <c r="A1277" s="65" t="str">
        <f>IFERROR(__xludf.DUMMYFUNCTION("""COMPUTED_VALUE"""),"-30.8976954454774")</f>
        <v>-30.8976954454774</v>
      </c>
      <c r="B1277" s="66" t="str">
        <f>IFERROR(__xludf.DUMMYFUNCTION("""COMPUTED_VALUE"""),"-55.5344515662382")</f>
        <v>-55.5344515662382</v>
      </c>
      <c r="C1277" s="66">
        <f>IFERROR(__xludf.DUMMYFUNCTION("""COMPUTED_VALUE"""),1.0)</f>
        <v>1</v>
      </c>
      <c r="D1277" s="66">
        <f>IFERROR(__xludf.DUMMYFUNCTION("""COMPUTED_VALUE"""),71.0)</f>
        <v>71</v>
      </c>
      <c r="E1277" s="66">
        <f>IFERROR(__xludf.DUMMYFUNCTION("""COMPUTED_VALUE"""),4.0)</f>
        <v>4</v>
      </c>
      <c r="F1277" s="67" t="str">
        <f>IFERROR(__xludf.DUMMYFUNCTION("""COMPUTED_VALUE"""),"https://www.google.com/maps/search/?api=1&amp;query=-30.8976954454774,-55.5344515662382")</f>
        <v>https://www.google.com/maps/search/?api=1&amp;query=-30.8976954454774,-55.5344515662382</v>
      </c>
      <c r="G1277" s="68" t="str">
        <f>IFERROR(__xludf.DUMMYFUNCTION("""COMPUTED_VALUE"""),"https://earth.google.com/web/search/-30.8976954454774,-55.5344515662382")</f>
        <v>https://earth.google.com/web/search/-30.8976954454774,-55.5344515662382</v>
      </c>
      <c r="H1277" s="64"/>
      <c r="I1277" s="64"/>
      <c r="J1277" s="64"/>
      <c r="K1277" s="64"/>
      <c r="L1277" s="64"/>
      <c r="M1277" s="64"/>
      <c r="N1277" s="64"/>
      <c r="O1277" s="64"/>
      <c r="P1277" s="64"/>
      <c r="Q1277" s="64"/>
      <c r="R1277" s="64"/>
      <c r="S1277" s="64"/>
      <c r="T1277" s="64"/>
      <c r="U1277" s="64"/>
      <c r="V1277" s="64"/>
      <c r="W1277" s="64"/>
      <c r="X1277" s="64"/>
      <c r="Y1277" s="64"/>
      <c r="Z1277" s="64"/>
    </row>
    <row r="1278">
      <c r="A1278" s="69" t="str">
        <f>IFERROR(__xludf.DUMMYFUNCTION("""COMPUTED_VALUE"""),"-30.8975790002801")</f>
        <v>-30.8975790002801</v>
      </c>
      <c r="B1278" s="61" t="str">
        <f>IFERROR(__xludf.DUMMYFUNCTION("""COMPUTED_VALUE"""),"-5.5534371099059")</f>
        <v>-5.5534371099059</v>
      </c>
      <c r="C1278" s="61">
        <f>IFERROR(__xludf.DUMMYFUNCTION("""COMPUTED_VALUE"""),1.0)</f>
        <v>1</v>
      </c>
      <c r="D1278" s="61">
        <f>IFERROR(__xludf.DUMMYFUNCTION("""COMPUTED_VALUE"""),71.0)</f>
        <v>71</v>
      </c>
      <c r="E1278" s="61">
        <f>IFERROR(__xludf.DUMMYFUNCTION("""COMPUTED_VALUE"""),5.0)</f>
        <v>5</v>
      </c>
      <c r="F1278" s="62" t="str">
        <f>IFERROR(__xludf.DUMMYFUNCTION("""COMPUTED_VALUE"""),"https://www.google.com/maps/search/?api=1&amp;query=-30.8975790002801,-5.5534371099059")</f>
        <v>https://www.google.com/maps/search/?api=1&amp;query=-30.8975790002801,-5.5534371099059</v>
      </c>
      <c r="G1278" s="63" t="str">
        <f>IFERROR(__xludf.DUMMYFUNCTION("""COMPUTED_VALUE"""),"https://earth.google.com/web/search/-30.8975790002801,-5.5534371099059")</f>
        <v>https://earth.google.com/web/search/-30.8975790002801,-5.5534371099059</v>
      </c>
      <c r="H1278" s="64"/>
      <c r="I1278" s="64"/>
      <c r="J1278" s="64"/>
      <c r="K1278" s="64"/>
      <c r="L1278" s="64"/>
      <c r="M1278" s="64"/>
      <c r="N1278" s="64"/>
      <c r="O1278" s="64"/>
      <c r="P1278" s="64"/>
      <c r="Q1278" s="64"/>
      <c r="R1278" s="64"/>
      <c r="S1278" s="64"/>
      <c r="T1278" s="64"/>
      <c r="U1278" s="64"/>
      <c r="V1278" s="64"/>
      <c r="W1278" s="64"/>
      <c r="X1278" s="64"/>
      <c r="Y1278" s="64"/>
      <c r="Z1278" s="64"/>
    </row>
    <row r="1279">
      <c r="A1279" s="65" t="str">
        <f>IFERROR(__xludf.DUMMYFUNCTION("""COMPUTED_VALUE"""),"-30.8975139191876")</f>
        <v>-30.8975139191876</v>
      </c>
      <c r="B1279" s="66" t="str">
        <f>IFERROR(__xludf.DUMMYFUNCTION("""COMPUTED_VALUE"""),"-55.5343075800125")</f>
        <v>-55.5343075800125</v>
      </c>
      <c r="C1279" s="66">
        <f>IFERROR(__xludf.DUMMYFUNCTION("""COMPUTED_VALUE"""),1.0)</f>
        <v>1</v>
      </c>
      <c r="D1279" s="66">
        <f>IFERROR(__xludf.DUMMYFUNCTION("""COMPUTED_VALUE"""),71.0)</f>
        <v>71</v>
      </c>
      <c r="E1279" s="66">
        <f>IFERROR(__xludf.DUMMYFUNCTION("""COMPUTED_VALUE"""),6.0)</f>
        <v>6</v>
      </c>
      <c r="F1279" s="67" t="str">
        <f>IFERROR(__xludf.DUMMYFUNCTION("""COMPUTED_VALUE"""),"https://www.google.com/maps/search/?api=1&amp;query=-30.8975139191876,-55.5343075800125")</f>
        <v>https://www.google.com/maps/search/?api=1&amp;query=-30.8975139191876,-55.5343075800125</v>
      </c>
      <c r="G1279" s="68" t="str">
        <f>IFERROR(__xludf.DUMMYFUNCTION("""COMPUTED_VALUE"""),"https://earth.google.com/web/search/-30.8975139191876,-55.5343075800125")</f>
        <v>https://earth.google.com/web/search/-30.8975139191876,-55.5343075800125</v>
      </c>
      <c r="H1279" s="64"/>
      <c r="I1279" s="64"/>
      <c r="J1279" s="64"/>
      <c r="K1279" s="64"/>
      <c r="L1279" s="64"/>
      <c r="M1279" s="64"/>
      <c r="N1279" s="64"/>
      <c r="O1279" s="64"/>
      <c r="P1279" s="64"/>
      <c r="Q1279" s="64"/>
      <c r="R1279" s="64"/>
      <c r="S1279" s="64"/>
      <c r="T1279" s="64"/>
      <c r="U1279" s="64"/>
      <c r="V1279" s="64"/>
      <c r="W1279" s="64"/>
      <c r="X1279" s="64"/>
      <c r="Y1279" s="64"/>
      <c r="Z1279" s="64"/>
    </row>
    <row r="1280">
      <c r="A1280" s="69" t="str">
        <f>IFERROR(__xludf.DUMMYFUNCTION("""COMPUTED_VALUE"""),"-30.8975066967548")</f>
        <v>-30.8975066967548</v>
      </c>
      <c r="B1280" s="61" t="str">
        <f>IFERROR(__xludf.DUMMYFUNCTION("""COMPUTED_VALUE"""),"-55.5341988989073")</f>
        <v>-55.5341988989073</v>
      </c>
      <c r="C1280" s="61">
        <f>IFERROR(__xludf.DUMMYFUNCTION("""COMPUTED_VALUE"""),1.0)</f>
        <v>1</v>
      </c>
      <c r="D1280" s="61">
        <f>IFERROR(__xludf.DUMMYFUNCTION("""COMPUTED_VALUE"""),71.0)</f>
        <v>71</v>
      </c>
      <c r="E1280" s="61">
        <f>IFERROR(__xludf.DUMMYFUNCTION("""COMPUTED_VALUE"""),7.0)</f>
        <v>7</v>
      </c>
      <c r="F1280" s="62" t="str">
        <f>IFERROR(__xludf.DUMMYFUNCTION("""COMPUTED_VALUE"""),"https://www.google.com/maps/search/?api=1&amp;query=-30.8975066967548,-55.5341988989073")</f>
        <v>https://www.google.com/maps/search/?api=1&amp;query=-30.8975066967548,-55.5341988989073</v>
      </c>
      <c r="G1280" s="63" t="str">
        <f>IFERROR(__xludf.DUMMYFUNCTION("""COMPUTED_VALUE"""),"https://earth.google.com/web/search/-30.8975066967548,-55.5341988989073")</f>
        <v>https://earth.google.com/web/search/-30.8975066967548,-55.5341988989073</v>
      </c>
      <c r="H1280" s="64"/>
      <c r="I1280" s="64"/>
      <c r="J1280" s="64"/>
      <c r="K1280" s="64"/>
      <c r="L1280" s="64"/>
      <c r="M1280" s="64"/>
      <c r="N1280" s="64"/>
      <c r="O1280" s="64"/>
      <c r="P1280" s="64"/>
      <c r="Q1280" s="64"/>
      <c r="R1280" s="64"/>
      <c r="S1280" s="64"/>
      <c r="T1280" s="64"/>
      <c r="U1280" s="64"/>
      <c r="V1280" s="64"/>
      <c r="W1280" s="64"/>
      <c r="X1280" s="64"/>
      <c r="Y1280" s="64"/>
      <c r="Z1280" s="64"/>
    </row>
    <row r="1281">
      <c r="A1281" s="65" t="str">
        <f>IFERROR(__xludf.DUMMYFUNCTION("""COMPUTED_VALUE"""),"-30.8975587718317")</f>
        <v>-30.8975587718317</v>
      </c>
      <c r="B1281" s="66" t="str">
        <f>IFERROR(__xludf.DUMMYFUNCTION("""COMPUTED_VALUE"""),"-55.5341534305832")</f>
        <v>-55.5341534305832</v>
      </c>
      <c r="C1281" s="66">
        <f>IFERROR(__xludf.DUMMYFUNCTION("""COMPUTED_VALUE"""),1.0)</f>
        <v>1</v>
      </c>
      <c r="D1281" s="66">
        <f>IFERROR(__xludf.DUMMYFUNCTION("""COMPUTED_VALUE"""),71.0)</f>
        <v>71</v>
      </c>
      <c r="E1281" s="66">
        <f>IFERROR(__xludf.DUMMYFUNCTION("""COMPUTED_VALUE"""),8.0)</f>
        <v>8</v>
      </c>
      <c r="F1281" s="67" t="str">
        <f>IFERROR(__xludf.DUMMYFUNCTION("""COMPUTED_VALUE"""),"https://www.google.com/maps/search/?api=1&amp;query=-30.8975587718317,-55.5341534305832")</f>
        <v>https://www.google.com/maps/search/?api=1&amp;query=-30.8975587718317,-55.5341534305832</v>
      </c>
      <c r="G1281" s="68" t="str">
        <f>IFERROR(__xludf.DUMMYFUNCTION("""COMPUTED_VALUE"""),"https://earth.google.com/web/search/-30.8975587718317,-55.5341534305832")</f>
        <v>https://earth.google.com/web/search/-30.8975587718317,-55.5341534305832</v>
      </c>
      <c r="H1281" s="64"/>
      <c r="I1281" s="64"/>
      <c r="J1281" s="64"/>
      <c r="K1281" s="64"/>
      <c r="L1281" s="64"/>
      <c r="M1281" s="64"/>
      <c r="N1281" s="64"/>
      <c r="O1281" s="64"/>
      <c r="P1281" s="64"/>
      <c r="Q1281" s="64"/>
      <c r="R1281" s="64"/>
      <c r="S1281" s="64"/>
      <c r="T1281" s="64"/>
      <c r="U1281" s="64"/>
      <c r="V1281" s="64"/>
      <c r="W1281" s="64"/>
      <c r="X1281" s="64"/>
      <c r="Y1281" s="64"/>
      <c r="Z1281" s="64"/>
    </row>
    <row r="1282">
      <c r="A1282" s="69" t="str">
        <f>IFERROR(__xludf.DUMMYFUNCTION("""COMPUTED_VALUE"""),"-30.8977557840184")</f>
        <v>-30.8977557840184</v>
      </c>
      <c r="B1282" s="61" t="str">
        <f>IFERROR(__xludf.DUMMYFUNCTION("""COMPUTED_VALUE"""),"-55.5341439800061")</f>
        <v>-55.5341439800061</v>
      </c>
      <c r="C1282" s="61">
        <f>IFERROR(__xludf.DUMMYFUNCTION("""COMPUTED_VALUE"""),1.0)</f>
        <v>1</v>
      </c>
      <c r="D1282" s="61">
        <f>IFERROR(__xludf.DUMMYFUNCTION("""COMPUTED_VALUE"""),71.0)</f>
        <v>71</v>
      </c>
      <c r="E1282" s="61">
        <f>IFERROR(__xludf.DUMMYFUNCTION("""COMPUTED_VALUE"""),9.0)</f>
        <v>9</v>
      </c>
      <c r="F1282" s="62" t="str">
        <f>IFERROR(__xludf.DUMMYFUNCTION("""COMPUTED_VALUE"""),"https://www.google.com/maps/search/?api=1&amp;query=-30.8977557840184,-55.5341439800061")</f>
        <v>https://www.google.com/maps/search/?api=1&amp;query=-30.8977557840184,-55.5341439800061</v>
      </c>
      <c r="G1282" s="63" t="str">
        <f>IFERROR(__xludf.DUMMYFUNCTION("""COMPUTED_VALUE"""),"https://earth.google.com/web/search/-30.8977557840184,-55.5341439800061")</f>
        <v>https://earth.google.com/web/search/-30.8977557840184,-55.5341439800061</v>
      </c>
      <c r="H1282" s="64"/>
      <c r="I1282" s="64"/>
      <c r="J1282" s="64"/>
      <c r="K1282" s="64"/>
      <c r="L1282" s="64"/>
      <c r="M1282" s="64"/>
      <c r="N1282" s="64"/>
      <c r="O1282" s="64"/>
      <c r="P1282" s="64"/>
      <c r="Q1282" s="64"/>
      <c r="R1282" s="64"/>
      <c r="S1282" s="64"/>
      <c r="T1282" s="64"/>
      <c r="U1282" s="64"/>
      <c r="V1282" s="64"/>
      <c r="W1282" s="64"/>
      <c r="X1282" s="64"/>
      <c r="Y1282" s="64"/>
      <c r="Z1282" s="64"/>
    </row>
    <row r="1283">
      <c r="A1283" s="65" t="str">
        <f>IFERROR(__xludf.DUMMYFUNCTION("""COMPUTED_VALUE"""),"-30.8978421999712")</f>
        <v>-30.8978421999712</v>
      </c>
      <c r="B1283" s="66" t="str">
        <f>IFERROR(__xludf.DUMMYFUNCTION("""COMPUTED_VALUE"""),"-55.5341345631295")</f>
        <v>-55.5341345631295</v>
      </c>
      <c r="C1283" s="66">
        <f>IFERROR(__xludf.DUMMYFUNCTION("""COMPUTED_VALUE"""),1.0)</f>
        <v>1</v>
      </c>
      <c r="D1283" s="66">
        <f>IFERROR(__xludf.DUMMYFUNCTION("""COMPUTED_VALUE"""),71.0)</f>
        <v>71</v>
      </c>
      <c r="E1283" s="66">
        <f>IFERROR(__xludf.DUMMYFUNCTION("""COMPUTED_VALUE"""),10.0)</f>
        <v>10</v>
      </c>
      <c r="F1283" s="67" t="str">
        <f>IFERROR(__xludf.DUMMYFUNCTION("""COMPUTED_VALUE"""),"https://www.google.com/maps/search/?api=1&amp;query=-30.8978421999712,-55.5341345631295")</f>
        <v>https://www.google.com/maps/search/?api=1&amp;query=-30.8978421999712,-55.5341345631295</v>
      </c>
      <c r="G1283" s="68" t="str">
        <f>IFERROR(__xludf.DUMMYFUNCTION("""COMPUTED_VALUE"""),"https://earth.google.com/web/search/-30.8978421999712,-55.5341345631295")</f>
        <v>https://earth.google.com/web/search/-30.8978421999712,-55.5341345631295</v>
      </c>
      <c r="H1283" s="64"/>
      <c r="I1283" s="64"/>
      <c r="J1283" s="64"/>
      <c r="K1283" s="64"/>
      <c r="L1283" s="64"/>
      <c r="M1283" s="64"/>
      <c r="N1283" s="64"/>
      <c r="O1283" s="64"/>
      <c r="P1283" s="64"/>
      <c r="Q1283" s="64"/>
      <c r="R1283" s="64"/>
      <c r="S1283" s="64"/>
      <c r="T1283" s="64"/>
      <c r="U1283" s="64"/>
      <c r="V1283" s="64"/>
      <c r="W1283" s="64"/>
      <c r="X1283" s="64"/>
      <c r="Y1283" s="64"/>
      <c r="Z1283" s="64"/>
    </row>
    <row r="1284">
      <c r="A1284" s="69" t="str">
        <f>IFERROR(__xludf.DUMMYFUNCTION("""COMPUTED_VALUE"""),"-30.8983565060304")</f>
        <v>-30.8983565060304</v>
      </c>
      <c r="B1284" s="61" t="str">
        <f>IFERROR(__xludf.DUMMYFUNCTION("""COMPUTED_VALUE"""),"-5.5534112265423")</f>
        <v>-5.5534112265423</v>
      </c>
      <c r="C1284" s="61">
        <f>IFERROR(__xludf.DUMMYFUNCTION("""COMPUTED_VALUE"""),1.0)</f>
        <v>1</v>
      </c>
      <c r="D1284" s="61">
        <f>IFERROR(__xludf.DUMMYFUNCTION("""COMPUTED_VALUE"""),71.0)</f>
        <v>71</v>
      </c>
      <c r="E1284" s="61">
        <f>IFERROR(__xludf.DUMMYFUNCTION("""COMPUTED_VALUE"""),11.0)</f>
        <v>11</v>
      </c>
      <c r="F1284" s="62" t="str">
        <f>IFERROR(__xludf.DUMMYFUNCTION("""COMPUTED_VALUE"""),"https://www.google.com/maps/search/?api=1&amp;query=-30.8983565060304,-5.5534112265423")</f>
        <v>https://www.google.com/maps/search/?api=1&amp;query=-30.8983565060304,-5.5534112265423</v>
      </c>
      <c r="G1284" s="63" t="str">
        <f>IFERROR(__xludf.DUMMYFUNCTION("""COMPUTED_VALUE"""),"https://earth.google.com/web/search/-30.8983565060304,-5.5534112265423")</f>
        <v>https://earth.google.com/web/search/-30.8983565060304,-5.5534112265423</v>
      </c>
      <c r="H1284" s="64"/>
      <c r="I1284" s="64"/>
      <c r="J1284" s="64"/>
      <c r="K1284" s="64"/>
      <c r="L1284" s="64"/>
      <c r="M1284" s="64"/>
      <c r="N1284" s="64"/>
      <c r="O1284" s="64"/>
      <c r="P1284" s="64"/>
      <c r="Q1284" s="64"/>
      <c r="R1284" s="64"/>
      <c r="S1284" s="64"/>
      <c r="T1284" s="64"/>
      <c r="U1284" s="64"/>
      <c r="V1284" s="64"/>
      <c r="W1284" s="64"/>
      <c r="X1284" s="64"/>
      <c r="Y1284" s="64"/>
      <c r="Z1284" s="64"/>
    </row>
    <row r="1285">
      <c r="A1285" s="65" t="str">
        <f>IFERROR(__xludf.DUMMYFUNCTION("""COMPUTED_VALUE"""),"-30.8984224753414")</f>
        <v>-30.8984224753414</v>
      </c>
      <c r="B1285" s="66" t="str">
        <f>IFERROR(__xludf.DUMMYFUNCTION("""COMPUTED_VALUE"""),"-55.5341178627253")</f>
        <v>-55.5341178627253</v>
      </c>
      <c r="C1285" s="66">
        <f>IFERROR(__xludf.DUMMYFUNCTION("""COMPUTED_VALUE"""),1.0)</f>
        <v>1</v>
      </c>
      <c r="D1285" s="66">
        <f>IFERROR(__xludf.DUMMYFUNCTION("""COMPUTED_VALUE"""),71.0)</f>
        <v>71</v>
      </c>
      <c r="E1285" s="66">
        <f>IFERROR(__xludf.DUMMYFUNCTION("""COMPUTED_VALUE"""),12.0)</f>
        <v>12</v>
      </c>
      <c r="F1285" s="67" t="str">
        <f>IFERROR(__xludf.DUMMYFUNCTION("""COMPUTED_VALUE"""),"https://www.google.com/maps/search/?api=1&amp;query=-30.8984224753414,-55.5341178627253")</f>
        <v>https://www.google.com/maps/search/?api=1&amp;query=-30.8984224753414,-55.5341178627253</v>
      </c>
      <c r="G1285" s="68" t="str">
        <f>IFERROR(__xludf.DUMMYFUNCTION("""COMPUTED_VALUE"""),"https://earth.google.com/web/search/-30.8984224753414,-55.5341178627253")</f>
        <v>https://earth.google.com/web/search/-30.8984224753414,-55.5341178627253</v>
      </c>
      <c r="H1285" s="64"/>
      <c r="I1285" s="64"/>
      <c r="J1285" s="64"/>
      <c r="K1285" s="64"/>
      <c r="L1285" s="64"/>
      <c r="M1285" s="64"/>
      <c r="N1285" s="64"/>
      <c r="O1285" s="64"/>
      <c r="P1285" s="64"/>
      <c r="Q1285" s="64"/>
      <c r="R1285" s="64"/>
      <c r="S1285" s="64"/>
      <c r="T1285" s="64"/>
      <c r="U1285" s="64"/>
      <c r="V1285" s="64"/>
      <c r="W1285" s="64"/>
      <c r="X1285" s="64"/>
      <c r="Y1285" s="64"/>
      <c r="Z1285" s="64"/>
    </row>
    <row r="1286">
      <c r="A1286" s="69" t="str">
        <f>IFERROR(__xludf.DUMMYFUNCTION("""COMPUTED_VALUE"""),"-30.8983917986173")</f>
        <v>-30.8983917986173</v>
      </c>
      <c r="B1286" s="61" t="str">
        <f>IFERROR(__xludf.DUMMYFUNCTION("""COMPUTED_VALUE"""),"-5.5534543384848")</f>
        <v>-5.5534543384848</v>
      </c>
      <c r="C1286" s="61">
        <f>IFERROR(__xludf.DUMMYFUNCTION("""COMPUTED_VALUE"""),1.0)</f>
        <v>1</v>
      </c>
      <c r="D1286" s="61">
        <f>IFERROR(__xludf.DUMMYFUNCTION("""COMPUTED_VALUE"""),71.0)</f>
        <v>71</v>
      </c>
      <c r="E1286" s="61">
        <f>IFERROR(__xludf.DUMMYFUNCTION("""COMPUTED_VALUE"""),13.0)</f>
        <v>13</v>
      </c>
      <c r="F1286" s="62" t="str">
        <f>IFERROR(__xludf.DUMMYFUNCTION("""COMPUTED_VALUE"""),"https://www.google.com/maps/search/?api=1&amp;query=-30.8983917986173,-5.5534543384848")</f>
        <v>https://www.google.com/maps/search/?api=1&amp;query=-30.8983917986173,-5.5534543384848</v>
      </c>
      <c r="G1286" s="63" t="str">
        <f>IFERROR(__xludf.DUMMYFUNCTION("""COMPUTED_VALUE"""),"https://earth.google.com/web/search/-30.8983917986173,-5.5534543384848")</f>
        <v>https://earth.google.com/web/search/-30.8983917986173,-5.5534543384848</v>
      </c>
      <c r="H1286" s="64"/>
      <c r="I1286" s="64"/>
      <c r="J1286" s="64"/>
      <c r="K1286" s="64"/>
      <c r="L1286" s="64"/>
      <c r="M1286" s="64"/>
      <c r="N1286" s="64"/>
      <c r="O1286" s="64"/>
      <c r="P1286" s="64"/>
      <c r="Q1286" s="64"/>
      <c r="R1286" s="64"/>
      <c r="S1286" s="64"/>
      <c r="T1286" s="64"/>
      <c r="U1286" s="64"/>
      <c r="V1286" s="64"/>
      <c r="W1286" s="64"/>
      <c r="X1286" s="64"/>
      <c r="Y1286" s="64"/>
      <c r="Z1286" s="64"/>
    </row>
    <row r="1287">
      <c r="A1287" s="65" t="str">
        <f>IFERROR(__xludf.DUMMYFUNCTION("""COMPUTED_VALUE"""),"-30.8983545765672")</f>
        <v>-30.8983545765672</v>
      </c>
      <c r="B1287" s="66" t="str">
        <f>IFERROR(__xludf.DUMMYFUNCTION("""COMPUTED_VALUE"""),"-55.5346163530518")</f>
        <v>-55.5346163530518</v>
      </c>
      <c r="C1287" s="66">
        <f>IFERROR(__xludf.DUMMYFUNCTION("""COMPUTED_VALUE"""),1.0)</f>
        <v>1</v>
      </c>
      <c r="D1287" s="66">
        <f>IFERROR(__xludf.DUMMYFUNCTION("""COMPUTED_VALUE"""),71.0)</f>
        <v>71</v>
      </c>
      <c r="E1287" s="66">
        <f>IFERROR(__xludf.DUMMYFUNCTION("""COMPUTED_VALUE"""),14.0)</f>
        <v>14</v>
      </c>
      <c r="F1287" s="67" t="str">
        <f>IFERROR(__xludf.DUMMYFUNCTION("""COMPUTED_VALUE"""),"https://www.google.com/maps/search/?api=1&amp;query=-30.8983545765672,-55.5346163530518")</f>
        <v>https://www.google.com/maps/search/?api=1&amp;query=-30.8983545765672,-55.5346163530518</v>
      </c>
      <c r="G1287" s="68" t="str">
        <f>IFERROR(__xludf.DUMMYFUNCTION("""COMPUTED_VALUE"""),"https://earth.google.com/web/search/-30.8983545765672,-55.5346163530518")</f>
        <v>https://earth.google.com/web/search/-30.8983545765672,-55.5346163530518</v>
      </c>
      <c r="H1287" s="64"/>
      <c r="I1287" s="64"/>
      <c r="J1287" s="64"/>
      <c r="K1287" s="64"/>
      <c r="L1287" s="64"/>
      <c r="M1287" s="64"/>
      <c r="N1287" s="64"/>
      <c r="O1287" s="64"/>
      <c r="P1287" s="64"/>
      <c r="Q1287" s="64"/>
      <c r="R1287" s="64"/>
      <c r="S1287" s="64"/>
      <c r="T1287" s="64"/>
      <c r="U1287" s="64"/>
      <c r="V1287" s="64"/>
      <c r="W1287" s="64"/>
      <c r="X1287" s="64"/>
      <c r="Y1287" s="64"/>
      <c r="Z1287" s="64"/>
    </row>
    <row r="1288">
      <c r="A1288" s="69" t="str">
        <f>IFERROR(__xludf.DUMMYFUNCTION("""COMPUTED_VALUE"""),"-30.8976032502176")</f>
        <v>-30.8976032502176</v>
      </c>
      <c r="B1288" s="61" t="str">
        <f>IFERROR(__xludf.DUMMYFUNCTION("""COMPUTED_VALUE"""),"-55.5356559330046")</f>
        <v>-55.5356559330046</v>
      </c>
      <c r="C1288" s="61">
        <f>IFERROR(__xludf.DUMMYFUNCTION("""COMPUTED_VALUE"""),1.0)</f>
        <v>1</v>
      </c>
      <c r="D1288" s="61">
        <f>IFERROR(__xludf.DUMMYFUNCTION("""COMPUTED_VALUE"""),70.0)</f>
        <v>70</v>
      </c>
      <c r="E1288" s="61">
        <f>IFERROR(__xludf.DUMMYFUNCTION("""COMPUTED_VALUE"""),1.0)</f>
        <v>1</v>
      </c>
      <c r="F1288" s="62" t="str">
        <f>IFERROR(__xludf.DUMMYFUNCTION("""COMPUTED_VALUE"""),"https://www.google.com/maps/search/?api=1&amp;query=-30.8976032502176,-55.5356559330046")</f>
        <v>https://www.google.com/maps/search/?api=1&amp;query=-30.8976032502176,-55.5356559330046</v>
      </c>
      <c r="G1288" s="63" t="str">
        <f>IFERROR(__xludf.DUMMYFUNCTION("""COMPUTED_VALUE"""),"https://earth.google.com/web/search/-30.8976032502176,-55.5356559330046")</f>
        <v>https://earth.google.com/web/search/-30.8976032502176,-55.5356559330046</v>
      </c>
      <c r="H1288" s="64"/>
      <c r="I1288" s="64"/>
      <c r="J1288" s="64"/>
      <c r="K1288" s="64"/>
      <c r="L1288" s="64"/>
      <c r="M1288" s="64"/>
      <c r="N1288" s="64"/>
      <c r="O1288" s="64"/>
      <c r="P1288" s="64"/>
      <c r="Q1288" s="64"/>
      <c r="R1288" s="64"/>
      <c r="S1288" s="64"/>
      <c r="T1288" s="64"/>
      <c r="U1288" s="64"/>
      <c r="V1288" s="64"/>
      <c r="W1288" s="64"/>
      <c r="X1288" s="64"/>
      <c r="Y1288" s="64"/>
      <c r="Z1288" s="64"/>
    </row>
    <row r="1289">
      <c r="A1289" s="65" t="str">
        <f>IFERROR(__xludf.DUMMYFUNCTION("""COMPUTED_VALUE"""),"-30.8973640633851")</f>
        <v>-30.8973640633851</v>
      </c>
      <c r="B1289" s="66" t="str">
        <f>IFERROR(__xludf.DUMMYFUNCTION("""COMPUTED_VALUE"""),"-55.5354837131276")</f>
        <v>-55.5354837131276</v>
      </c>
      <c r="C1289" s="66">
        <f>IFERROR(__xludf.DUMMYFUNCTION("""COMPUTED_VALUE"""),1.0)</f>
        <v>1</v>
      </c>
      <c r="D1289" s="66">
        <f>IFERROR(__xludf.DUMMYFUNCTION("""COMPUTED_VALUE"""),70.0)</f>
        <v>70</v>
      </c>
      <c r="E1289" s="66">
        <f>IFERROR(__xludf.DUMMYFUNCTION("""COMPUTED_VALUE"""),2.0)</f>
        <v>2</v>
      </c>
      <c r="F1289" s="67" t="str">
        <f>IFERROR(__xludf.DUMMYFUNCTION("""COMPUTED_VALUE"""),"https://www.google.com/maps/search/?api=1&amp;query=-30.8973640633851,-55.5354837131276")</f>
        <v>https://www.google.com/maps/search/?api=1&amp;query=-30.8973640633851,-55.5354837131276</v>
      </c>
      <c r="G1289" s="68" t="str">
        <f>IFERROR(__xludf.DUMMYFUNCTION("""COMPUTED_VALUE"""),"https://earth.google.com/web/search/-30.8973640633851,-55.5354837131276")</f>
        <v>https://earth.google.com/web/search/-30.8973640633851,-55.5354837131276</v>
      </c>
      <c r="H1289" s="64"/>
      <c r="I1289" s="64"/>
      <c r="J1289" s="64"/>
      <c r="K1289" s="64"/>
      <c r="L1289" s="64"/>
      <c r="M1289" s="64"/>
      <c r="N1289" s="64"/>
      <c r="O1289" s="64"/>
      <c r="P1289" s="64"/>
      <c r="Q1289" s="64"/>
      <c r="R1289" s="64"/>
      <c r="S1289" s="64"/>
      <c r="T1289" s="64"/>
      <c r="U1289" s="64"/>
      <c r="V1289" s="64"/>
      <c r="W1289" s="64"/>
      <c r="X1289" s="64"/>
      <c r="Y1289" s="64"/>
      <c r="Z1289" s="64"/>
    </row>
    <row r="1290">
      <c r="A1290" s="69" t="str">
        <f>IFERROR(__xludf.DUMMYFUNCTION("""COMPUTED_VALUE"""),"-30.8972664050307")</f>
        <v>-30.8972664050307</v>
      </c>
      <c r="B1290" s="61" t="str">
        <f>IFERROR(__xludf.DUMMYFUNCTION("""COMPUTED_VALUE"""),"-55.5347036060514")</f>
        <v>-55.5347036060514</v>
      </c>
      <c r="C1290" s="61">
        <f>IFERROR(__xludf.DUMMYFUNCTION("""COMPUTED_VALUE"""),1.0)</f>
        <v>1</v>
      </c>
      <c r="D1290" s="61">
        <f>IFERROR(__xludf.DUMMYFUNCTION("""COMPUTED_VALUE"""),70.0)</f>
        <v>70</v>
      </c>
      <c r="E1290" s="61">
        <f>IFERROR(__xludf.DUMMYFUNCTION("""COMPUTED_VALUE"""),3.0)</f>
        <v>3</v>
      </c>
      <c r="F1290" s="62" t="str">
        <f>IFERROR(__xludf.DUMMYFUNCTION("""COMPUTED_VALUE"""),"https://www.google.com/maps/search/?api=1&amp;query=-30.8972664050307,-55.5347036060514")</f>
        <v>https://www.google.com/maps/search/?api=1&amp;query=-30.8972664050307,-55.5347036060514</v>
      </c>
      <c r="G1290" s="63" t="str">
        <f>IFERROR(__xludf.DUMMYFUNCTION("""COMPUTED_VALUE"""),"https://earth.google.com/web/search/-30.8972664050307,-55.5347036060514")</f>
        <v>https://earth.google.com/web/search/-30.8972664050307,-55.5347036060514</v>
      </c>
      <c r="H1290" s="64"/>
      <c r="I1290" s="64"/>
      <c r="J1290" s="64"/>
      <c r="K1290" s="64"/>
      <c r="L1290" s="64"/>
      <c r="M1290" s="64"/>
      <c r="N1290" s="64"/>
      <c r="O1290" s="64"/>
      <c r="P1290" s="64"/>
      <c r="Q1290" s="64"/>
      <c r="R1290" s="64"/>
      <c r="S1290" s="64"/>
      <c r="T1290" s="64"/>
      <c r="U1290" s="64"/>
      <c r="V1290" s="64"/>
      <c r="W1290" s="64"/>
      <c r="X1290" s="64"/>
      <c r="Y1290" s="64"/>
      <c r="Z1290" s="64"/>
    </row>
    <row r="1291">
      <c r="A1291" s="65" t="str">
        <f>IFERROR(__xludf.DUMMYFUNCTION("""COMPUTED_VALUE"""),"-30.8974564500204")</f>
        <v>-30.8974564500204</v>
      </c>
      <c r="B1291" s="66" t="str">
        <f>IFERROR(__xludf.DUMMYFUNCTION("""COMPUTED_VALUE"""),"-55.5343867290987")</f>
        <v>-55.5343867290987</v>
      </c>
      <c r="C1291" s="66">
        <f>IFERROR(__xludf.DUMMYFUNCTION("""COMPUTED_VALUE"""),1.0)</f>
        <v>1</v>
      </c>
      <c r="D1291" s="66">
        <f>IFERROR(__xludf.DUMMYFUNCTION("""COMPUTED_VALUE"""),70.0)</f>
        <v>70</v>
      </c>
      <c r="E1291" s="66">
        <f>IFERROR(__xludf.DUMMYFUNCTION("""COMPUTED_VALUE"""),4.0)</f>
        <v>4</v>
      </c>
      <c r="F1291" s="67" t="str">
        <f>IFERROR(__xludf.DUMMYFUNCTION("""COMPUTED_VALUE"""),"https://www.google.com/maps/search/?api=1&amp;query=-30.8974564500204,-55.5343867290987")</f>
        <v>https://www.google.com/maps/search/?api=1&amp;query=-30.8974564500204,-55.5343867290987</v>
      </c>
      <c r="G1291" s="68" t="str">
        <f>IFERROR(__xludf.DUMMYFUNCTION("""COMPUTED_VALUE"""),"https://earth.google.com/web/search/-30.8974564500204,-55.5343867290987")</f>
        <v>https://earth.google.com/web/search/-30.8974564500204,-55.5343867290987</v>
      </c>
      <c r="H1291" s="64"/>
      <c r="I1291" s="64"/>
      <c r="J1291" s="64"/>
      <c r="K1291" s="64"/>
      <c r="L1291" s="64"/>
      <c r="M1291" s="64"/>
      <c r="N1291" s="64"/>
      <c r="O1291" s="64"/>
      <c r="P1291" s="64"/>
      <c r="Q1291" s="64"/>
      <c r="R1291" s="64"/>
      <c r="S1291" s="64"/>
      <c r="T1291" s="64"/>
      <c r="U1291" s="64"/>
      <c r="V1291" s="64"/>
      <c r="W1291" s="64"/>
      <c r="X1291" s="64"/>
      <c r="Y1291" s="64"/>
      <c r="Z1291" s="64"/>
    </row>
    <row r="1292">
      <c r="A1292" s="69" t="str">
        <f>IFERROR(__xludf.DUMMYFUNCTION("""COMPUTED_VALUE"""),"-30.8975321940784")</f>
        <v>-30.8975321940784</v>
      </c>
      <c r="B1292" s="61" t="str">
        <f>IFERROR(__xludf.DUMMYFUNCTION("""COMPUTED_VALUE"""),"-55.5344207788466")</f>
        <v>-55.5344207788466</v>
      </c>
      <c r="C1292" s="61">
        <f>IFERROR(__xludf.DUMMYFUNCTION("""COMPUTED_VALUE"""),1.0)</f>
        <v>1</v>
      </c>
      <c r="D1292" s="61">
        <f>IFERROR(__xludf.DUMMYFUNCTION("""COMPUTED_VALUE"""),70.0)</f>
        <v>70</v>
      </c>
      <c r="E1292" s="61">
        <f>IFERROR(__xludf.DUMMYFUNCTION("""COMPUTED_VALUE"""),5.0)</f>
        <v>5</v>
      </c>
      <c r="F1292" s="62" t="str">
        <f>IFERROR(__xludf.DUMMYFUNCTION("""COMPUTED_VALUE"""),"https://www.google.com/maps/search/?api=1&amp;query=-30.8975321940784,-55.5344207788466")</f>
        <v>https://www.google.com/maps/search/?api=1&amp;query=-30.8975321940784,-55.5344207788466</v>
      </c>
      <c r="G1292" s="63" t="str">
        <f>IFERROR(__xludf.DUMMYFUNCTION("""COMPUTED_VALUE"""),"https://earth.google.com/web/search/-30.8975321940784,-55.5344207788466")</f>
        <v>https://earth.google.com/web/search/-30.8975321940784,-55.5344207788466</v>
      </c>
      <c r="H1292" s="64"/>
      <c r="I1292" s="64"/>
      <c r="J1292" s="64"/>
      <c r="K1292" s="64"/>
      <c r="L1292" s="64"/>
      <c r="M1292" s="64"/>
      <c r="N1292" s="64"/>
      <c r="O1292" s="64"/>
      <c r="P1292" s="64"/>
      <c r="Q1292" s="64"/>
      <c r="R1292" s="64"/>
      <c r="S1292" s="64"/>
      <c r="T1292" s="64"/>
      <c r="U1292" s="64"/>
      <c r="V1292" s="64"/>
      <c r="W1292" s="64"/>
      <c r="X1292" s="64"/>
      <c r="Y1292" s="64"/>
      <c r="Z1292" s="64"/>
    </row>
    <row r="1293">
      <c r="A1293" s="65" t="str">
        <f>IFERROR(__xludf.DUMMYFUNCTION("""COMPUTED_VALUE"""),"-30.8975826561179")</f>
        <v>-30.8975826561179</v>
      </c>
      <c r="B1293" s="66" t="str">
        <f>IFERROR(__xludf.DUMMYFUNCTION("""COMPUTED_VALUE"""),"-55.5344560309318")</f>
        <v>-55.5344560309318</v>
      </c>
      <c r="C1293" s="66">
        <f>IFERROR(__xludf.DUMMYFUNCTION("""COMPUTED_VALUE"""),1.0)</f>
        <v>1</v>
      </c>
      <c r="D1293" s="66">
        <f>IFERROR(__xludf.DUMMYFUNCTION("""COMPUTED_VALUE"""),70.0)</f>
        <v>70</v>
      </c>
      <c r="E1293" s="66">
        <f>IFERROR(__xludf.DUMMYFUNCTION("""COMPUTED_VALUE"""),6.0)</f>
        <v>6</v>
      </c>
      <c r="F1293" s="67" t="str">
        <f>IFERROR(__xludf.DUMMYFUNCTION("""COMPUTED_VALUE"""),"https://www.google.com/maps/search/?api=1&amp;query=-30.8975826561179,-55.5344560309318")</f>
        <v>https://www.google.com/maps/search/?api=1&amp;query=-30.8975826561179,-55.5344560309318</v>
      </c>
      <c r="G1293" s="68" t="str">
        <f>IFERROR(__xludf.DUMMYFUNCTION("""COMPUTED_VALUE"""),"https://earth.google.com/web/search/-30.8975826561179,-55.5344560309318")</f>
        <v>https://earth.google.com/web/search/-30.8975826561179,-55.5344560309318</v>
      </c>
      <c r="H1293" s="64"/>
      <c r="I1293" s="64"/>
      <c r="J1293" s="64"/>
      <c r="K1293" s="64"/>
      <c r="L1293" s="64"/>
      <c r="M1293" s="64"/>
      <c r="N1293" s="64"/>
      <c r="O1293" s="64"/>
      <c r="P1293" s="64"/>
      <c r="Q1293" s="64"/>
      <c r="R1293" s="64"/>
      <c r="S1293" s="64"/>
      <c r="T1293" s="64"/>
      <c r="U1293" s="64"/>
      <c r="V1293" s="64"/>
      <c r="W1293" s="64"/>
      <c r="X1293" s="64"/>
      <c r="Y1293" s="64"/>
      <c r="Z1293" s="64"/>
    </row>
    <row r="1294">
      <c r="A1294" s="69" t="str">
        <f>IFERROR(__xludf.DUMMYFUNCTION("""COMPUTED_VALUE"""),"-30.8977586815096")</f>
        <v>-30.8977586815096</v>
      </c>
      <c r="B1294" s="61" t="str">
        <f>IFERROR(__xludf.DUMMYFUNCTION("""COMPUTED_VALUE"""),"-55.5346220390392")</f>
        <v>-55.5346220390392</v>
      </c>
      <c r="C1294" s="61">
        <f>IFERROR(__xludf.DUMMYFUNCTION("""COMPUTED_VALUE"""),1.0)</f>
        <v>1</v>
      </c>
      <c r="D1294" s="61">
        <f>IFERROR(__xludf.DUMMYFUNCTION("""COMPUTED_VALUE"""),70.0)</f>
        <v>70</v>
      </c>
      <c r="E1294" s="61">
        <f>IFERROR(__xludf.DUMMYFUNCTION("""COMPUTED_VALUE"""),7.0)</f>
        <v>7</v>
      </c>
      <c r="F1294" s="62" t="str">
        <f>IFERROR(__xludf.DUMMYFUNCTION("""COMPUTED_VALUE"""),"https://www.google.com/maps/search/?api=1&amp;query=-30.8977586815096,-55.5346220390392")</f>
        <v>https://www.google.com/maps/search/?api=1&amp;query=-30.8977586815096,-55.5346220390392</v>
      </c>
      <c r="G1294" s="63" t="str">
        <f>IFERROR(__xludf.DUMMYFUNCTION("""COMPUTED_VALUE"""),"https://earth.google.com/web/search/-30.8977586815096,-55.5346220390392")</f>
        <v>https://earth.google.com/web/search/-30.8977586815096,-55.5346220390392</v>
      </c>
      <c r="H1294" s="64"/>
      <c r="I1294" s="64"/>
      <c r="J1294" s="64"/>
      <c r="K1294" s="64"/>
      <c r="L1294" s="64"/>
      <c r="M1294" s="64"/>
      <c r="N1294" s="64"/>
      <c r="O1294" s="64"/>
      <c r="P1294" s="64"/>
      <c r="Q1294" s="64"/>
      <c r="R1294" s="64"/>
      <c r="S1294" s="64"/>
      <c r="T1294" s="64"/>
      <c r="U1294" s="64"/>
      <c r="V1294" s="64"/>
      <c r="W1294" s="64"/>
      <c r="X1294" s="64"/>
      <c r="Y1294" s="64"/>
      <c r="Z1294" s="64"/>
    </row>
    <row r="1295">
      <c r="A1295" s="65" t="str">
        <f>IFERROR(__xludf.DUMMYFUNCTION("""COMPUTED_VALUE"""),"-3.0897835842508")</f>
        <v>-3.0897835842508</v>
      </c>
      <c r="B1295" s="66" t="str">
        <f>IFERROR(__xludf.DUMMYFUNCTION("""COMPUTED_VALUE"""),"-55.5346789952664")</f>
        <v>-55.5346789952664</v>
      </c>
      <c r="C1295" s="66">
        <f>IFERROR(__xludf.DUMMYFUNCTION("""COMPUTED_VALUE"""),1.0)</f>
        <v>1</v>
      </c>
      <c r="D1295" s="66">
        <f>IFERROR(__xludf.DUMMYFUNCTION("""COMPUTED_VALUE"""),70.0)</f>
        <v>70</v>
      </c>
      <c r="E1295" s="66">
        <f>IFERROR(__xludf.DUMMYFUNCTION("""COMPUTED_VALUE"""),8.0)</f>
        <v>8</v>
      </c>
      <c r="F1295" s="67" t="str">
        <f>IFERROR(__xludf.DUMMYFUNCTION("""COMPUTED_VALUE"""),"https://www.google.com/maps/search/?api=1&amp;query=-3.0897835842508,-55.5346789952664")</f>
        <v>https://www.google.com/maps/search/?api=1&amp;query=-3.0897835842508,-55.5346789952664</v>
      </c>
      <c r="G1295" s="68" t="str">
        <f>IFERROR(__xludf.DUMMYFUNCTION("""COMPUTED_VALUE"""),"https://earth.google.com/web/search/-3.0897835842508,-55.5346789952664")</f>
        <v>https://earth.google.com/web/search/-3.0897835842508,-55.5346789952664</v>
      </c>
      <c r="H1295" s="64"/>
      <c r="I1295" s="64"/>
      <c r="J1295" s="64"/>
      <c r="K1295" s="64"/>
      <c r="L1295" s="64"/>
      <c r="M1295" s="64"/>
      <c r="N1295" s="64"/>
      <c r="O1295" s="64"/>
      <c r="P1295" s="64"/>
      <c r="Q1295" s="64"/>
      <c r="R1295" s="64"/>
      <c r="S1295" s="64"/>
      <c r="T1295" s="64"/>
      <c r="U1295" s="64"/>
      <c r="V1295" s="64"/>
      <c r="W1295" s="64"/>
      <c r="X1295" s="64"/>
      <c r="Y1295" s="64"/>
      <c r="Z1295" s="64"/>
    </row>
    <row r="1296">
      <c r="A1296" s="69" t="str">
        <f>IFERROR(__xludf.DUMMYFUNCTION("""COMPUTED_VALUE"""),"-30.8978970432966")</f>
        <v>-30.8978970432966</v>
      </c>
      <c r="B1296" s="61" t="str">
        <f>IFERROR(__xludf.DUMMYFUNCTION("""COMPUTED_VALUE"""),"-55.5347320625235")</f>
        <v>-55.5347320625235</v>
      </c>
      <c r="C1296" s="61">
        <f>IFERROR(__xludf.DUMMYFUNCTION("""COMPUTED_VALUE"""),1.0)</f>
        <v>1</v>
      </c>
      <c r="D1296" s="61">
        <f>IFERROR(__xludf.DUMMYFUNCTION("""COMPUTED_VALUE"""),70.0)</f>
        <v>70</v>
      </c>
      <c r="E1296" s="61">
        <f>IFERROR(__xludf.DUMMYFUNCTION("""COMPUTED_VALUE"""),9.0)</f>
        <v>9</v>
      </c>
      <c r="F1296" s="62" t="str">
        <f>IFERROR(__xludf.DUMMYFUNCTION("""COMPUTED_VALUE"""),"https://www.google.com/maps/search/?api=1&amp;query=-30.8978970432966,-55.5347320625235")</f>
        <v>https://www.google.com/maps/search/?api=1&amp;query=-30.8978970432966,-55.5347320625235</v>
      </c>
      <c r="G1296" s="63" t="str">
        <f>IFERROR(__xludf.DUMMYFUNCTION("""COMPUTED_VALUE"""),"https://earth.google.com/web/search/-30.8978970432966,-55.5347320625235")</f>
        <v>https://earth.google.com/web/search/-30.8978970432966,-55.5347320625235</v>
      </c>
      <c r="H1296" s="64"/>
      <c r="I1296" s="64"/>
      <c r="J1296" s="64"/>
      <c r="K1296" s="64"/>
      <c r="L1296" s="64"/>
      <c r="M1296" s="64"/>
      <c r="N1296" s="64"/>
      <c r="O1296" s="64"/>
      <c r="P1296" s="64"/>
      <c r="Q1296" s="64"/>
      <c r="R1296" s="64"/>
      <c r="S1296" s="64"/>
      <c r="T1296" s="64"/>
      <c r="U1296" s="64"/>
      <c r="V1296" s="64"/>
      <c r="W1296" s="64"/>
      <c r="X1296" s="64"/>
      <c r="Y1296" s="64"/>
      <c r="Z1296" s="64"/>
    </row>
    <row r="1297">
      <c r="A1297" s="65" t="str">
        <f>IFERROR(__xludf.DUMMYFUNCTION("""COMPUTED_VALUE"""),"-30.8979380202661")</f>
        <v>-30.8979380202661</v>
      </c>
      <c r="B1297" s="66" t="str">
        <f>IFERROR(__xludf.DUMMYFUNCTION("""COMPUTED_VALUE"""),"-55.5347729263218")</f>
        <v>-55.5347729263218</v>
      </c>
      <c r="C1297" s="66">
        <f>IFERROR(__xludf.DUMMYFUNCTION("""COMPUTED_VALUE"""),1.0)</f>
        <v>1</v>
      </c>
      <c r="D1297" s="66">
        <f>IFERROR(__xludf.DUMMYFUNCTION("""COMPUTED_VALUE"""),70.0)</f>
        <v>70</v>
      </c>
      <c r="E1297" s="66">
        <f>IFERROR(__xludf.DUMMYFUNCTION("""COMPUTED_VALUE"""),10.0)</f>
        <v>10</v>
      </c>
      <c r="F1297" s="67" t="str">
        <f>IFERROR(__xludf.DUMMYFUNCTION("""COMPUTED_VALUE"""),"https://www.google.com/maps/search/?api=1&amp;query=-30.8979380202661,-55.5347729263218")</f>
        <v>https://www.google.com/maps/search/?api=1&amp;query=-30.8979380202661,-55.5347729263218</v>
      </c>
      <c r="G1297" s="68" t="str">
        <f>IFERROR(__xludf.DUMMYFUNCTION("""COMPUTED_VALUE"""),"https://earth.google.com/web/search/-30.8979380202661,-55.5347729263218")</f>
        <v>https://earth.google.com/web/search/-30.8979380202661,-55.5347729263218</v>
      </c>
      <c r="H1297" s="64"/>
      <c r="I1297" s="64"/>
      <c r="J1297" s="64"/>
      <c r="K1297" s="64"/>
      <c r="L1297" s="64"/>
      <c r="M1297" s="64"/>
      <c r="N1297" s="64"/>
      <c r="O1297" s="64"/>
      <c r="P1297" s="64"/>
      <c r="Q1297" s="64"/>
      <c r="R1297" s="64"/>
      <c r="S1297" s="64"/>
      <c r="T1297" s="64"/>
      <c r="U1297" s="64"/>
      <c r="V1297" s="64"/>
      <c r="W1297" s="64"/>
      <c r="X1297" s="64"/>
      <c r="Y1297" s="64"/>
      <c r="Z1297" s="64"/>
    </row>
    <row r="1298">
      <c r="A1298" s="69" t="str">
        <f>IFERROR(__xludf.DUMMYFUNCTION("""COMPUTED_VALUE"""),"-3.0898030554729")</f>
        <v>-3.0898030554729</v>
      </c>
      <c r="B1298" s="61" t="str">
        <f>IFERROR(__xludf.DUMMYFUNCTION("""COMPUTED_VALUE"""),"-55.5348256229602")</f>
        <v>-55.5348256229602</v>
      </c>
      <c r="C1298" s="61">
        <f>IFERROR(__xludf.DUMMYFUNCTION("""COMPUTED_VALUE"""),1.0)</f>
        <v>1</v>
      </c>
      <c r="D1298" s="61">
        <f>IFERROR(__xludf.DUMMYFUNCTION("""COMPUTED_VALUE"""),70.0)</f>
        <v>70</v>
      </c>
      <c r="E1298" s="61">
        <f>IFERROR(__xludf.DUMMYFUNCTION("""COMPUTED_VALUE"""),11.0)</f>
        <v>11</v>
      </c>
      <c r="F1298" s="62" t="str">
        <f>IFERROR(__xludf.DUMMYFUNCTION("""COMPUTED_VALUE"""),"https://www.google.com/maps/search/?api=1&amp;query=-3.0898030554729,-55.5348256229602")</f>
        <v>https://www.google.com/maps/search/?api=1&amp;query=-3.0898030554729,-55.5348256229602</v>
      </c>
      <c r="G1298" s="63" t="str">
        <f>IFERROR(__xludf.DUMMYFUNCTION("""COMPUTED_VALUE"""),"https://earth.google.com/web/search/-3.0898030554729,-55.5348256229602")</f>
        <v>https://earth.google.com/web/search/-3.0898030554729,-55.5348256229602</v>
      </c>
      <c r="H1298" s="64"/>
      <c r="I1298" s="64"/>
      <c r="J1298" s="64"/>
      <c r="K1298" s="64"/>
      <c r="L1298" s="64"/>
      <c r="M1298" s="64"/>
      <c r="N1298" s="64"/>
      <c r="O1298" s="64"/>
      <c r="P1298" s="64"/>
      <c r="Q1298" s="64"/>
      <c r="R1298" s="64"/>
      <c r="S1298" s="64"/>
      <c r="T1298" s="64"/>
      <c r="U1298" s="64"/>
      <c r="V1298" s="64"/>
      <c r="W1298" s="64"/>
      <c r="X1298" s="64"/>
      <c r="Y1298" s="64"/>
      <c r="Z1298" s="64"/>
    </row>
    <row r="1299">
      <c r="A1299" s="65" t="str">
        <f>IFERROR(__xludf.DUMMYFUNCTION("""COMPUTED_VALUE"""),"-30.8981201938317")</f>
        <v>-30.8981201938317</v>
      </c>
      <c r="B1299" s="66" t="str">
        <f>IFERROR(__xludf.DUMMYFUNCTION("""COMPUTED_VALUE"""),"-55.5348999097782")</f>
        <v>-55.5348999097782</v>
      </c>
      <c r="C1299" s="66">
        <f>IFERROR(__xludf.DUMMYFUNCTION("""COMPUTED_VALUE"""),1.0)</f>
        <v>1</v>
      </c>
      <c r="D1299" s="66">
        <f>IFERROR(__xludf.DUMMYFUNCTION("""COMPUTED_VALUE"""),70.0)</f>
        <v>70</v>
      </c>
      <c r="E1299" s="66">
        <f>IFERROR(__xludf.DUMMYFUNCTION("""COMPUTED_VALUE"""),12.0)</f>
        <v>12</v>
      </c>
      <c r="F1299" s="67" t="str">
        <f>IFERROR(__xludf.DUMMYFUNCTION("""COMPUTED_VALUE"""),"https://www.google.com/maps/search/?api=1&amp;query=-30.8981201938317,-55.5348999097782")</f>
        <v>https://www.google.com/maps/search/?api=1&amp;query=-30.8981201938317,-55.5348999097782</v>
      </c>
      <c r="G1299" s="68" t="str">
        <f>IFERROR(__xludf.DUMMYFUNCTION("""COMPUTED_VALUE"""),"https://earth.google.com/web/search/-30.8981201938317,-55.5348999097782")</f>
        <v>https://earth.google.com/web/search/-30.8981201938317,-55.5348999097782</v>
      </c>
      <c r="H1299" s="64"/>
      <c r="I1299" s="64"/>
      <c r="J1299" s="64"/>
      <c r="K1299" s="64"/>
      <c r="L1299" s="64"/>
      <c r="M1299" s="64"/>
      <c r="N1299" s="64"/>
      <c r="O1299" s="64"/>
      <c r="P1299" s="64"/>
      <c r="Q1299" s="64"/>
      <c r="R1299" s="64"/>
      <c r="S1299" s="64"/>
      <c r="T1299" s="64"/>
      <c r="U1299" s="64"/>
      <c r="V1299" s="64"/>
      <c r="W1299" s="64"/>
      <c r="X1299" s="64"/>
      <c r="Y1299" s="64"/>
      <c r="Z1299" s="64"/>
    </row>
    <row r="1300">
      <c r="A1300" s="69" t="str">
        <f>IFERROR(__xludf.DUMMYFUNCTION("""COMPUTED_VALUE"""),"-30.8981461341677")</f>
        <v>-30.8981461341677</v>
      </c>
      <c r="B1300" s="61" t="str">
        <f>IFERROR(__xludf.DUMMYFUNCTION("""COMPUTED_VALUE"""),"-55.5350055604747")</f>
        <v>-55.5350055604747</v>
      </c>
      <c r="C1300" s="61">
        <f>IFERROR(__xludf.DUMMYFUNCTION("""COMPUTED_VALUE"""),1.0)</f>
        <v>1</v>
      </c>
      <c r="D1300" s="61">
        <f>IFERROR(__xludf.DUMMYFUNCTION("""COMPUTED_VALUE"""),70.0)</f>
        <v>70</v>
      </c>
      <c r="E1300" s="61">
        <f>IFERROR(__xludf.DUMMYFUNCTION("""COMPUTED_VALUE"""),13.0)</f>
        <v>13</v>
      </c>
      <c r="F1300" s="62" t="str">
        <f>IFERROR(__xludf.DUMMYFUNCTION("""COMPUTED_VALUE"""),"https://www.google.com/maps/search/?api=1&amp;query=-30.8981461341677,-55.5350055604747")</f>
        <v>https://www.google.com/maps/search/?api=1&amp;query=-30.8981461341677,-55.5350055604747</v>
      </c>
      <c r="G1300" s="63" t="str">
        <f>IFERROR(__xludf.DUMMYFUNCTION("""COMPUTED_VALUE"""),"https://earth.google.com/web/search/-30.8981461341677,-55.5350055604747")</f>
        <v>https://earth.google.com/web/search/-30.8981461341677,-55.5350055604747</v>
      </c>
      <c r="H1300" s="64"/>
      <c r="I1300" s="64"/>
      <c r="J1300" s="64"/>
      <c r="K1300" s="64"/>
      <c r="L1300" s="64"/>
      <c r="M1300" s="64"/>
      <c r="N1300" s="64"/>
      <c r="O1300" s="64"/>
      <c r="P1300" s="64"/>
      <c r="Q1300" s="64"/>
      <c r="R1300" s="64"/>
      <c r="S1300" s="64"/>
      <c r="T1300" s="64"/>
      <c r="U1300" s="64"/>
      <c r="V1300" s="64"/>
      <c r="W1300" s="64"/>
      <c r="X1300" s="64"/>
      <c r="Y1300" s="64"/>
      <c r="Z1300" s="64"/>
    </row>
    <row r="1301">
      <c r="A1301" s="65" t="str">
        <f>IFERROR(__xludf.DUMMYFUNCTION("""COMPUTED_VALUE"""),"-30.8980657889298")</f>
        <v>-30.8980657889298</v>
      </c>
      <c r="B1301" s="66" t="str">
        <f>IFERROR(__xludf.DUMMYFUNCTION("""COMPUTED_VALUE"""),"-5.5535117173157")</f>
        <v>-5.5535117173157</v>
      </c>
      <c r="C1301" s="66">
        <f>IFERROR(__xludf.DUMMYFUNCTION("""COMPUTED_VALUE"""),1.0)</f>
        <v>1</v>
      </c>
      <c r="D1301" s="66">
        <f>IFERROR(__xludf.DUMMYFUNCTION("""COMPUTED_VALUE"""),70.0)</f>
        <v>70</v>
      </c>
      <c r="E1301" s="66">
        <f>IFERROR(__xludf.DUMMYFUNCTION("""COMPUTED_VALUE"""),14.0)</f>
        <v>14</v>
      </c>
      <c r="F1301" s="67" t="str">
        <f>IFERROR(__xludf.DUMMYFUNCTION("""COMPUTED_VALUE"""),"https://www.google.com/maps/search/?api=1&amp;query=-30.8980657889298,-5.5535117173157")</f>
        <v>https://www.google.com/maps/search/?api=1&amp;query=-30.8980657889298,-5.5535117173157</v>
      </c>
      <c r="G1301" s="68" t="str">
        <f>IFERROR(__xludf.DUMMYFUNCTION("""COMPUTED_VALUE"""),"https://earth.google.com/web/search/-30.8980657889298,-5.5535117173157")</f>
        <v>https://earth.google.com/web/search/-30.8980657889298,-5.5535117173157</v>
      </c>
      <c r="H1301" s="64"/>
      <c r="I1301" s="64"/>
      <c r="J1301" s="64"/>
      <c r="K1301" s="64"/>
      <c r="L1301" s="64"/>
      <c r="M1301" s="64"/>
      <c r="N1301" s="64"/>
      <c r="O1301" s="64"/>
      <c r="P1301" s="64"/>
      <c r="Q1301" s="64"/>
      <c r="R1301" s="64"/>
      <c r="S1301" s="64"/>
      <c r="T1301" s="64"/>
      <c r="U1301" s="64"/>
      <c r="V1301" s="64"/>
      <c r="W1301" s="64"/>
      <c r="X1301" s="64"/>
      <c r="Y1301" s="64"/>
      <c r="Z1301" s="64"/>
    </row>
    <row r="1302">
      <c r="A1302" s="69" t="str">
        <f>IFERROR(__xludf.DUMMYFUNCTION("""COMPUTED_VALUE"""),"-30.8980336359404")</f>
        <v>-30.8980336359404</v>
      </c>
      <c r="B1302" s="61" t="str">
        <f>IFERROR(__xludf.DUMMYFUNCTION("""COMPUTED_VALUE"""),"-55.5351996348498")</f>
        <v>-55.5351996348498</v>
      </c>
      <c r="C1302" s="61">
        <f>IFERROR(__xludf.DUMMYFUNCTION("""COMPUTED_VALUE"""),1.0)</f>
        <v>1</v>
      </c>
      <c r="D1302" s="61">
        <f>IFERROR(__xludf.DUMMYFUNCTION("""COMPUTED_VALUE"""),70.0)</f>
        <v>70</v>
      </c>
      <c r="E1302" s="61">
        <f>IFERROR(__xludf.DUMMYFUNCTION("""COMPUTED_VALUE"""),15.0)</f>
        <v>15</v>
      </c>
      <c r="F1302" s="62" t="str">
        <f>IFERROR(__xludf.DUMMYFUNCTION("""COMPUTED_VALUE"""),"https://www.google.com/maps/search/?api=1&amp;query=-30.8980336359404,-55.5351996348498")</f>
        <v>https://www.google.com/maps/search/?api=1&amp;query=-30.8980336359404,-55.5351996348498</v>
      </c>
      <c r="G1302" s="63" t="str">
        <f>IFERROR(__xludf.DUMMYFUNCTION("""COMPUTED_VALUE"""),"https://earth.google.com/web/search/-30.8980336359404,-55.5351996348498")</f>
        <v>https://earth.google.com/web/search/-30.8980336359404,-55.5351996348498</v>
      </c>
      <c r="H1302" s="64"/>
      <c r="I1302" s="64"/>
      <c r="J1302" s="64"/>
      <c r="K1302" s="64"/>
      <c r="L1302" s="64"/>
      <c r="M1302" s="64"/>
      <c r="N1302" s="64"/>
      <c r="O1302" s="64"/>
      <c r="P1302" s="64"/>
      <c r="Q1302" s="64"/>
      <c r="R1302" s="64"/>
      <c r="S1302" s="64"/>
      <c r="T1302" s="64"/>
      <c r="U1302" s="64"/>
      <c r="V1302" s="64"/>
      <c r="W1302" s="64"/>
      <c r="X1302" s="64"/>
      <c r="Y1302" s="64"/>
      <c r="Z1302" s="64"/>
    </row>
    <row r="1303">
      <c r="A1303" s="65" t="str">
        <f>IFERROR(__xludf.DUMMYFUNCTION("""COMPUTED_VALUE"""),"-30.8979776531613")</f>
        <v>-30.8979776531613</v>
      </c>
      <c r="B1303" s="66" t="str">
        <f>IFERROR(__xludf.DUMMYFUNCTION("""COMPUTED_VALUE"""),"-55.5352931614346")</f>
        <v>-55.5352931614346</v>
      </c>
      <c r="C1303" s="66">
        <f>IFERROR(__xludf.DUMMYFUNCTION("""COMPUTED_VALUE"""),1.0)</f>
        <v>1</v>
      </c>
      <c r="D1303" s="66">
        <f>IFERROR(__xludf.DUMMYFUNCTION("""COMPUTED_VALUE"""),70.0)</f>
        <v>70</v>
      </c>
      <c r="E1303" s="66">
        <f>IFERROR(__xludf.DUMMYFUNCTION("""COMPUTED_VALUE"""),16.0)</f>
        <v>16</v>
      </c>
      <c r="F1303" s="67" t="str">
        <f>IFERROR(__xludf.DUMMYFUNCTION("""COMPUTED_VALUE"""),"https://www.google.com/maps/search/?api=1&amp;query=-30.8979776531613,-55.5352931614346")</f>
        <v>https://www.google.com/maps/search/?api=1&amp;query=-30.8979776531613,-55.5352931614346</v>
      </c>
      <c r="G1303" s="68" t="str">
        <f>IFERROR(__xludf.DUMMYFUNCTION("""COMPUTED_VALUE"""),"https://earth.google.com/web/search/-30.8979776531613,-55.5352931614346")</f>
        <v>https://earth.google.com/web/search/-30.8979776531613,-55.5352931614346</v>
      </c>
      <c r="H1303" s="64"/>
      <c r="I1303" s="64"/>
      <c r="J1303" s="64"/>
      <c r="K1303" s="64"/>
      <c r="L1303" s="64"/>
      <c r="M1303" s="64"/>
      <c r="N1303" s="64"/>
      <c r="O1303" s="64"/>
      <c r="P1303" s="64"/>
      <c r="Q1303" s="64"/>
      <c r="R1303" s="64"/>
      <c r="S1303" s="64"/>
      <c r="T1303" s="64"/>
      <c r="U1303" s="64"/>
      <c r="V1303" s="64"/>
      <c r="W1303" s="64"/>
      <c r="X1303" s="64"/>
      <c r="Y1303" s="64"/>
      <c r="Z1303" s="64"/>
    </row>
    <row r="1304">
      <c r="A1304" s="69" t="str">
        <f>IFERROR(__xludf.DUMMYFUNCTION("""COMPUTED_VALUE"""),"-30.8978695933645")</f>
        <v>-30.8978695933645</v>
      </c>
      <c r="B1304" s="61" t="str">
        <f>IFERROR(__xludf.DUMMYFUNCTION("""COMPUTED_VALUE"""),"-55.5355124608961")</f>
        <v>-55.5355124608961</v>
      </c>
      <c r="C1304" s="61">
        <f>IFERROR(__xludf.DUMMYFUNCTION("""COMPUTED_VALUE"""),1.0)</f>
        <v>1</v>
      </c>
      <c r="D1304" s="61">
        <f>IFERROR(__xludf.DUMMYFUNCTION("""COMPUTED_VALUE"""),70.0)</f>
        <v>70</v>
      </c>
      <c r="E1304" s="61">
        <f>IFERROR(__xludf.DUMMYFUNCTION("""COMPUTED_VALUE"""),17.0)</f>
        <v>17</v>
      </c>
      <c r="F1304" s="62" t="str">
        <f>IFERROR(__xludf.DUMMYFUNCTION("""COMPUTED_VALUE"""),"https://www.google.com/maps/search/?api=1&amp;query=-30.8978695933645,-55.5355124608961")</f>
        <v>https://www.google.com/maps/search/?api=1&amp;query=-30.8978695933645,-55.5355124608961</v>
      </c>
      <c r="G1304" s="63" t="str">
        <f>IFERROR(__xludf.DUMMYFUNCTION("""COMPUTED_VALUE"""),"https://earth.google.com/web/search/-30.8978695933645,-55.5355124608961")</f>
        <v>https://earth.google.com/web/search/-30.8978695933645,-55.5355124608961</v>
      </c>
      <c r="H1304" s="64"/>
      <c r="I1304" s="64"/>
      <c r="J1304" s="64"/>
      <c r="K1304" s="64"/>
      <c r="L1304" s="64"/>
      <c r="M1304" s="64"/>
      <c r="N1304" s="64"/>
      <c r="O1304" s="64"/>
      <c r="P1304" s="64"/>
      <c r="Q1304" s="64"/>
      <c r="R1304" s="64"/>
      <c r="S1304" s="64"/>
      <c r="T1304" s="64"/>
      <c r="U1304" s="64"/>
      <c r="V1304" s="64"/>
      <c r="W1304" s="64"/>
      <c r="X1304" s="64"/>
      <c r="Y1304" s="64"/>
      <c r="Z1304" s="64"/>
    </row>
    <row r="1305">
      <c r="A1305" s="65" t="str">
        <f>IFERROR(__xludf.DUMMYFUNCTION("""COMPUTED_VALUE"""),"-3.0896562067953")</f>
        <v>-3.0896562067953</v>
      </c>
      <c r="B1305" s="66" t="str">
        <f>IFERROR(__xludf.DUMMYFUNCTION("""COMPUTED_VALUE"""),"-55.5360403340452")</f>
        <v>-55.5360403340452</v>
      </c>
      <c r="C1305" s="66">
        <f>IFERROR(__xludf.DUMMYFUNCTION("""COMPUTED_VALUE"""),1.0)</f>
        <v>1</v>
      </c>
      <c r="D1305" s="66">
        <f>IFERROR(__xludf.DUMMYFUNCTION("""COMPUTED_VALUE"""),69.0)</f>
        <v>69</v>
      </c>
      <c r="E1305" s="66">
        <f>IFERROR(__xludf.DUMMYFUNCTION("""COMPUTED_VALUE"""),1.0)</f>
        <v>1</v>
      </c>
      <c r="F1305" s="67" t="str">
        <f>IFERROR(__xludf.DUMMYFUNCTION("""COMPUTED_VALUE"""),"https://www.google.com/maps/search/?api=1&amp;query=-3.0896562067953,-55.5360403340452")</f>
        <v>https://www.google.com/maps/search/?api=1&amp;query=-3.0896562067953,-55.5360403340452</v>
      </c>
      <c r="G1305" s="68" t="str">
        <f>IFERROR(__xludf.DUMMYFUNCTION("""COMPUTED_VALUE"""),"https://earth.google.com/web/search/-3.0896562067953,-55.5360403340452")</f>
        <v>https://earth.google.com/web/search/-3.0896562067953,-55.5360403340452</v>
      </c>
      <c r="H1305" s="64"/>
      <c r="I1305" s="64"/>
      <c r="J1305" s="64"/>
      <c r="K1305" s="64"/>
      <c r="L1305" s="64"/>
      <c r="M1305" s="64"/>
      <c r="N1305" s="64"/>
      <c r="O1305" s="64"/>
      <c r="P1305" s="64"/>
      <c r="Q1305" s="64"/>
      <c r="R1305" s="64"/>
      <c r="S1305" s="64"/>
      <c r="T1305" s="64"/>
      <c r="U1305" s="64"/>
      <c r="V1305" s="64"/>
      <c r="W1305" s="64"/>
      <c r="X1305" s="64"/>
      <c r="Y1305" s="64"/>
      <c r="Z1305" s="64"/>
    </row>
    <row r="1306">
      <c r="A1306" s="69" t="str">
        <f>IFERROR(__xludf.DUMMYFUNCTION("""COMPUTED_VALUE"""),"-30.8966599947885")</f>
        <v>-30.8966599947885</v>
      </c>
      <c r="B1306" s="61" t="str">
        <f>IFERROR(__xludf.DUMMYFUNCTION("""COMPUTED_VALUE"""),"-0.0555358337787")</f>
        <v>-0.0555358337787</v>
      </c>
      <c r="C1306" s="61">
        <f>IFERROR(__xludf.DUMMYFUNCTION("""COMPUTED_VALUE"""),1.0)</f>
        <v>1</v>
      </c>
      <c r="D1306" s="61">
        <f>IFERROR(__xludf.DUMMYFUNCTION("""COMPUTED_VALUE"""),69.0)</f>
        <v>69</v>
      </c>
      <c r="E1306" s="61">
        <f>IFERROR(__xludf.DUMMYFUNCTION("""COMPUTED_VALUE"""),2.0)</f>
        <v>2</v>
      </c>
      <c r="F1306" s="62" t="str">
        <f>IFERROR(__xludf.DUMMYFUNCTION("""COMPUTED_VALUE"""),"https://www.google.com/maps/search/?api=1&amp;query=-30.8966599947885,-0.0555358337787")</f>
        <v>https://www.google.com/maps/search/?api=1&amp;query=-30.8966599947885,-0.0555358337787</v>
      </c>
      <c r="G1306" s="63" t="str">
        <f>IFERROR(__xludf.DUMMYFUNCTION("""COMPUTED_VALUE"""),"https://earth.google.com/web/search/-30.8966599947885,-0.0555358337787")</f>
        <v>https://earth.google.com/web/search/-30.8966599947885,-0.0555358337787</v>
      </c>
      <c r="H1306" s="64"/>
      <c r="I1306" s="64"/>
      <c r="J1306" s="64"/>
      <c r="K1306" s="64"/>
      <c r="L1306" s="64"/>
      <c r="M1306" s="64"/>
      <c r="N1306" s="64"/>
      <c r="O1306" s="64"/>
      <c r="P1306" s="64"/>
      <c r="Q1306" s="64"/>
      <c r="R1306" s="64"/>
      <c r="S1306" s="64"/>
      <c r="T1306" s="64"/>
      <c r="U1306" s="64"/>
      <c r="V1306" s="64"/>
      <c r="W1306" s="64"/>
      <c r="X1306" s="64"/>
      <c r="Y1306" s="64"/>
      <c r="Z1306" s="64"/>
    </row>
    <row r="1307">
      <c r="A1307" s="65" t="str">
        <f>IFERROR(__xludf.DUMMYFUNCTION("""COMPUTED_VALUE"""),"-30.8968852646629")</f>
        <v>-30.8968852646629</v>
      </c>
      <c r="B1307" s="66" t="str">
        <f>IFERROR(__xludf.DUMMYFUNCTION("""COMPUTED_VALUE"""),"-55.5353831819498")</f>
        <v>-55.5353831819498</v>
      </c>
      <c r="C1307" s="66">
        <f>IFERROR(__xludf.DUMMYFUNCTION("""COMPUTED_VALUE"""),1.0)</f>
        <v>1</v>
      </c>
      <c r="D1307" s="66">
        <f>IFERROR(__xludf.DUMMYFUNCTION("""COMPUTED_VALUE"""),69.0)</f>
        <v>69</v>
      </c>
      <c r="E1307" s="66">
        <f>IFERROR(__xludf.DUMMYFUNCTION("""COMPUTED_VALUE"""),3.0)</f>
        <v>3</v>
      </c>
      <c r="F1307" s="67" t="str">
        <f>IFERROR(__xludf.DUMMYFUNCTION("""COMPUTED_VALUE"""),"https://www.google.com/maps/search/?api=1&amp;query=-30.8968852646629,-55.5353831819498")</f>
        <v>https://www.google.com/maps/search/?api=1&amp;query=-30.8968852646629,-55.5353831819498</v>
      </c>
      <c r="G1307" s="68" t="str">
        <f>IFERROR(__xludf.DUMMYFUNCTION("""COMPUTED_VALUE"""),"https://earth.google.com/web/search/-30.8968852646629,-55.5353831819498")</f>
        <v>https://earth.google.com/web/search/-30.8968852646629,-55.5353831819498</v>
      </c>
      <c r="H1307" s="64"/>
      <c r="I1307" s="64"/>
      <c r="J1307" s="64"/>
      <c r="K1307" s="64"/>
      <c r="L1307" s="64"/>
      <c r="M1307" s="64"/>
      <c r="N1307" s="64"/>
      <c r="O1307" s="64"/>
      <c r="P1307" s="64"/>
      <c r="Q1307" s="64"/>
      <c r="R1307" s="64"/>
      <c r="S1307" s="64"/>
      <c r="T1307" s="64"/>
      <c r="U1307" s="64"/>
      <c r="V1307" s="64"/>
      <c r="W1307" s="64"/>
      <c r="X1307" s="64"/>
      <c r="Y1307" s="64"/>
      <c r="Z1307" s="64"/>
    </row>
    <row r="1308">
      <c r="A1308" s="69" t="str">
        <f>IFERROR(__xludf.DUMMYFUNCTION("""COMPUTED_VALUE"""),"-30.8969421159855")</f>
        <v>-30.8969421159855</v>
      </c>
      <c r="B1308" s="61" t="str">
        <f>IFERROR(__xludf.DUMMYFUNCTION("""COMPUTED_VALUE"""),"-55.5352997666516")</f>
        <v>-55.5352997666516</v>
      </c>
      <c r="C1308" s="61">
        <f>IFERROR(__xludf.DUMMYFUNCTION("""COMPUTED_VALUE"""),1.0)</f>
        <v>1</v>
      </c>
      <c r="D1308" s="61">
        <f>IFERROR(__xludf.DUMMYFUNCTION("""COMPUTED_VALUE"""),69.0)</f>
        <v>69</v>
      </c>
      <c r="E1308" s="61">
        <f>IFERROR(__xludf.DUMMYFUNCTION("""COMPUTED_VALUE"""),4.0)</f>
        <v>4</v>
      </c>
      <c r="F1308" s="62" t="str">
        <f>IFERROR(__xludf.DUMMYFUNCTION("""COMPUTED_VALUE"""),"https://www.google.com/maps/search/?api=1&amp;query=-30.8969421159855,-55.5352997666516")</f>
        <v>https://www.google.com/maps/search/?api=1&amp;query=-30.8969421159855,-55.5352997666516</v>
      </c>
      <c r="G1308" s="63" t="str">
        <f>IFERROR(__xludf.DUMMYFUNCTION("""COMPUTED_VALUE"""),"https://earth.google.com/web/search/-30.8969421159855,-55.5352997666516")</f>
        <v>https://earth.google.com/web/search/-30.8969421159855,-55.5352997666516</v>
      </c>
      <c r="H1308" s="64"/>
      <c r="I1308" s="64"/>
      <c r="J1308" s="64"/>
      <c r="K1308" s="64"/>
      <c r="L1308" s="64"/>
      <c r="M1308" s="64"/>
      <c r="N1308" s="64"/>
      <c r="O1308" s="64"/>
      <c r="P1308" s="64"/>
      <c r="Q1308" s="64"/>
      <c r="R1308" s="64"/>
      <c r="S1308" s="64"/>
      <c r="T1308" s="64"/>
      <c r="U1308" s="64"/>
      <c r="V1308" s="64"/>
      <c r="W1308" s="64"/>
      <c r="X1308" s="64"/>
      <c r="Y1308" s="64"/>
      <c r="Z1308" s="64"/>
    </row>
    <row r="1309">
      <c r="A1309" s="65" t="str">
        <f>IFERROR(__xludf.DUMMYFUNCTION("""COMPUTED_VALUE"""),"-30.8975161517748")</f>
        <v>-30.8975161517748</v>
      </c>
      <c r="B1309" s="66" t="str">
        <f>IFERROR(__xludf.DUMMYFUNCTION("""COMPUTED_VALUE"""),"-55.5361583178206")</f>
        <v>-55.5361583178206</v>
      </c>
      <c r="C1309" s="66">
        <f>IFERROR(__xludf.DUMMYFUNCTION("""COMPUTED_VALUE"""),1.0)</f>
        <v>1</v>
      </c>
      <c r="D1309" s="66">
        <f>IFERROR(__xludf.DUMMYFUNCTION("""COMPUTED_VALUE"""),69.0)</f>
        <v>69</v>
      </c>
      <c r="E1309" s="66">
        <f>IFERROR(__xludf.DUMMYFUNCTION("""COMPUTED_VALUE"""),5.0)</f>
        <v>5</v>
      </c>
      <c r="F1309" s="67" t="str">
        <f>IFERROR(__xludf.DUMMYFUNCTION("""COMPUTED_VALUE"""),"https://www.google.com/maps/search/?api=1&amp;query=-30.8975161517748,-55.5361583178206")</f>
        <v>https://www.google.com/maps/search/?api=1&amp;query=-30.8975161517748,-55.5361583178206</v>
      </c>
      <c r="G1309" s="68" t="str">
        <f>IFERROR(__xludf.DUMMYFUNCTION("""COMPUTED_VALUE"""),"https://earth.google.com/web/search/-30.8975161517748,-55.5361583178206")</f>
        <v>https://earth.google.com/web/search/-30.8975161517748,-55.5361583178206</v>
      </c>
      <c r="H1309" s="64"/>
      <c r="I1309" s="64"/>
      <c r="J1309" s="64"/>
      <c r="K1309" s="64"/>
      <c r="L1309" s="64"/>
      <c r="M1309" s="64"/>
      <c r="N1309" s="64"/>
      <c r="O1309" s="64"/>
      <c r="P1309" s="64"/>
      <c r="Q1309" s="64"/>
      <c r="R1309" s="64"/>
      <c r="S1309" s="64"/>
      <c r="T1309" s="64"/>
      <c r="U1309" s="64"/>
      <c r="V1309" s="64"/>
      <c r="W1309" s="64"/>
      <c r="X1309" s="64"/>
      <c r="Y1309" s="64"/>
      <c r="Z1309" s="64"/>
    </row>
    <row r="1310">
      <c r="A1310" s="69" t="str">
        <f>IFERROR(__xludf.DUMMYFUNCTION("""COMPUTED_VALUE"""),"-30.8972547674617")</f>
        <v>-30.8972547674617</v>
      </c>
      <c r="B1310" s="61" t="str">
        <f>IFERROR(__xludf.DUMMYFUNCTION("""COMPUTED_VALUE"""),"-55.5366253882645")</f>
        <v>-55.5366253882645</v>
      </c>
      <c r="C1310" s="61">
        <f>IFERROR(__xludf.DUMMYFUNCTION("""COMPUTED_VALUE"""),1.0)</f>
        <v>1</v>
      </c>
      <c r="D1310" s="61">
        <f>IFERROR(__xludf.DUMMYFUNCTION("""COMPUTED_VALUE"""),69.0)</f>
        <v>69</v>
      </c>
      <c r="E1310" s="61">
        <f>IFERROR(__xludf.DUMMYFUNCTION("""COMPUTED_VALUE"""),6.0)</f>
        <v>6</v>
      </c>
      <c r="F1310" s="62" t="str">
        <f>IFERROR(__xludf.DUMMYFUNCTION("""COMPUTED_VALUE"""),"https://www.google.com/maps/search/?api=1&amp;query=-30.8972547674617,-55.5366253882645")</f>
        <v>https://www.google.com/maps/search/?api=1&amp;query=-30.8972547674617,-55.5366253882645</v>
      </c>
      <c r="G1310" s="63" t="str">
        <f>IFERROR(__xludf.DUMMYFUNCTION("""COMPUTED_VALUE"""),"https://earth.google.com/web/search/-30.8972547674617,-55.5366253882645")</f>
        <v>https://earth.google.com/web/search/-30.8972547674617,-55.5366253882645</v>
      </c>
      <c r="H1310" s="64"/>
      <c r="I1310" s="64"/>
      <c r="J1310" s="64"/>
      <c r="K1310" s="64"/>
      <c r="L1310" s="64"/>
      <c r="M1310" s="64"/>
      <c r="N1310" s="64"/>
      <c r="O1310" s="64"/>
      <c r="P1310" s="64"/>
      <c r="Q1310" s="64"/>
      <c r="R1310" s="64"/>
      <c r="S1310" s="64"/>
      <c r="T1310" s="64"/>
      <c r="U1310" s="64"/>
      <c r="V1310" s="64"/>
      <c r="W1310" s="64"/>
      <c r="X1310" s="64"/>
      <c r="Y1310" s="64"/>
      <c r="Z1310" s="64"/>
    </row>
    <row r="1311">
      <c r="A1311" s="65" t="str">
        <f>IFERROR(__xludf.DUMMYFUNCTION("""COMPUTED_VALUE"""),"-30.8964012435919")</f>
        <v>-30.8964012435919</v>
      </c>
      <c r="B1311" s="66" t="str">
        <f>IFERROR(__xludf.DUMMYFUNCTION("""COMPUTED_VALUE"""),"-55.5373354601504")</f>
        <v>-55.5373354601504</v>
      </c>
      <c r="C1311" s="66">
        <f>IFERROR(__xludf.DUMMYFUNCTION("""COMPUTED_VALUE"""),1.0)</f>
        <v>1</v>
      </c>
      <c r="D1311" s="66">
        <f>IFERROR(__xludf.DUMMYFUNCTION("""COMPUTED_VALUE"""),68.0)</f>
        <v>68</v>
      </c>
      <c r="E1311" s="66">
        <f>IFERROR(__xludf.DUMMYFUNCTION("""COMPUTED_VALUE"""),1.0)</f>
        <v>1</v>
      </c>
      <c r="F1311" s="67" t="str">
        <f>IFERROR(__xludf.DUMMYFUNCTION("""COMPUTED_VALUE"""),"https://www.google.com/maps/search/?api=1&amp;query=-30.8964012435919,-55.5373354601504")</f>
        <v>https://www.google.com/maps/search/?api=1&amp;query=-30.8964012435919,-55.5373354601504</v>
      </c>
      <c r="G1311" s="68" t="str">
        <f>IFERROR(__xludf.DUMMYFUNCTION("""COMPUTED_VALUE"""),"https://earth.google.com/web/search/-30.8964012435919,-55.5373354601504")</f>
        <v>https://earth.google.com/web/search/-30.8964012435919,-55.5373354601504</v>
      </c>
      <c r="H1311" s="64"/>
      <c r="I1311" s="64"/>
      <c r="J1311" s="64"/>
      <c r="K1311" s="64"/>
      <c r="L1311" s="64"/>
      <c r="M1311" s="64"/>
      <c r="N1311" s="64"/>
      <c r="O1311" s="64"/>
      <c r="P1311" s="64"/>
      <c r="Q1311" s="64"/>
      <c r="R1311" s="64"/>
      <c r="S1311" s="64"/>
      <c r="T1311" s="64"/>
      <c r="U1311" s="64"/>
      <c r="V1311" s="64"/>
      <c r="W1311" s="64"/>
      <c r="X1311" s="64"/>
      <c r="Y1311" s="64"/>
      <c r="Z1311" s="64"/>
    </row>
    <row r="1312">
      <c r="A1312" s="69" t="str">
        <f>IFERROR(__xludf.DUMMYFUNCTION("""COMPUTED_VALUE"""),"-30.8956804939312")</f>
        <v>-30.8956804939312</v>
      </c>
      <c r="B1312" s="61" t="str">
        <f>IFERROR(__xludf.DUMMYFUNCTION("""COMPUTED_VALUE"""),"-55.5379907853632")</f>
        <v>-55.5379907853632</v>
      </c>
      <c r="C1312" s="61">
        <f>IFERROR(__xludf.DUMMYFUNCTION("""COMPUTED_VALUE"""),1.0)</f>
        <v>1</v>
      </c>
      <c r="D1312" s="61">
        <f>IFERROR(__xludf.DUMMYFUNCTION("""COMPUTED_VALUE"""),67.0)</f>
        <v>67</v>
      </c>
      <c r="E1312" s="61">
        <f>IFERROR(__xludf.DUMMYFUNCTION("""COMPUTED_VALUE"""),1.0)</f>
        <v>1</v>
      </c>
      <c r="F1312" s="62" t="str">
        <f>IFERROR(__xludf.DUMMYFUNCTION("""COMPUTED_VALUE"""),"https://www.google.com/maps/search/?api=1&amp;query=-30.8956804939312,-55.5379907853632")</f>
        <v>https://www.google.com/maps/search/?api=1&amp;query=-30.8956804939312,-55.5379907853632</v>
      </c>
      <c r="G1312" s="63" t="str">
        <f>IFERROR(__xludf.DUMMYFUNCTION("""COMPUTED_VALUE"""),"https://earth.google.com/web/search/-30.8956804939312,-55.5379907853632")</f>
        <v>https://earth.google.com/web/search/-30.8956804939312,-55.5379907853632</v>
      </c>
      <c r="H1312" s="64"/>
      <c r="I1312" s="64"/>
      <c r="J1312" s="64"/>
      <c r="K1312" s="64"/>
      <c r="L1312" s="64"/>
      <c r="M1312" s="64"/>
      <c r="N1312" s="64"/>
      <c r="O1312" s="64"/>
      <c r="P1312" s="64"/>
      <c r="Q1312" s="64"/>
      <c r="R1312" s="64"/>
      <c r="S1312" s="64"/>
      <c r="T1312" s="64"/>
      <c r="U1312" s="64"/>
      <c r="V1312" s="64"/>
      <c r="W1312" s="64"/>
      <c r="X1312" s="64"/>
      <c r="Y1312" s="64"/>
      <c r="Z1312" s="64"/>
    </row>
    <row r="1313">
      <c r="A1313" s="65" t="str">
        <f>IFERROR(__xludf.DUMMYFUNCTION("""COMPUTED_VALUE"""),"-30.8959507650838")</f>
        <v>-30.8959507650838</v>
      </c>
      <c r="B1313" s="66" t="str">
        <f>IFERROR(__xludf.DUMMYFUNCTION("""COMPUTED_VALUE"""),"-55.5374417268602")</f>
        <v>-55.5374417268602</v>
      </c>
      <c r="C1313" s="66">
        <f>IFERROR(__xludf.DUMMYFUNCTION("""COMPUTED_VALUE"""),1.0)</f>
        <v>1</v>
      </c>
      <c r="D1313" s="66">
        <f>IFERROR(__xludf.DUMMYFUNCTION("""COMPUTED_VALUE"""),67.0)</f>
        <v>67</v>
      </c>
      <c r="E1313" s="66">
        <f>IFERROR(__xludf.DUMMYFUNCTION("""COMPUTED_VALUE"""),2.0)</f>
        <v>2</v>
      </c>
      <c r="F1313" s="67" t="str">
        <f>IFERROR(__xludf.DUMMYFUNCTION("""COMPUTED_VALUE"""),"https://www.google.com/maps/search/?api=1&amp;query=-30.8959507650838,-55.5374417268602")</f>
        <v>https://www.google.com/maps/search/?api=1&amp;query=-30.8959507650838,-55.5374417268602</v>
      </c>
      <c r="G1313" s="68" t="str">
        <f>IFERROR(__xludf.DUMMYFUNCTION("""COMPUTED_VALUE"""),"https://earth.google.com/web/search/-30.8959507650838,-55.5374417268602")</f>
        <v>https://earth.google.com/web/search/-30.8959507650838,-55.5374417268602</v>
      </c>
      <c r="H1313" s="64"/>
      <c r="I1313" s="64"/>
      <c r="J1313" s="64"/>
      <c r="K1313" s="64"/>
      <c r="L1313" s="64"/>
      <c r="M1313" s="64"/>
      <c r="N1313" s="64"/>
      <c r="O1313" s="64"/>
      <c r="P1313" s="64"/>
      <c r="Q1313" s="64"/>
      <c r="R1313" s="64"/>
      <c r="S1313" s="64"/>
      <c r="T1313" s="64"/>
      <c r="U1313" s="64"/>
      <c r="V1313" s="64"/>
      <c r="W1313" s="64"/>
      <c r="X1313" s="64"/>
      <c r="Y1313" s="64"/>
      <c r="Z1313" s="64"/>
    </row>
    <row r="1314">
      <c r="A1314" s="69" t="str">
        <f>IFERROR(__xludf.DUMMYFUNCTION("""COMPUTED_VALUE"""),"-30.8960086732351")</f>
        <v>-30.8960086732351</v>
      </c>
      <c r="B1314" s="61" t="str">
        <f>IFERROR(__xludf.DUMMYFUNCTION("""COMPUTED_VALUE"""),"-55.5373606951136")</f>
        <v>-55.5373606951136</v>
      </c>
      <c r="C1314" s="61">
        <f>IFERROR(__xludf.DUMMYFUNCTION("""COMPUTED_VALUE"""),1.0)</f>
        <v>1</v>
      </c>
      <c r="D1314" s="61">
        <f>IFERROR(__xludf.DUMMYFUNCTION("""COMPUTED_VALUE"""),67.0)</f>
        <v>67</v>
      </c>
      <c r="E1314" s="61">
        <f>IFERROR(__xludf.DUMMYFUNCTION("""COMPUTED_VALUE"""),3.0)</f>
        <v>3</v>
      </c>
      <c r="F1314" s="62" t="str">
        <f>IFERROR(__xludf.DUMMYFUNCTION("""COMPUTED_VALUE"""),"https://www.google.com/maps/search/?api=1&amp;query=-30.8960086732351,-55.5373606951136")</f>
        <v>https://www.google.com/maps/search/?api=1&amp;query=-30.8960086732351,-55.5373606951136</v>
      </c>
      <c r="G1314" s="63" t="str">
        <f>IFERROR(__xludf.DUMMYFUNCTION("""COMPUTED_VALUE"""),"https://earth.google.com/web/search/-30.8960086732351,-55.5373606951136")</f>
        <v>https://earth.google.com/web/search/-30.8960086732351,-55.5373606951136</v>
      </c>
      <c r="H1314" s="64"/>
      <c r="I1314" s="64"/>
      <c r="J1314" s="64"/>
      <c r="K1314" s="64"/>
      <c r="L1314" s="64"/>
      <c r="M1314" s="64"/>
      <c r="N1314" s="64"/>
      <c r="O1314" s="64"/>
      <c r="P1314" s="64"/>
      <c r="Q1314" s="64"/>
      <c r="R1314" s="64"/>
      <c r="S1314" s="64"/>
      <c r="T1314" s="64"/>
      <c r="U1314" s="64"/>
      <c r="V1314" s="64"/>
      <c r="W1314" s="64"/>
      <c r="X1314" s="64"/>
      <c r="Y1314" s="64"/>
      <c r="Z1314" s="64"/>
    </row>
    <row r="1315">
      <c r="A1315" s="65" t="str">
        <f>IFERROR(__xludf.DUMMYFUNCTION("""COMPUTED_VALUE"""),"-30.8965378051648")</f>
        <v>-30.8965378051648</v>
      </c>
      <c r="B1315" s="66" t="str">
        <f>IFERROR(__xludf.DUMMYFUNCTION("""COMPUTED_VALUE"""),"-5.5537537847828")</f>
        <v>-5.5537537847828</v>
      </c>
      <c r="C1315" s="66">
        <f>IFERROR(__xludf.DUMMYFUNCTION("""COMPUTED_VALUE"""),1.0)</f>
        <v>1</v>
      </c>
      <c r="D1315" s="66">
        <f>IFERROR(__xludf.DUMMYFUNCTION("""COMPUTED_VALUE"""),67.0)</f>
        <v>67</v>
      </c>
      <c r="E1315" s="66">
        <f>IFERROR(__xludf.DUMMYFUNCTION("""COMPUTED_VALUE"""),4.0)</f>
        <v>4</v>
      </c>
      <c r="F1315" s="67" t="str">
        <f>IFERROR(__xludf.DUMMYFUNCTION("""COMPUTED_VALUE"""),"https://www.google.com/maps/search/?api=1&amp;query=-30.8965378051648,-5.5537537847828")</f>
        <v>https://www.google.com/maps/search/?api=1&amp;query=-30.8965378051648,-5.5537537847828</v>
      </c>
      <c r="G1315" s="68" t="str">
        <f>IFERROR(__xludf.DUMMYFUNCTION("""COMPUTED_VALUE"""),"https://earth.google.com/web/search/-30.8965378051648,-5.5537537847828")</f>
        <v>https://earth.google.com/web/search/-30.8965378051648,-5.5537537847828</v>
      </c>
      <c r="H1315" s="64"/>
      <c r="I1315" s="64"/>
      <c r="J1315" s="64"/>
      <c r="K1315" s="64"/>
      <c r="L1315" s="64"/>
      <c r="M1315" s="64"/>
      <c r="N1315" s="64"/>
      <c r="O1315" s="64"/>
      <c r="P1315" s="64"/>
      <c r="Q1315" s="64"/>
      <c r="R1315" s="64"/>
      <c r="S1315" s="64"/>
      <c r="T1315" s="64"/>
      <c r="U1315" s="64"/>
      <c r="V1315" s="64"/>
      <c r="W1315" s="64"/>
      <c r="X1315" s="64"/>
      <c r="Y1315" s="64"/>
      <c r="Z1315" s="64"/>
    </row>
    <row r="1316">
      <c r="A1316" s="69" t="str">
        <f>IFERROR(__xludf.DUMMYFUNCTION("""COMPUTED_VALUE"""),"-3.0896321875264")</f>
        <v>-3.0896321875264</v>
      </c>
      <c r="B1316" s="61" t="str">
        <f>IFERROR(__xludf.DUMMYFUNCTION("""COMPUTED_VALUE"""),"-55.5384382019302")</f>
        <v>-55.5384382019302</v>
      </c>
      <c r="C1316" s="61">
        <f>IFERROR(__xludf.DUMMYFUNCTION("""COMPUTED_VALUE"""),1.0)</f>
        <v>1</v>
      </c>
      <c r="D1316" s="61">
        <f>IFERROR(__xludf.DUMMYFUNCTION("""COMPUTED_VALUE"""),67.0)</f>
        <v>67</v>
      </c>
      <c r="E1316" s="61">
        <f>IFERROR(__xludf.DUMMYFUNCTION("""COMPUTED_VALUE"""),5.0)</f>
        <v>5</v>
      </c>
      <c r="F1316" s="62" t="str">
        <f>IFERROR(__xludf.DUMMYFUNCTION("""COMPUTED_VALUE"""),"https://www.google.com/maps/search/?api=1&amp;query=-3.0896321875264,-55.5384382019302")</f>
        <v>https://www.google.com/maps/search/?api=1&amp;query=-3.0896321875264,-55.5384382019302</v>
      </c>
      <c r="G1316" s="63" t="str">
        <f>IFERROR(__xludf.DUMMYFUNCTION("""COMPUTED_VALUE"""),"https://earth.google.com/web/search/-3.0896321875264,-55.5384382019302")</f>
        <v>https://earth.google.com/web/search/-3.0896321875264,-55.5384382019302</v>
      </c>
      <c r="H1316" s="64"/>
      <c r="I1316" s="64"/>
      <c r="J1316" s="64"/>
      <c r="K1316" s="64"/>
      <c r="L1316" s="64"/>
      <c r="M1316" s="64"/>
      <c r="N1316" s="64"/>
      <c r="O1316" s="64"/>
      <c r="P1316" s="64"/>
      <c r="Q1316" s="64"/>
      <c r="R1316" s="64"/>
      <c r="S1316" s="64"/>
      <c r="T1316" s="64"/>
      <c r="U1316" s="64"/>
      <c r="V1316" s="64"/>
      <c r="W1316" s="64"/>
      <c r="X1316" s="64"/>
      <c r="Y1316" s="64"/>
      <c r="Z1316" s="64"/>
    </row>
    <row r="1317">
      <c r="A1317" s="65" t="str">
        <f>IFERROR(__xludf.DUMMYFUNCTION("""COMPUTED_VALUE"""),"-30.8962550623162")</f>
        <v>-30.8962550623162</v>
      </c>
      <c r="B1317" s="66" t="str">
        <f>IFERROR(__xludf.DUMMYFUNCTION("""COMPUTED_VALUE"""),"-5.5538496312835")</f>
        <v>-5.5538496312835</v>
      </c>
      <c r="C1317" s="66">
        <f>IFERROR(__xludf.DUMMYFUNCTION("""COMPUTED_VALUE"""),1.0)</f>
        <v>1</v>
      </c>
      <c r="D1317" s="66">
        <f>IFERROR(__xludf.DUMMYFUNCTION("""COMPUTED_VALUE"""),67.0)</f>
        <v>67</v>
      </c>
      <c r="E1317" s="66">
        <f>IFERROR(__xludf.DUMMYFUNCTION("""COMPUTED_VALUE"""),6.0)</f>
        <v>6</v>
      </c>
      <c r="F1317" s="67" t="str">
        <f>IFERROR(__xludf.DUMMYFUNCTION("""COMPUTED_VALUE"""),"https://www.google.com/maps/search/?api=1&amp;query=-30.8962550623162,-5.5538496312835")</f>
        <v>https://www.google.com/maps/search/?api=1&amp;query=-30.8962550623162,-5.5538496312835</v>
      </c>
      <c r="G1317" s="68" t="str">
        <f>IFERROR(__xludf.DUMMYFUNCTION("""COMPUTED_VALUE"""),"https://earth.google.com/web/search/-30.8962550623162,-5.5538496312835")</f>
        <v>https://earth.google.com/web/search/-30.8962550623162,-5.5538496312835</v>
      </c>
      <c r="H1317" s="64"/>
      <c r="I1317" s="64"/>
      <c r="J1317" s="64"/>
      <c r="K1317" s="64"/>
      <c r="L1317" s="64"/>
      <c r="M1317" s="64"/>
      <c r="N1317" s="64"/>
      <c r="O1317" s="64"/>
      <c r="P1317" s="64"/>
      <c r="Q1317" s="64"/>
      <c r="R1317" s="64"/>
      <c r="S1317" s="64"/>
      <c r="T1317" s="64"/>
      <c r="U1317" s="64"/>
      <c r="V1317" s="64"/>
      <c r="W1317" s="64"/>
      <c r="X1317" s="64"/>
      <c r="Y1317" s="64"/>
      <c r="Z1317" s="64"/>
    </row>
    <row r="1318">
      <c r="A1318" s="69" t="str">
        <f>IFERROR(__xludf.DUMMYFUNCTION("""COMPUTED_VALUE"""),"-30.8961556190949")</f>
        <v>-30.8961556190949</v>
      </c>
      <c r="B1318" s="61" t="str">
        <f>IFERROR(__xludf.DUMMYFUNCTION("""COMPUTED_VALUE"""),"-55.5384575615177")</f>
        <v>-55.5384575615177</v>
      </c>
      <c r="C1318" s="61">
        <f>IFERROR(__xludf.DUMMYFUNCTION("""COMPUTED_VALUE"""),1.0)</f>
        <v>1</v>
      </c>
      <c r="D1318" s="61">
        <f>IFERROR(__xludf.DUMMYFUNCTION("""COMPUTED_VALUE"""),67.0)</f>
        <v>67</v>
      </c>
      <c r="E1318" s="61">
        <f>IFERROR(__xludf.DUMMYFUNCTION("""COMPUTED_VALUE"""),7.0)</f>
        <v>7</v>
      </c>
      <c r="F1318" s="62" t="str">
        <f>IFERROR(__xludf.DUMMYFUNCTION("""COMPUTED_VALUE"""),"https://www.google.com/maps/search/?api=1&amp;query=-30.8961556190949,-55.5384575615177")</f>
        <v>https://www.google.com/maps/search/?api=1&amp;query=-30.8961556190949,-55.5384575615177</v>
      </c>
      <c r="G1318" s="63" t="str">
        <f>IFERROR(__xludf.DUMMYFUNCTION("""COMPUTED_VALUE"""),"https://earth.google.com/web/search/-30.8961556190949,-55.5384575615177")</f>
        <v>https://earth.google.com/web/search/-30.8961556190949,-55.5384575615177</v>
      </c>
      <c r="H1318" s="64"/>
      <c r="I1318" s="64"/>
      <c r="J1318" s="64"/>
      <c r="K1318" s="64"/>
      <c r="L1318" s="64"/>
      <c r="M1318" s="64"/>
      <c r="N1318" s="64"/>
      <c r="O1318" s="64"/>
      <c r="P1318" s="64"/>
      <c r="Q1318" s="64"/>
      <c r="R1318" s="64"/>
      <c r="S1318" s="64"/>
      <c r="T1318" s="64"/>
      <c r="U1318" s="64"/>
      <c r="V1318" s="64"/>
      <c r="W1318" s="64"/>
      <c r="X1318" s="64"/>
      <c r="Y1318" s="64"/>
      <c r="Z1318" s="64"/>
    </row>
    <row r="1319">
      <c r="A1319" s="65" t="str">
        <f>IFERROR(__xludf.DUMMYFUNCTION("""COMPUTED_VALUE"""),"-30.8960963912901")</f>
        <v>-30.8960963912901</v>
      </c>
      <c r="B1319" s="66" t="str">
        <f>IFERROR(__xludf.DUMMYFUNCTION("""COMPUTED_VALUE"""),"-55.5383657903694")</f>
        <v>-55.5383657903694</v>
      </c>
      <c r="C1319" s="66">
        <f>IFERROR(__xludf.DUMMYFUNCTION("""COMPUTED_VALUE"""),1.0)</f>
        <v>1</v>
      </c>
      <c r="D1319" s="66">
        <f>IFERROR(__xludf.DUMMYFUNCTION("""COMPUTED_VALUE"""),67.0)</f>
        <v>67</v>
      </c>
      <c r="E1319" s="66">
        <f>IFERROR(__xludf.DUMMYFUNCTION("""COMPUTED_VALUE"""),8.0)</f>
        <v>8</v>
      </c>
      <c r="F1319" s="67" t="str">
        <f>IFERROR(__xludf.DUMMYFUNCTION("""COMPUTED_VALUE"""),"https://www.google.com/maps/search/?api=1&amp;query=-30.8960963912901,-55.5383657903694")</f>
        <v>https://www.google.com/maps/search/?api=1&amp;query=-30.8960963912901,-55.5383657903694</v>
      </c>
      <c r="G1319" s="68" t="str">
        <f>IFERROR(__xludf.DUMMYFUNCTION("""COMPUTED_VALUE"""),"https://earth.google.com/web/search/-30.8960963912901,-55.5383657903694")</f>
        <v>https://earth.google.com/web/search/-30.8960963912901,-55.5383657903694</v>
      </c>
      <c r="H1319" s="64"/>
      <c r="I1319" s="64"/>
      <c r="J1319" s="64"/>
      <c r="K1319" s="64"/>
      <c r="L1319" s="64"/>
      <c r="M1319" s="64"/>
      <c r="N1319" s="64"/>
      <c r="O1319" s="64"/>
      <c r="P1319" s="64"/>
      <c r="Q1319" s="64"/>
      <c r="R1319" s="64"/>
      <c r="S1319" s="64"/>
      <c r="T1319" s="64"/>
      <c r="U1319" s="64"/>
      <c r="V1319" s="64"/>
      <c r="W1319" s="64"/>
      <c r="X1319" s="64"/>
      <c r="Y1319" s="64"/>
      <c r="Z1319" s="64"/>
    </row>
    <row r="1320">
      <c r="A1320" s="69" t="str">
        <f>IFERROR(__xludf.DUMMYFUNCTION("""COMPUTED_VALUE"""),"-30.8958863760344")</f>
        <v>-30.8958863760344</v>
      </c>
      <c r="B1320" s="61" t="str">
        <f>IFERROR(__xludf.DUMMYFUNCTION("""COMPUTED_VALUE"""),"-55.5381987182518")</f>
        <v>-55.5381987182518</v>
      </c>
      <c r="C1320" s="61">
        <f>IFERROR(__xludf.DUMMYFUNCTION("""COMPUTED_VALUE"""),1.0)</f>
        <v>1</v>
      </c>
      <c r="D1320" s="61">
        <f>IFERROR(__xludf.DUMMYFUNCTION("""COMPUTED_VALUE"""),67.0)</f>
        <v>67</v>
      </c>
      <c r="E1320" s="61">
        <f>IFERROR(__xludf.DUMMYFUNCTION("""COMPUTED_VALUE"""),9.0)</f>
        <v>9</v>
      </c>
      <c r="F1320" s="62" t="str">
        <f>IFERROR(__xludf.DUMMYFUNCTION("""COMPUTED_VALUE"""),"https://www.google.com/maps/search/?api=1&amp;query=-30.8958863760344,-55.5381987182518")</f>
        <v>https://www.google.com/maps/search/?api=1&amp;query=-30.8958863760344,-55.5381987182518</v>
      </c>
      <c r="G1320" s="63" t="str">
        <f>IFERROR(__xludf.DUMMYFUNCTION("""COMPUTED_VALUE"""),"https://earth.google.com/web/search/-30.8958863760344,-55.5381987182518")</f>
        <v>https://earth.google.com/web/search/-30.8958863760344,-55.5381987182518</v>
      </c>
      <c r="H1320" s="64"/>
      <c r="I1320" s="64"/>
      <c r="J1320" s="64"/>
      <c r="K1320" s="64"/>
      <c r="L1320" s="64"/>
      <c r="M1320" s="64"/>
      <c r="N1320" s="64"/>
      <c r="O1320" s="64"/>
      <c r="P1320" s="64"/>
      <c r="Q1320" s="64"/>
      <c r="R1320" s="64"/>
      <c r="S1320" s="64"/>
      <c r="T1320" s="64"/>
      <c r="U1320" s="64"/>
      <c r="V1320" s="64"/>
      <c r="W1320" s="64"/>
      <c r="X1320" s="64"/>
      <c r="Y1320" s="64"/>
      <c r="Z1320" s="64"/>
    </row>
    <row r="1321">
      <c r="A1321" s="65" t="str">
        <f>IFERROR(__xludf.DUMMYFUNCTION("""COMPUTED_VALUE"""),"-30.8958233640451")</f>
        <v>-30.8958233640451</v>
      </c>
      <c r="B1321" s="66" t="str">
        <f>IFERROR(__xludf.DUMMYFUNCTION("""COMPUTED_VALUE"""),"-5.5538130516691")</f>
        <v>-5.5538130516691</v>
      </c>
      <c r="C1321" s="66">
        <f>IFERROR(__xludf.DUMMYFUNCTION("""COMPUTED_VALUE"""),1.0)</f>
        <v>1</v>
      </c>
      <c r="D1321" s="66">
        <f>IFERROR(__xludf.DUMMYFUNCTION("""COMPUTED_VALUE"""),67.0)</f>
        <v>67</v>
      </c>
      <c r="E1321" s="66">
        <f>IFERROR(__xludf.DUMMYFUNCTION("""COMPUTED_VALUE"""),10.0)</f>
        <v>10</v>
      </c>
      <c r="F1321" s="67" t="str">
        <f>IFERROR(__xludf.DUMMYFUNCTION("""COMPUTED_VALUE"""),"https://www.google.com/maps/search/?api=1&amp;query=-30.8958233640451,-5.5538130516691")</f>
        <v>https://www.google.com/maps/search/?api=1&amp;query=-30.8958233640451,-5.5538130516691</v>
      </c>
      <c r="G1321" s="68" t="str">
        <f>IFERROR(__xludf.DUMMYFUNCTION("""COMPUTED_VALUE"""),"https://earth.google.com/web/search/-30.8958233640451,-5.5538130516691")</f>
        <v>https://earth.google.com/web/search/-30.8958233640451,-5.5538130516691</v>
      </c>
      <c r="H1321" s="64"/>
      <c r="I1321" s="64"/>
      <c r="J1321" s="64"/>
      <c r="K1321" s="64"/>
      <c r="L1321" s="64"/>
      <c r="M1321" s="64"/>
      <c r="N1321" s="64"/>
      <c r="O1321" s="64"/>
      <c r="P1321" s="64"/>
      <c r="Q1321" s="64"/>
      <c r="R1321" s="64"/>
      <c r="S1321" s="64"/>
      <c r="T1321" s="64"/>
      <c r="U1321" s="64"/>
      <c r="V1321" s="64"/>
      <c r="W1321" s="64"/>
      <c r="X1321" s="64"/>
      <c r="Y1321" s="64"/>
      <c r="Z1321" s="64"/>
    </row>
    <row r="1322">
      <c r="A1322" s="69" t="str">
        <f>IFERROR(__xludf.DUMMYFUNCTION("""COMPUTED_VALUE"""),"-30.8957226747434")</f>
        <v>-30.8957226747434</v>
      </c>
      <c r="B1322" s="61" t="str">
        <f>IFERROR(__xludf.DUMMYFUNCTION("""COMPUTED_VALUE"""),"-55.5380920500257")</f>
        <v>-55.5380920500257</v>
      </c>
      <c r="C1322" s="61">
        <f>IFERROR(__xludf.DUMMYFUNCTION("""COMPUTED_VALUE"""),1.0)</f>
        <v>1</v>
      </c>
      <c r="D1322" s="61">
        <f>IFERROR(__xludf.DUMMYFUNCTION("""COMPUTED_VALUE"""),67.0)</f>
        <v>67</v>
      </c>
      <c r="E1322" s="61">
        <f>IFERROR(__xludf.DUMMYFUNCTION("""COMPUTED_VALUE"""),11.0)</f>
        <v>11</v>
      </c>
      <c r="F1322" s="62" t="str">
        <f>IFERROR(__xludf.DUMMYFUNCTION("""COMPUTED_VALUE"""),"https://www.google.com/maps/search/?api=1&amp;query=-30.8957226747434,-55.5380920500257")</f>
        <v>https://www.google.com/maps/search/?api=1&amp;query=-30.8957226747434,-55.5380920500257</v>
      </c>
      <c r="G1322" s="63" t="str">
        <f>IFERROR(__xludf.DUMMYFUNCTION("""COMPUTED_VALUE"""),"https://earth.google.com/web/search/-30.8957226747434,-55.5380920500257")</f>
        <v>https://earth.google.com/web/search/-30.8957226747434,-55.5380920500257</v>
      </c>
      <c r="H1322" s="64"/>
      <c r="I1322" s="64"/>
      <c r="J1322" s="64"/>
      <c r="K1322" s="64"/>
      <c r="L1322" s="64"/>
      <c r="M1322" s="64"/>
      <c r="N1322" s="64"/>
      <c r="O1322" s="64"/>
      <c r="P1322" s="64"/>
      <c r="Q1322" s="64"/>
      <c r="R1322" s="64"/>
      <c r="S1322" s="64"/>
      <c r="T1322" s="64"/>
      <c r="U1322" s="64"/>
      <c r="V1322" s="64"/>
      <c r="W1322" s="64"/>
      <c r="X1322" s="64"/>
      <c r="Y1322" s="64"/>
      <c r="Z1322" s="64"/>
    </row>
    <row r="1323">
      <c r="A1323" s="65" t="str">
        <f>IFERROR(__xludf.DUMMYFUNCTION("""COMPUTED_VALUE"""),"-30.8956942428537")</f>
        <v>-30.8956942428537</v>
      </c>
      <c r="B1323" s="66" t="str">
        <f>IFERROR(__xludf.DUMMYFUNCTION("""COMPUTED_VALUE"""),"-55.5393413671516")</f>
        <v>-55.5393413671516</v>
      </c>
      <c r="C1323" s="66">
        <f>IFERROR(__xludf.DUMMYFUNCTION("""COMPUTED_VALUE"""),1.0)</f>
        <v>1</v>
      </c>
      <c r="D1323" s="66">
        <f>IFERROR(__xludf.DUMMYFUNCTION("""COMPUTED_VALUE"""),66.0)</f>
        <v>66</v>
      </c>
      <c r="E1323" s="66">
        <f>IFERROR(__xludf.DUMMYFUNCTION("""COMPUTED_VALUE"""),1.0)</f>
        <v>1</v>
      </c>
      <c r="F1323" s="67" t="str">
        <f>IFERROR(__xludf.DUMMYFUNCTION("""COMPUTED_VALUE"""),"https://www.google.com/maps/search/?api=1&amp;query=-30.8956942428537,-55.5393413671516")</f>
        <v>https://www.google.com/maps/search/?api=1&amp;query=-30.8956942428537,-55.5393413671516</v>
      </c>
      <c r="G1323" s="68" t="str">
        <f>IFERROR(__xludf.DUMMYFUNCTION("""COMPUTED_VALUE"""),"https://earth.google.com/web/search/-30.8956942428537,-55.5393413671516")</f>
        <v>https://earth.google.com/web/search/-30.8956942428537,-55.5393413671516</v>
      </c>
      <c r="H1323" s="64"/>
      <c r="I1323" s="64"/>
      <c r="J1323" s="64"/>
      <c r="K1323" s="64"/>
      <c r="L1323" s="64"/>
      <c r="M1323" s="64"/>
      <c r="N1323" s="64"/>
      <c r="O1323" s="64"/>
      <c r="P1323" s="64"/>
      <c r="Q1323" s="64"/>
      <c r="R1323" s="64"/>
      <c r="S1323" s="64"/>
      <c r="T1323" s="64"/>
      <c r="U1323" s="64"/>
      <c r="V1323" s="64"/>
      <c r="W1323" s="64"/>
      <c r="X1323" s="64"/>
      <c r="Y1323" s="64"/>
      <c r="Z1323" s="64"/>
    </row>
    <row r="1324">
      <c r="A1324" s="69" t="str">
        <f>IFERROR(__xludf.DUMMYFUNCTION("""COMPUTED_VALUE"""),"-30.8955832610492")</f>
        <v>-30.8955832610492</v>
      </c>
      <c r="B1324" s="61" t="str">
        <f>IFERROR(__xludf.DUMMYFUNCTION("""COMPUTED_VALUE"""),"-55.5392664233278")</f>
        <v>-55.5392664233278</v>
      </c>
      <c r="C1324" s="61">
        <f>IFERROR(__xludf.DUMMYFUNCTION("""COMPUTED_VALUE"""),1.0)</f>
        <v>1</v>
      </c>
      <c r="D1324" s="61">
        <f>IFERROR(__xludf.DUMMYFUNCTION("""COMPUTED_VALUE"""),66.0)</f>
        <v>66</v>
      </c>
      <c r="E1324" s="61">
        <f>IFERROR(__xludf.DUMMYFUNCTION("""COMPUTED_VALUE"""),2.0)</f>
        <v>2</v>
      </c>
      <c r="F1324" s="62" t="str">
        <f>IFERROR(__xludf.DUMMYFUNCTION("""COMPUTED_VALUE"""),"https://www.google.com/maps/search/?api=1&amp;query=-30.8955832610492,-55.5392664233278")</f>
        <v>https://www.google.com/maps/search/?api=1&amp;query=-30.8955832610492,-55.5392664233278</v>
      </c>
      <c r="G1324" s="63" t="str">
        <f>IFERROR(__xludf.DUMMYFUNCTION("""COMPUTED_VALUE"""),"https://earth.google.com/web/search/-30.8955832610492,-55.5392664233278")</f>
        <v>https://earth.google.com/web/search/-30.8955832610492,-55.5392664233278</v>
      </c>
      <c r="H1324" s="64"/>
      <c r="I1324" s="64"/>
      <c r="J1324" s="64"/>
      <c r="K1324" s="64"/>
      <c r="L1324" s="64"/>
      <c r="M1324" s="64"/>
      <c r="N1324" s="64"/>
      <c r="O1324" s="64"/>
      <c r="P1324" s="64"/>
      <c r="Q1324" s="64"/>
      <c r="R1324" s="64"/>
      <c r="S1324" s="64"/>
      <c r="T1324" s="64"/>
      <c r="U1324" s="64"/>
      <c r="V1324" s="64"/>
      <c r="W1324" s="64"/>
      <c r="X1324" s="64"/>
      <c r="Y1324" s="64"/>
      <c r="Z1324" s="64"/>
    </row>
    <row r="1325">
      <c r="A1325" s="65" t="str">
        <f>IFERROR(__xludf.DUMMYFUNCTION("""COMPUTED_VALUE"""),"-3.0895326613357")</f>
        <v>-3.0895326613357</v>
      </c>
      <c r="B1325" s="66" t="str">
        <f>IFERROR(__xludf.DUMMYFUNCTION("""COMPUTED_VALUE"""),"-55.5386500520819")</f>
        <v>-55.5386500520819</v>
      </c>
      <c r="C1325" s="66">
        <f>IFERROR(__xludf.DUMMYFUNCTION("""COMPUTED_VALUE"""),1.0)</f>
        <v>1</v>
      </c>
      <c r="D1325" s="66">
        <f>IFERROR(__xludf.DUMMYFUNCTION("""COMPUTED_VALUE"""),66.0)</f>
        <v>66</v>
      </c>
      <c r="E1325" s="66">
        <f>IFERROR(__xludf.DUMMYFUNCTION("""COMPUTED_VALUE"""),3.0)</f>
        <v>3</v>
      </c>
      <c r="F1325" s="67" t="str">
        <f>IFERROR(__xludf.DUMMYFUNCTION("""COMPUTED_VALUE"""),"https://www.google.com/maps/search/?api=1&amp;query=-3.0895326613357,-55.5386500520819")</f>
        <v>https://www.google.com/maps/search/?api=1&amp;query=-3.0895326613357,-55.5386500520819</v>
      </c>
      <c r="G1325" s="68" t="str">
        <f>IFERROR(__xludf.DUMMYFUNCTION("""COMPUTED_VALUE"""),"https://earth.google.com/web/search/-3.0895326613357,-55.5386500520819")</f>
        <v>https://earth.google.com/web/search/-3.0895326613357,-55.5386500520819</v>
      </c>
      <c r="H1325" s="64"/>
      <c r="I1325" s="64"/>
      <c r="J1325" s="64"/>
      <c r="K1325" s="64"/>
      <c r="L1325" s="64"/>
      <c r="M1325" s="64"/>
      <c r="N1325" s="64"/>
      <c r="O1325" s="64"/>
      <c r="P1325" s="64"/>
      <c r="Q1325" s="64"/>
      <c r="R1325" s="64"/>
      <c r="S1325" s="64"/>
      <c r="T1325" s="64"/>
      <c r="U1325" s="64"/>
      <c r="V1325" s="64"/>
      <c r="W1325" s="64"/>
      <c r="X1325" s="64"/>
      <c r="Y1325" s="64"/>
      <c r="Z1325" s="64"/>
    </row>
    <row r="1326">
      <c r="A1326" s="69" t="str">
        <f>IFERROR(__xludf.DUMMYFUNCTION("""COMPUTED_VALUE"""),"-30.8953798174934")</f>
        <v>-30.8953798174934</v>
      </c>
      <c r="B1326" s="61" t="str">
        <f>IFERROR(__xludf.DUMMYFUNCTION("""COMPUTED_VALUE"""),"-55.5385361083628")</f>
        <v>-55.5385361083628</v>
      </c>
      <c r="C1326" s="61">
        <f>IFERROR(__xludf.DUMMYFUNCTION("""COMPUTED_VALUE"""),1.0)</f>
        <v>1</v>
      </c>
      <c r="D1326" s="61">
        <f>IFERROR(__xludf.DUMMYFUNCTION("""COMPUTED_VALUE"""),66.0)</f>
        <v>66</v>
      </c>
      <c r="E1326" s="61">
        <f>IFERROR(__xludf.DUMMYFUNCTION("""COMPUTED_VALUE"""),4.0)</f>
        <v>4</v>
      </c>
      <c r="F1326" s="62" t="str">
        <f>IFERROR(__xludf.DUMMYFUNCTION("""COMPUTED_VALUE"""),"https://www.google.com/maps/search/?api=1&amp;query=-30.8953798174934,-55.5385361083628")</f>
        <v>https://www.google.com/maps/search/?api=1&amp;query=-30.8953798174934,-55.5385361083628</v>
      </c>
      <c r="G1326" s="63" t="str">
        <f>IFERROR(__xludf.DUMMYFUNCTION("""COMPUTED_VALUE"""),"https://earth.google.com/web/search/-30.8953798174934,-55.5385361083628")</f>
        <v>https://earth.google.com/web/search/-30.8953798174934,-55.5385361083628</v>
      </c>
      <c r="H1326" s="64"/>
      <c r="I1326" s="64"/>
      <c r="J1326" s="64"/>
      <c r="K1326" s="64"/>
      <c r="L1326" s="64"/>
      <c r="M1326" s="64"/>
      <c r="N1326" s="64"/>
      <c r="O1326" s="64"/>
      <c r="P1326" s="64"/>
      <c r="Q1326" s="64"/>
      <c r="R1326" s="64"/>
      <c r="S1326" s="64"/>
      <c r="T1326" s="64"/>
      <c r="U1326" s="64"/>
      <c r="V1326" s="64"/>
      <c r="W1326" s="64"/>
      <c r="X1326" s="64"/>
      <c r="Y1326" s="64"/>
      <c r="Z1326" s="64"/>
    </row>
    <row r="1327">
      <c r="A1327" s="65" t="str">
        <f>IFERROR(__xludf.DUMMYFUNCTION("""COMPUTED_VALUE"""),"-30.8954424228303")</f>
        <v>-30.8954424228303</v>
      </c>
      <c r="B1327" s="66" t="str">
        <f>IFERROR(__xludf.DUMMYFUNCTION("""COMPUTED_VALUE"""),"-55.5384015442807")</f>
        <v>-55.5384015442807</v>
      </c>
      <c r="C1327" s="66">
        <f>IFERROR(__xludf.DUMMYFUNCTION("""COMPUTED_VALUE"""),1.0)</f>
        <v>1</v>
      </c>
      <c r="D1327" s="66">
        <f>IFERROR(__xludf.DUMMYFUNCTION("""COMPUTED_VALUE"""),66.0)</f>
        <v>66</v>
      </c>
      <c r="E1327" s="66">
        <f>IFERROR(__xludf.DUMMYFUNCTION("""COMPUTED_VALUE"""),5.0)</f>
        <v>5</v>
      </c>
      <c r="F1327" s="67" t="str">
        <f>IFERROR(__xludf.DUMMYFUNCTION("""COMPUTED_VALUE"""),"https://www.google.com/maps/search/?api=1&amp;query=-30.8954424228303,-55.5384015442807")</f>
        <v>https://www.google.com/maps/search/?api=1&amp;query=-30.8954424228303,-55.5384015442807</v>
      </c>
      <c r="G1327" s="68" t="str">
        <f>IFERROR(__xludf.DUMMYFUNCTION("""COMPUTED_VALUE"""),"https://earth.google.com/web/search/-30.8954424228303,-55.5384015442807")</f>
        <v>https://earth.google.com/web/search/-30.8954424228303,-55.5384015442807</v>
      </c>
      <c r="H1327" s="64"/>
      <c r="I1327" s="64"/>
      <c r="J1327" s="64"/>
      <c r="K1327" s="64"/>
      <c r="L1327" s="64"/>
      <c r="M1327" s="64"/>
      <c r="N1327" s="64"/>
      <c r="O1327" s="64"/>
      <c r="P1327" s="64"/>
      <c r="Q1327" s="64"/>
      <c r="R1327" s="64"/>
      <c r="S1327" s="64"/>
      <c r="T1327" s="64"/>
      <c r="U1327" s="64"/>
      <c r="V1327" s="64"/>
      <c r="W1327" s="64"/>
      <c r="X1327" s="64"/>
      <c r="Y1327" s="64"/>
      <c r="Z1327" s="64"/>
    </row>
    <row r="1328">
      <c r="A1328" s="69" t="str">
        <f>IFERROR(__xludf.DUMMYFUNCTION("""COMPUTED_VALUE"""),"-30.8956991177174")</f>
        <v>-30.8956991177174</v>
      </c>
      <c r="B1328" s="61" t="str">
        <f>IFERROR(__xludf.DUMMYFUNCTION("""COMPUTED_VALUE"""),"-55.5382139025218")</f>
        <v>-55.5382139025218</v>
      </c>
      <c r="C1328" s="61">
        <f>IFERROR(__xludf.DUMMYFUNCTION("""COMPUTED_VALUE"""),1.0)</f>
        <v>1</v>
      </c>
      <c r="D1328" s="61">
        <f>IFERROR(__xludf.DUMMYFUNCTION("""COMPUTED_VALUE"""),66.0)</f>
        <v>66</v>
      </c>
      <c r="E1328" s="61">
        <f>IFERROR(__xludf.DUMMYFUNCTION("""COMPUTED_VALUE"""),7.0)</f>
        <v>7</v>
      </c>
      <c r="F1328" s="62" t="str">
        <f>IFERROR(__xludf.DUMMYFUNCTION("""COMPUTED_VALUE"""),"https://www.google.com/maps/search/?api=1&amp;query=-30.8956991177174,-55.5382139025218")</f>
        <v>https://www.google.com/maps/search/?api=1&amp;query=-30.8956991177174,-55.5382139025218</v>
      </c>
      <c r="G1328" s="63" t="str">
        <f>IFERROR(__xludf.DUMMYFUNCTION("""COMPUTED_VALUE"""),"https://earth.google.com/web/search/-30.8956991177174,-55.5382139025218")</f>
        <v>https://earth.google.com/web/search/-30.8956991177174,-55.5382139025218</v>
      </c>
      <c r="H1328" s="64"/>
      <c r="I1328" s="64"/>
      <c r="J1328" s="64"/>
      <c r="K1328" s="64"/>
      <c r="L1328" s="64"/>
      <c r="M1328" s="64"/>
      <c r="N1328" s="64"/>
      <c r="O1328" s="64"/>
      <c r="P1328" s="64"/>
      <c r="Q1328" s="64"/>
      <c r="R1328" s="64"/>
      <c r="S1328" s="64"/>
      <c r="T1328" s="64"/>
      <c r="U1328" s="64"/>
      <c r="V1328" s="64"/>
      <c r="W1328" s="64"/>
      <c r="X1328" s="64"/>
      <c r="Y1328" s="64"/>
      <c r="Z1328" s="64"/>
    </row>
    <row r="1329">
      <c r="A1329" s="65" t="str">
        <f>IFERROR(__xludf.DUMMYFUNCTION("""COMPUTED_VALUE"""),"-3.0895768704798")</f>
        <v>-3.0895768704798</v>
      </c>
      <c r="B1329" s="66" t="str">
        <f>IFERROR(__xludf.DUMMYFUNCTION("""COMPUTED_VALUE"""),"-55.5382661581234")</f>
        <v>-55.5382661581234</v>
      </c>
      <c r="C1329" s="66">
        <f>IFERROR(__xludf.DUMMYFUNCTION("""COMPUTED_VALUE"""),1.0)</f>
        <v>1</v>
      </c>
      <c r="D1329" s="66">
        <f>IFERROR(__xludf.DUMMYFUNCTION("""COMPUTED_VALUE"""),66.0)</f>
        <v>66</v>
      </c>
      <c r="E1329" s="66">
        <f>IFERROR(__xludf.DUMMYFUNCTION("""COMPUTED_VALUE"""),8.0)</f>
        <v>8</v>
      </c>
      <c r="F1329" s="67" t="str">
        <f>IFERROR(__xludf.DUMMYFUNCTION("""COMPUTED_VALUE"""),"https://www.google.com/maps/search/?api=1&amp;query=-3.0895768704798,-55.5382661581234")</f>
        <v>https://www.google.com/maps/search/?api=1&amp;query=-3.0895768704798,-55.5382661581234</v>
      </c>
      <c r="G1329" s="68" t="str">
        <f>IFERROR(__xludf.DUMMYFUNCTION("""COMPUTED_VALUE"""),"https://earth.google.com/web/search/-3.0895768704798,-55.5382661581234")</f>
        <v>https://earth.google.com/web/search/-3.0895768704798,-55.5382661581234</v>
      </c>
      <c r="H1329" s="64"/>
      <c r="I1329" s="64"/>
      <c r="J1329" s="64"/>
      <c r="K1329" s="64"/>
      <c r="L1329" s="64"/>
      <c r="M1329" s="64"/>
      <c r="N1329" s="64"/>
      <c r="O1329" s="64"/>
      <c r="P1329" s="64"/>
      <c r="Q1329" s="64"/>
      <c r="R1329" s="64"/>
      <c r="S1329" s="64"/>
      <c r="T1329" s="64"/>
      <c r="U1329" s="64"/>
      <c r="V1329" s="64"/>
      <c r="W1329" s="64"/>
      <c r="X1329" s="64"/>
      <c r="Y1329" s="64"/>
      <c r="Z1329" s="64"/>
    </row>
    <row r="1330">
      <c r="A1330" s="69" t="str">
        <f>IFERROR(__xludf.DUMMYFUNCTION("""COMPUTED_VALUE"""),"-30.8959889861714")</f>
        <v>-30.8959889861714</v>
      </c>
      <c r="B1330" s="61" t="str">
        <f>IFERROR(__xludf.DUMMYFUNCTION("""COMPUTED_VALUE"""),"-55.5384257046004")</f>
        <v>-55.5384257046004</v>
      </c>
      <c r="C1330" s="61">
        <f>IFERROR(__xludf.DUMMYFUNCTION("""COMPUTED_VALUE"""),1.0)</f>
        <v>1</v>
      </c>
      <c r="D1330" s="61">
        <f>IFERROR(__xludf.DUMMYFUNCTION("""COMPUTED_VALUE"""),66.0)</f>
        <v>66</v>
      </c>
      <c r="E1330" s="61">
        <f>IFERROR(__xludf.DUMMYFUNCTION("""COMPUTED_VALUE"""),9.0)</f>
        <v>9</v>
      </c>
      <c r="F1330" s="62" t="str">
        <f>IFERROR(__xludf.DUMMYFUNCTION("""COMPUTED_VALUE"""),"https://www.google.com/maps/search/?api=1&amp;query=-30.8959889861714,-55.5384257046004")</f>
        <v>https://www.google.com/maps/search/?api=1&amp;query=-30.8959889861714,-55.5384257046004</v>
      </c>
      <c r="G1330" s="63" t="str">
        <f>IFERROR(__xludf.DUMMYFUNCTION("""COMPUTED_VALUE"""),"https://earth.google.com/web/search/-30.8959889861714,-55.5384257046004")</f>
        <v>https://earth.google.com/web/search/-30.8959889861714,-55.5384257046004</v>
      </c>
      <c r="H1330" s="64"/>
      <c r="I1330" s="64"/>
      <c r="J1330" s="64"/>
      <c r="K1330" s="64"/>
      <c r="L1330" s="64"/>
      <c r="M1330" s="64"/>
      <c r="N1330" s="64"/>
      <c r="O1330" s="64"/>
      <c r="P1330" s="64"/>
      <c r="Q1330" s="64"/>
      <c r="R1330" s="64"/>
      <c r="S1330" s="64"/>
      <c r="T1330" s="64"/>
      <c r="U1330" s="64"/>
      <c r="V1330" s="64"/>
      <c r="W1330" s="64"/>
      <c r="X1330" s="64"/>
      <c r="Y1330" s="64"/>
      <c r="Z1330" s="64"/>
    </row>
    <row r="1331">
      <c r="A1331" s="65" t="str">
        <f>IFERROR(__xludf.DUMMYFUNCTION("""COMPUTED_VALUE"""),"-30.8960641189631")</f>
        <v>-30.8960641189631</v>
      </c>
      <c r="B1331" s="66" t="str">
        <f>IFERROR(__xludf.DUMMYFUNCTION("""COMPUTED_VALUE"""),"-55.5389165377045")</f>
        <v>-55.5389165377045</v>
      </c>
      <c r="C1331" s="66">
        <f>IFERROR(__xludf.DUMMYFUNCTION("""COMPUTED_VALUE"""),1.0)</f>
        <v>1</v>
      </c>
      <c r="D1331" s="66">
        <f>IFERROR(__xludf.DUMMYFUNCTION("""COMPUTED_VALUE"""),66.0)</f>
        <v>66</v>
      </c>
      <c r="E1331" s="66">
        <f>IFERROR(__xludf.DUMMYFUNCTION("""COMPUTED_VALUE"""),10.0)</f>
        <v>10</v>
      </c>
      <c r="F1331" s="67" t="str">
        <f>IFERROR(__xludf.DUMMYFUNCTION("""COMPUTED_VALUE"""),"https://www.google.com/maps/search/?api=1&amp;query=-30.8960641189631,-55.5389165377045")</f>
        <v>https://www.google.com/maps/search/?api=1&amp;query=-30.8960641189631,-55.5389165377045</v>
      </c>
      <c r="G1331" s="68" t="str">
        <f>IFERROR(__xludf.DUMMYFUNCTION("""COMPUTED_VALUE"""),"https://earth.google.com/web/search/-30.8960641189631,-55.5389165377045")</f>
        <v>https://earth.google.com/web/search/-30.8960641189631,-55.5389165377045</v>
      </c>
      <c r="H1331" s="64"/>
      <c r="I1331" s="64"/>
      <c r="J1331" s="64"/>
      <c r="K1331" s="64"/>
      <c r="L1331" s="64"/>
      <c r="M1331" s="64"/>
      <c r="N1331" s="64"/>
      <c r="O1331" s="64"/>
      <c r="P1331" s="64"/>
      <c r="Q1331" s="64"/>
      <c r="R1331" s="64"/>
      <c r="S1331" s="64"/>
      <c r="T1331" s="64"/>
      <c r="U1331" s="64"/>
      <c r="V1331" s="64"/>
      <c r="W1331" s="64"/>
      <c r="X1331" s="64"/>
      <c r="Y1331" s="64"/>
      <c r="Z1331" s="64"/>
    </row>
    <row r="1332">
      <c r="A1332" s="69" t="str">
        <f>IFERROR(__xludf.DUMMYFUNCTION("""COMPUTED_VALUE"""),"-3.0895965771624")</f>
        <v>-3.0895965771624</v>
      </c>
      <c r="B1332" s="61" t="str">
        <f>IFERROR(__xludf.DUMMYFUNCTION("""COMPUTED_VALUE"""),"-55.5391095901734")</f>
        <v>-55.5391095901734</v>
      </c>
      <c r="C1332" s="61">
        <f>IFERROR(__xludf.DUMMYFUNCTION("""COMPUTED_VALUE"""),1.0)</f>
        <v>1</v>
      </c>
      <c r="D1332" s="61">
        <f>IFERROR(__xludf.DUMMYFUNCTION("""COMPUTED_VALUE"""),66.0)</f>
        <v>66</v>
      </c>
      <c r="E1332" s="61">
        <f>IFERROR(__xludf.DUMMYFUNCTION("""COMPUTED_VALUE"""),11.0)</f>
        <v>11</v>
      </c>
      <c r="F1332" s="62" t="str">
        <f>IFERROR(__xludf.DUMMYFUNCTION("""COMPUTED_VALUE"""),"https://www.google.com/maps/search/?api=1&amp;query=-3.0895965771624,-55.5391095901734")</f>
        <v>https://www.google.com/maps/search/?api=1&amp;query=-3.0895965771624,-55.5391095901734</v>
      </c>
      <c r="G1332" s="63" t="str">
        <f>IFERROR(__xludf.DUMMYFUNCTION("""COMPUTED_VALUE"""),"https://earth.google.com/web/search/-3.0895965771624,-55.5391095901734")</f>
        <v>https://earth.google.com/web/search/-3.0895965771624,-55.5391095901734</v>
      </c>
      <c r="H1332" s="64"/>
      <c r="I1332" s="64"/>
      <c r="J1332" s="64"/>
      <c r="K1332" s="64"/>
      <c r="L1332" s="64"/>
      <c r="M1332" s="64"/>
      <c r="N1332" s="64"/>
      <c r="O1332" s="64"/>
      <c r="P1332" s="64"/>
      <c r="Q1332" s="64"/>
      <c r="R1332" s="64"/>
      <c r="S1332" s="64"/>
      <c r="T1332" s="64"/>
      <c r="U1332" s="64"/>
      <c r="V1332" s="64"/>
      <c r="W1332" s="64"/>
      <c r="X1332" s="64"/>
      <c r="Y1332" s="64"/>
      <c r="Z1332" s="64"/>
    </row>
    <row r="1333">
      <c r="A1333" s="65" t="str">
        <f>IFERROR(__xludf.DUMMYFUNCTION("""COMPUTED_VALUE"""),"-30.8959016441648")</f>
        <v>-30.8959016441648</v>
      </c>
      <c r="B1333" s="66" t="str">
        <f>IFERROR(__xludf.DUMMYFUNCTION("""COMPUTED_VALUE"""),"-55.5392270293214")</f>
        <v>-55.5392270293214</v>
      </c>
      <c r="C1333" s="66">
        <f>IFERROR(__xludf.DUMMYFUNCTION("""COMPUTED_VALUE"""),1.0)</f>
        <v>1</v>
      </c>
      <c r="D1333" s="66">
        <f>IFERROR(__xludf.DUMMYFUNCTION("""COMPUTED_VALUE"""),66.0)</f>
        <v>66</v>
      </c>
      <c r="E1333" s="66">
        <f>IFERROR(__xludf.DUMMYFUNCTION("""COMPUTED_VALUE"""),12.0)</f>
        <v>12</v>
      </c>
      <c r="F1333" s="67" t="str">
        <f>IFERROR(__xludf.DUMMYFUNCTION("""COMPUTED_VALUE"""),"https://www.google.com/maps/search/?api=1&amp;query=-30.8959016441648,-55.5392270293214")</f>
        <v>https://www.google.com/maps/search/?api=1&amp;query=-30.8959016441648,-55.5392270293214</v>
      </c>
      <c r="G1333" s="68" t="str">
        <f>IFERROR(__xludf.DUMMYFUNCTION("""COMPUTED_VALUE"""),"https://earth.google.com/web/search/-30.8959016441648,-55.5392270293214")</f>
        <v>https://earth.google.com/web/search/-30.8959016441648,-55.5392270293214</v>
      </c>
      <c r="H1333" s="64"/>
      <c r="I1333" s="64"/>
      <c r="J1333" s="64"/>
      <c r="K1333" s="64"/>
      <c r="L1333" s="64"/>
      <c r="M1333" s="64"/>
      <c r="N1333" s="64"/>
      <c r="O1333" s="64"/>
      <c r="P1333" s="64"/>
      <c r="Q1333" s="64"/>
      <c r="R1333" s="64"/>
      <c r="S1333" s="64"/>
      <c r="T1333" s="64"/>
      <c r="U1333" s="64"/>
      <c r="V1333" s="64"/>
      <c r="W1333" s="64"/>
      <c r="X1333" s="64"/>
      <c r="Y1333" s="64"/>
      <c r="Z1333" s="64"/>
    </row>
    <row r="1334">
      <c r="A1334" s="69" t="str">
        <f>IFERROR(__xludf.DUMMYFUNCTION("""COMPUTED_VALUE"""),"-30.8959016441649")</f>
        <v>-30.8959016441649</v>
      </c>
      <c r="B1334" s="61" t="str">
        <f>IFERROR(__xludf.DUMMYFUNCTION("""COMPUTED_VALUE"""),"-55.5397009817358")</f>
        <v>-55.5397009817358</v>
      </c>
      <c r="C1334" s="61">
        <f>IFERROR(__xludf.DUMMYFUNCTION("""COMPUTED_VALUE"""),1.0)</f>
        <v>1</v>
      </c>
      <c r="D1334" s="61">
        <f>IFERROR(__xludf.DUMMYFUNCTION("""COMPUTED_VALUE"""),65.0)</f>
        <v>65</v>
      </c>
      <c r="E1334" s="61">
        <f>IFERROR(__xludf.DUMMYFUNCTION("""COMPUTED_VALUE"""),1.0)</f>
        <v>1</v>
      </c>
      <c r="F1334" s="62" t="str">
        <f>IFERROR(__xludf.DUMMYFUNCTION("""COMPUTED_VALUE"""),"https://www.google.com/maps/search/?api=1&amp;query=-30.8959016441649,-55.5397009817358")</f>
        <v>https://www.google.com/maps/search/?api=1&amp;query=-30.8959016441649,-55.5397009817358</v>
      </c>
      <c r="G1334" s="63" t="str">
        <f>IFERROR(__xludf.DUMMYFUNCTION("""COMPUTED_VALUE"""),"https://earth.google.com/web/search/-30.8959016441649,-55.5397009817358")</f>
        <v>https://earth.google.com/web/search/-30.8959016441649,-55.5397009817358</v>
      </c>
      <c r="H1334" s="64"/>
      <c r="I1334" s="64"/>
      <c r="J1334" s="64"/>
      <c r="K1334" s="64"/>
      <c r="L1334" s="64"/>
      <c r="M1334" s="64"/>
      <c r="N1334" s="64"/>
      <c r="O1334" s="64"/>
      <c r="P1334" s="64"/>
      <c r="Q1334" s="64"/>
      <c r="R1334" s="64"/>
      <c r="S1334" s="64"/>
      <c r="T1334" s="64"/>
      <c r="U1334" s="64"/>
      <c r="V1334" s="64"/>
      <c r="W1334" s="64"/>
      <c r="X1334" s="64"/>
      <c r="Y1334" s="64"/>
      <c r="Z1334" s="64"/>
    </row>
    <row r="1335">
      <c r="A1335" s="65" t="str">
        <f>IFERROR(__xludf.DUMMYFUNCTION("""COMPUTED_VALUE"""),"-30.8959016441650")</f>
        <v>-30.8959016441650</v>
      </c>
      <c r="B1335" s="66" t="str">
        <f>IFERROR(__xludf.DUMMYFUNCTION("""COMPUTED_VALUE"""),"-55.5400927948178")</f>
        <v>-55.5400927948178</v>
      </c>
      <c r="C1335" s="66">
        <f>IFERROR(__xludf.DUMMYFUNCTION("""COMPUTED_VALUE"""),1.0)</f>
        <v>1</v>
      </c>
      <c r="D1335" s="66">
        <f>IFERROR(__xludf.DUMMYFUNCTION("""COMPUTED_VALUE"""),65.0)</f>
        <v>65</v>
      </c>
      <c r="E1335" s="66">
        <f>IFERROR(__xludf.DUMMYFUNCTION("""COMPUTED_VALUE"""),2.0)</f>
        <v>2</v>
      </c>
      <c r="F1335" s="67" t="str">
        <f>IFERROR(__xludf.DUMMYFUNCTION("""COMPUTED_VALUE"""),"https://www.google.com/maps/search/?api=1&amp;query=-30.8959016441650,-55.5400927948178")</f>
        <v>https://www.google.com/maps/search/?api=1&amp;query=-30.8959016441650,-55.5400927948178</v>
      </c>
      <c r="G1335" s="68" t="str">
        <f>IFERROR(__xludf.DUMMYFUNCTION("""COMPUTED_VALUE"""),"https://earth.google.com/web/search/-30.8959016441650,-55.5400927948178")</f>
        <v>https://earth.google.com/web/search/-30.8959016441650,-55.5400927948178</v>
      </c>
      <c r="H1335" s="64"/>
      <c r="I1335" s="64"/>
      <c r="J1335" s="64"/>
      <c r="K1335" s="64"/>
      <c r="L1335" s="64"/>
      <c r="M1335" s="64"/>
      <c r="N1335" s="64"/>
      <c r="O1335" s="64"/>
      <c r="P1335" s="64"/>
      <c r="Q1335" s="64"/>
      <c r="R1335" s="64"/>
      <c r="S1335" s="64"/>
      <c r="T1335" s="64"/>
      <c r="U1335" s="64"/>
      <c r="V1335" s="64"/>
      <c r="W1335" s="64"/>
      <c r="X1335" s="64"/>
      <c r="Y1335" s="64"/>
      <c r="Z1335" s="64"/>
    </row>
    <row r="1336">
      <c r="A1336" s="69" t="str">
        <f>IFERROR(__xludf.DUMMYFUNCTION("""COMPUTED_VALUE"""),"-30.8959016441651")</f>
        <v>-30.8959016441651</v>
      </c>
      <c r="B1336" s="61" t="str">
        <f>IFERROR(__xludf.DUMMYFUNCTION("""COMPUTED_VALUE"""),"-55.5402313660069")</f>
        <v>-55.5402313660069</v>
      </c>
      <c r="C1336" s="61">
        <f>IFERROR(__xludf.DUMMYFUNCTION("""COMPUTED_VALUE"""),1.0)</f>
        <v>1</v>
      </c>
      <c r="D1336" s="61">
        <f>IFERROR(__xludf.DUMMYFUNCTION("""COMPUTED_VALUE"""),65.0)</f>
        <v>65</v>
      </c>
      <c r="E1336" s="61">
        <f>IFERROR(__xludf.DUMMYFUNCTION("""COMPUTED_VALUE"""),3.0)</f>
        <v>3</v>
      </c>
      <c r="F1336" s="62" t="str">
        <f>IFERROR(__xludf.DUMMYFUNCTION("""COMPUTED_VALUE"""),"https://www.google.com/maps/search/?api=1&amp;query=-30.8959016441651,-55.5402313660069")</f>
        <v>https://www.google.com/maps/search/?api=1&amp;query=-30.8959016441651,-55.5402313660069</v>
      </c>
      <c r="G1336" s="63" t="str">
        <f>IFERROR(__xludf.DUMMYFUNCTION("""COMPUTED_VALUE"""),"https://earth.google.com/web/search/-30.8959016441651,-55.5402313660069")</f>
        <v>https://earth.google.com/web/search/-30.8959016441651,-55.5402313660069</v>
      </c>
      <c r="H1336" s="64"/>
      <c r="I1336" s="64"/>
      <c r="J1336" s="64"/>
      <c r="K1336" s="64"/>
      <c r="L1336" s="64"/>
      <c r="M1336" s="64"/>
      <c r="N1336" s="64"/>
      <c r="O1336" s="64"/>
      <c r="P1336" s="64"/>
      <c r="Q1336" s="64"/>
      <c r="R1336" s="64"/>
      <c r="S1336" s="64"/>
      <c r="T1336" s="64"/>
      <c r="U1336" s="64"/>
      <c r="V1336" s="64"/>
      <c r="W1336" s="64"/>
      <c r="X1336" s="64"/>
      <c r="Y1336" s="64"/>
      <c r="Z1336" s="64"/>
    </row>
    <row r="1337">
      <c r="A1337" s="65" t="str">
        <f>IFERROR(__xludf.DUMMYFUNCTION("""COMPUTED_VALUE"""),"-30.8959016441652")</f>
        <v>-30.8959016441652</v>
      </c>
      <c r="B1337" s="66" t="str">
        <f>IFERROR(__xludf.DUMMYFUNCTION("""COMPUTED_VALUE"""),"-55.5402724846683")</f>
        <v>-55.5402724846683</v>
      </c>
      <c r="C1337" s="66">
        <f>IFERROR(__xludf.DUMMYFUNCTION("""COMPUTED_VALUE"""),1.0)</f>
        <v>1</v>
      </c>
      <c r="D1337" s="66">
        <f>IFERROR(__xludf.DUMMYFUNCTION("""COMPUTED_VALUE"""),65.0)</f>
        <v>65</v>
      </c>
      <c r="E1337" s="66">
        <f>IFERROR(__xludf.DUMMYFUNCTION("""COMPUTED_VALUE"""),4.0)</f>
        <v>4</v>
      </c>
      <c r="F1337" s="67" t="str">
        <f>IFERROR(__xludf.DUMMYFUNCTION("""COMPUTED_VALUE"""),"https://www.google.com/maps/search/?api=1&amp;query=-30.8959016441652,-55.5402724846683")</f>
        <v>https://www.google.com/maps/search/?api=1&amp;query=-30.8959016441652,-55.5402724846683</v>
      </c>
      <c r="G1337" s="68" t="str">
        <f>IFERROR(__xludf.DUMMYFUNCTION("""COMPUTED_VALUE"""),"https://earth.google.com/web/search/-30.8959016441652,-55.5402724846683")</f>
        <v>https://earth.google.com/web/search/-30.8959016441652,-55.5402724846683</v>
      </c>
      <c r="H1337" s="64"/>
      <c r="I1337" s="64"/>
      <c r="J1337" s="64"/>
      <c r="K1337" s="64"/>
      <c r="L1337" s="64"/>
      <c r="M1337" s="64"/>
      <c r="N1337" s="64"/>
      <c r="O1337" s="64"/>
      <c r="P1337" s="64"/>
      <c r="Q1337" s="64"/>
      <c r="R1337" s="64"/>
      <c r="S1337" s="64"/>
      <c r="T1337" s="64"/>
      <c r="U1337" s="64"/>
      <c r="V1337" s="64"/>
      <c r="W1337" s="64"/>
      <c r="X1337" s="64"/>
      <c r="Y1337" s="64"/>
      <c r="Z1337" s="64"/>
    </row>
    <row r="1338">
      <c r="A1338" s="69" t="str">
        <f>IFERROR(__xludf.DUMMYFUNCTION("""COMPUTED_VALUE"""),"-30.8959016441653")</f>
        <v>-30.8959016441653</v>
      </c>
      <c r="B1338" s="61" t="str">
        <f>IFERROR(__xludf.DUMMYFUNCTION("""COMPUTED_VALUE"""),"-55.5403068374629")</f>
        <v>-55.5403068374629</v>
      </c>
      <c r="C1338" s="61">
        <f>IFERROR(__xludf.DUMMYFUNCTION("""COMPUTED_VALUE"""),1.0)</f>
        <v>1</v>
      </c>
      <c r="D1338" s="61">
        <f>IFERROR(__xludf.DUMMYFUNCTION("""COMPUTED_VALUE"""),65.0)</f>
        <v>65</v>
      </c>
      <c r="E1338" s="61">
        <f>IFERROR(__xludf.DUMMYFUNCTION("""COMPUTED_VALUE"""),5.0)</f>
        <v>5</v>
      </c>
      <c r="F1338" s="62" t="str">
        <f>IFERROR(__xludf.DUMMYFUNCTION("""COMPUTED_VALUE"""),"https://www.google.com/maps/search/?api=1&amp;query=-30.8959016441653,-55.5403068374629")</f>
        <v>https://www.google.com/maps/search/?api=1&amp;query=-30.8959016441653,-55.5403068374629</v>
      </c>
      <c r="G1338" s="63" t="str">
        <f>IFERROR(__xludf.DUMMYFUNCTION("""COMPUTED_VALUE"""),"https://earth.google.com/web/search/-30.8959016441653,-55.5403068374629")</f>
        <v>https://earth.google.com/web/search/-30.8959016441653,-55.5403068374629</v>
      </c>
      <c r="H1338" s="64"/>
      <c r="I1338" s="64"/>
      <c r="J1338" s="64"/>
      <c r="K1338" s="64"/>
      <c r="L1338" s="64"/>
      <c r="M1338" s="64"/>
      <c r="N1338" s="64"/>
      <c r="O1338" s="64"/>
      <c r="P1338" s="64"/>
      <c r="Q1338" s="64"/>
      <c r="R1338" s="64"/>
      <c r="S1338" s="64"/>
      <c r="T1338" s="64"/>
      <c r="U1338" s="64"/>
      <c r="V1338" s="64"/>
      <c r="W1338" s="64"/>
      <c r="X1338" s="64"/>
      <c r="Y1338" s="64"/>
      <c r="Z1338" s="64"/>
    </row>
    <row r="1339">
      <c r="A1339" s="65" t="str">
        <f>IFERROR(__xludf.DUMMYFUNCTION("""COMPUTED_VALUE"""),"-30.8959016441654")</f>
        <v>-30.8959016441654</v>
      </c>
      <c r="B1339" s="66" t="str">
        <f>IFERROR(__xludf.DUMMYFUNCTION("""COMPUTED_VALUE"""),"-55.5402678705696")</f>
        <v>-55.5402678705696</v>
      </c>
      <c r="C1339" s="66">
        <f>IFERROR(__xludf.DUMMYFUNCTION("""COMPUTED_VALUE"""),1.0)</f>
        <v>1</v>
      </c>
      <c r="D1339" s="66">
        <f>IFERROR(__xludf.DUMMYFUNCTION("""COMPUTED_VALUE"""),65.0)</f>
        <v>65</v>
      </c>
      <c r="E1339" s="66">
        <f>IFERROR(__xludf.DUMMYFUNCTION("""COMPUTED_VALUE"""),6.0)</f>
        <v>6</v>
      </c>
      <c r="F1339" s="67" t="str">
        <f>IFERROR(__xludf.DUMMYFUNCTION("""COMPUTED_VALUE"""),"https://www.google.com/maps/search/?api=1&amp;query=-30.8959016441654,-55.5402678705696")</f>
        <v>https://www.google.com/maps/search/?api=1&amp;query=-30.8959016441654,-55.5402678705696</v>
      </c>
      <c r="G1339" s="68" t="str">
        <f>IFERROR(__xludf.DUMMYFUNCTION("""COMPUTED_VALUE"""),"https://earth.google.com/web/search/-30.8959016441654,-55.5402678705696")</f>
        <v>https://earth.google.com/web/search/-30.8959016441654,-55.5402678705696</v>
      </c>
      <c r="H1339" s="64"/>
      <c r="I1339" s="64"/>
      <c r="J1339" s="64"/>
      <c r="K1339" s="64"/>
      <c r="L1339" s="64"/>
      <c r="M1339" s="64"/>
      <c r="N1339" s="64"/>
      <c r="O1339" s="64"/>
      <c r="P1339" s="64"/>
      <c r="Q1339" s="64"/>
      <c r="R1339" s="64"/>
      <c r="S1339" s="64"/>
      <c r="T1339" s="64"/>
      <c r="U1339" s="64"/>
      <c r="V1339" s="64"/>
      <c r="W1339" s="64"/>
      <c r="X1339" s="64"/>
      <c r="Y1339" s="64"/>
      <c r="Z1339" s="64"/>
    </row>
    <row r="1340">
      <c r="A1340" s="69" t="str">
        <f>IFERROR(__xludf.DUMMYFUNCTION("""COMPUTED_VALUE"""),"-30.8959016441655")</f>
        <v>-30.8959016441655</v>
      </c>
      <c r="B1340" s="61" t="str">
        <f>IFERROR(__xludf.DUMMYFUNCTION("""COMPUTED_VALUE"""),"-55.5402201920356")</f>
        <v>-55.5402201920356</v>
      </c>
      <c r="C1340" s="61">
        <f>IFERROR(__xludf.DUMMYFUNCTION("""COMPUTED_VALUE"""),1.0)</f>
        <v>1</v>
      </c>
      <c r="D1340" s="61">
        <f>IFERROR(__xludf.DUMMYFUNCTION("""COMPUTED_VALUE"""),65.0)</f>
        <v>65</v>
      </c>
      <c r="E1340" s="61">
        <f>IFERROR(__xludf.DUMMYFUNCTION("""COMPUTED_VALUE"""),7.0)</f>
        <v>7</v>
      </c>
      <c r="F1340" s="62" t="str">
        <f>IFERROR(__xludf.DUMMYFUNCTION("""COMPUTED_VALUE"""),"https://www.google.com/maps/search/?api=1&amp;query=-30.8959016441655,-55.5402201920356")</f>
        <v>https://www.google.com/maps/search/?api=1&amp;query=-30.8959016441655,-55.5402201920356</v>
      </c>
      <c r="G1340" s="63" t="str">
        <f>IFERROR(__xludf.DUMMYFUNCTION("""COMPUTED_VALUE"""),"https://earth.google.com/web/search/-30.8959016441655,-55.5402201920356")</f>
        <v>https://earth.google.com/web/search/-30.8959016441655,-55.5402201920356</v>
      </c>
      <c r="H1340" s="64"/>
      <c r="I1340" s="64"/>
      <c r="J1340" s="64"/>
      <c r="K1340" s="64"/>
      <c r="L1340" s="64"/>
      <c r="M1340" s="64"/>
      <c r="N1340" s="64"/>
      <c r="O1340" s="64"/>
      <c r="P1340" s="64"/>
      <c r="Q1340" s="64"/>
      <c r="R1340" s="64"/>
      <c r="S1340" s="64"/>
      <c r="T1340" s="64"/>
      <c r="U1340" s="64"/>
      <c r="V1340" s="64"/>
      <c r="W1340" s="64"/>
      <c r="X1340" s="64"/>
      <c r="Y1340" s="64"/>
      <c r="Z1340" s="64"/>
    </row>
    <row r="1341">
      <c r="A1341" s="65" t="str">
        <f>IFERROR(__xludf.DUMMYFUNCTION("""COMPUTED_VALUE"""),"-30.8959016441656")</f>
        <v>-30.8959016441656</v>
      </c>
      <c r="B1341" s="66" t="str">
        <f>IFERROR(__xludf.DUMMYFUNCTION("""COMPUTED_VALUE"""),"-55.5401630058676")</f>
        <v>-55.5401630058676</v>
      </c>
      <c r="C1341" s="66">
        <f>IFERROR(__xludf.DUMMYFUNCTION("""COMPUTED_VALUE"""),1.0)</f>
        <v>1</v>
      </c>
      <c r="D1341" s="66">
        <f>IFERROR(__xludf.DUMMYFUNCTION("""COMPUTED_VALUE"""),65.0)</f>
        <v>65</v>
      </c>
      <c r="E1341" s="66">
        <f>IFERROR(__xludf.DUMMYFUNCTION("""COMPUTED_VALUE"""),8.0)</f>
        <v>8</v>
      </c>
      <c r="F1341" s="67" t="str">
        <f>IFERROR(__xludf.DUMMYFUNCTION("""COMPUTED_VALUE"""),"https://www.google.com/maps/search/?api=1&amp;query=-30.8959016441656,-55.5401630058676")</f>
        <v>https://www.google.com/maps/search/?api=1&amp;query=-30.8959016441656,-55.5401630058676</v>
      </c>
      <c r="G1341" s="68" t="str">
        <f>IFERROR(__xludf.DUMMYFUNCTION("""COMPUTED_VALUE"""),"https://earth.google.com/web/search/-30.8959016441656,-55.5401630058676")</f>
        <v>https://earth.google.com/web/search/-30.8959016441656,-55.5401630058676</v>
      </c>
      <c r="H1341" s="64"/>
      <c r="I1341" s="64"/>
      <c r="J1341" s="64"/>
      <c r="K1341" s="64"/>
      <c r="L1341" s="64"/>
      <c r="M1341" s="64"/>
      <c r="N1341" s="64"/>
      <c r="O1341" s="64"/>
      <c r="P1341" s="64"/>
      <c r="Q1341" s="64"/>
      <c r="R1341" s="64"/>
      <c r="S1341" s="64"/>
      <c r="T1341" s="64"/>
      <c r="U1341" s="64"/>
      <c r="V1341" s="64"/>
      <c r="W1341" s="64"/>
      <c r="X1341" s="64"/>
      <c r="Y1341" s="64"/>
      <c r="Z1341" s="64"/>
    </row>
    <row r="1342">
      <c r="A1342" s="69" t="str">
        <f>IFERROR(__xludf.DUMMYFUNCTION("""COMPUTED_VALUE"""),"-30.8959016441657")</f>
        <v>-30.8959016441657</v>
      </c>
      <c r="B1342" s="61" t="str">
        <f>IFERROR(__xludf.DUMMYFUNCTION("""COMPUTED_VALUE"""),"-55.5401112176754")</f>
        <v>-55.5401112176754</v>
      </c>
      <c r="C1342" s="61">
        <f>IFERROR(__xludf.DUMMYFUNCTION("""COMPUTED_VALUE"""),1.0)</f>
        <v>1</v>
      </c>
      <c r="D1342" s="61">
        <f>IFERROR(__xludf.DUMMYFUNCTION("""COMPUTED_VALUE"""),65.0)</f>
        <v>65</v>
      </c>
      <c r="E1342" s="61">
        <f>IFERROR(__xludf.DUMMYFUNCTION("""COMPUTED_VALUE"""),9.0)</f>
        <v>9</v>
      </c>
      <c r="F1342" s="62" t="str">
        <f>IFERROR(__xludf.DUMMYFUNCTION("""COMPUTED_VALUE"""),"https://www.google.com/maps/search/?api=1&amp;query=-30.8959016441657,-55.5401112176754")</f>
        <v>https://www.google.com/maps/search/?api=1&amp;query=-30.8959016441657,-55.5401112176754</v>
      </c>
      <c r="G1342" s="63" t="str">
        <f>IFERROR(__xludf.DUMMYFUNCTION("""COMPUTED_VALUE"""),"https://earth.google.com/web/search/-30.8959016441657,-55.5401112176754")</f>
        <v>https://earth.google.com/web/search/-30.8959016441657,-55.5401112176754</v>
      </c>
      <c r="H1342" s="64"/>
      <c r="I1342" s="64"/>
      <c r="J1342" s="64"/>
      <c r="K1342" s="64"/>
      <c r="L1342" s="64"/>
      <c r="M1342" s="64"/>
      <c r="N1342" s="64"/>
      <c r="O1342" s="64"/>
      <c r="P1342" s="64"/>
      <c r="Q1342" s="64"/>
      <c r="R1342" s="64"/>
      <c r="S1342" s="64"/>
      <c r="T1342" s="64"/>
      <c r="U1342" s="64"/>
      <c r="V1342" s="64"/>
      <c r="W1342" s="64"/>
      <c r="X1342" s="64"/>
      <c r="Y1342" s="64"/>
      <c r="Z1342" s="64"/>
    </row>
    <row r="1343">
      <c r="A1343" s="65" t="str">
        <f>IFERROR(__xludf.DUMMYFUNCTION("""COMPUTED_VALUE"""),"-30.8959016441658")</f>
        <v>-30.8959016441658</v>
      </c>
      <c r="B1343" s="66" t="str">
        <f>IFERROR(__xludf.DUMMYFUNCTION("""COMPUTED_VALUE"""),"-55.5477018452598")</f>
        <v>-55.5477018452598</v>
      </c>
      <c r="C1343" s="66">
        <f>IFERROR(__xludf.DUMMYFUNCTION("""COMPUTED_VALUE"""),1.0)</f>
        <v>1</v>
      </c>
      <c r="D1343" s="66" t="str">
        <f>IFERROR(__xludf.DUMMYFUNCTION("""COMPUTED_VALUE"""),"Entre F. Rivera y Atilio Paiva, Entre Pte. Viera y 33 Orientales")</f>
        <v>Entre F. Rivera y Atilio Paiva, Entre Pte. Viera y 33 Orientales</v>
      </c>
      <c r="E1343" s="66"/>
      <c r="F1343" s="67" t="str">
        <f>IFERROR(__xludf.DUMMYFUNCTION("""COMPUTED_VALUE"""),"https://www.google.com/maps/search/?api=1&amp;query=-30.8959016441658,-55.5477018452598")</f>
        <v>https://www.google.com/maps/search/?api=1&amp;query=-30.8959016441658,-55.5477018452598</v>
      </c>
      <c r="G1343" s="68" t="str">
        <f>IFERROR(__xludf.DUMMYFUNCTION("""COMPUTED_VALUE"""),"https://earth.google.com/web/search/-30.8959016441658,-55.5477018452598")</f>
        <v>https://earth.google.com/web/search/-30.8959016441658,-55.5477018452598</v>
      </c>
      <c r="H1343" s="64"/>
      <c r="I1343" s="64"/>
      <c r="J1343" s="64"/>
      <c r="K1343" s="64"/>
      <c r="L1343" s="64"/>
      <c r="M1343" s="64"/>
      <c r="N1343" s="64"/>
      <c r="O1343" s="64"/>
      <c r="P1343" s="64"/>
      <c r="Q1343" s="64"/>
      <c r="R1343" s="64"/>
      <c r="S1343" s="64"/>
      <c r="T1343" s="64"/>
      <c r="U1343" s="64"/>
      <c r="V1343" s="64"/>
      <c r="W1343" s="64"/>
      <c r="X1343" s="64"/>
      <c r="Y1343" s="64"/>
      <c r="Z1343" s="64"/>
    </row>
    <row r="1344">
      <c r="A1344" s="69" t="str">
        <f>IFERROR(__xludf.DUMMYFUNCTION("""COMPUTED_VALUE"""),"-30.8959016441659")</f>
        <v>-30.8959016441659</v>
      </c>
      <c r="B1344" s="61" t="str">
        <f>IFERROR(__xludf.DUMMYFUNCTION("""COMPUTED_VALUE"""),"-0.5554131620649")</f>
        <v>-0.5554131620649</v>
      </c>
      <c r="C1344" s="61">
        <f>IFERROR(__xludf.DUMMYFUNCTION("""COMPUTED_VALUE"""),1.0)</f>
        <v>1</v>
      </c>
      <c r="D1344" s="61" t="str">
        <f>IFERROR(__xludf.DUMMYFUNCTION("""COMPUTED_VALUE"""),"Entre F. Rivera y Atilio Paiva, Entre Pte. Viera y 33 Orientales")</f>
        <v>Entre F. Rivera y Atilio Paiva, Entre Pte. Viera y 33 Orientales</v>
      </c>
      <c r="E1344" s="61"/>
      <c r="F1344" s="62" t="str">
        <f>IFERROR(__xludf.DUMMYFUNCTION("""COMPUTED_VALUE"""),"https://www.google.com/maps/search/?api=1&amp;query=-30.8959016441659,-0.5554131620649")</f>
        <v>https://www.google.com/maps/search/?api=1&amp;query=-30.8959016441659,-0.5554131620649</v>
      </c>
      <c r="G1344" s="63" t="str">
        <f>IFERROR(__xludf.DUMMYFUNCTION("""COMPUTED_VALUE"""),"https://earth.google.com/web/search/-30.8959016441659,-0.5554131620649")</f>
        <v>https://earth.google.com/web/search/-30.8959016441659,-0.5554131620649</v>
      </c>
      <c r="H1344" s="64"/>
      <c r="I1344" s="64"/>
      <c r="J1344" s="64"/>
      <c r="K1344" s="64"/>
      <c r="L1344" s="64"/>
      <c r="M1344" s="64"/>
      <c r="N1344" s="64"/>
      <c r="O1344" s="64"/>
      <c r="P1344" s="64"/>
      <c r="Q1344" s="64"/>
      <c r="R1344" s="64"/>
      <c r="S1344" s="64"/>
      <c r="T1344" s="64"/>
      <c r="U1344" s="64"/>
      <c r="V1344" s="64"/>
      <c r="W1344" s="64"/>
      <c r="X1344" s="64"/>
      <c r="Y1344" s="64"/>
      <c r="Z1344" s="64"/>
    </row>
    <row r="1345">
      <c r="A1345" s="65" t="str">
        <f>IFERROR(__xludf.DUMMYFUNCTION("""COMPUTED_VALUE"""),"-30.8959016441660")</f>
        <v>-30.8959016441660</v>
      </c>
      <c r="B1345" s="66" t="str">
        <f>IFERROR(__xludf.DUMMYFUNCTION("""COMPUTED_VALUE"""),"-55.5340165279831")</f>
        <v>-55.5340165279831</v>
      </c>
      <c r="C1345" s="66">
        <f>IFERROR(__xludf.DUMMYFUNCTION("""COMPUTED_VALUE"""),1.0)</f>
        <v>1</v>
      </c>
      <c r="D1345" s="66" t="str">
        <f>IFERROR(__xludf.DUMMYFUNCTION("""COMPUTED_VALUE"""),"Entre F. Rivera y Atilio Paiva, Entre Pte. Viera y 33 Orientales")</f>
        <v>Entre F. Rivera y Atilio Paiva, Entre Pte. Viera y 33 Orientales</v>
      </c>
      <c r="E1345" s="66"/>
      <c r="F1345" s="67" t="str">
        <f>IFERROR(__xludf.DUMMYFUNCTION("""COMPUTED_VALUE"""),"https://www.google.com/maps/search/?api=1&amp;query=-30.8959016441660,-55.5340165279831")</f>
        <v>https://www.google.com/maps/search/?api=1&amp;query=-30.8959016441660,-55.5340165279831</v>
      </c>
      <c r="G1345" s="68" t="str">
        <f>IFERROR(__xludf.DUMMYFUNCTION("""COMPUTED_VALUE"""),"https://earth.google.com/web/search/-30.8959016441660,-55.5340165279831")</f>
        <v>https://earth.google.com/web/search/-30.8959016441660,-55.5340165279831</v>
      </c>
      <c r="H1345" s="64"/>
      <c r="I1345" s="64"/>
      <c r="J1345" s="64"/>
      <c r="K1345" s="64"/>
      <c r="L1345" s="64"/>
      <c r="M1345" s="64"/>
      <c r="N1345" s="64"/>
      <c r="O1345" s="64"/>
      <c r="P1345" s="64"/>
      <c r="Q1345" s="64"/>
      <c r="R1345" s="64"/>
      <c r="S1345" s="64"/>
      <c r="T1345" s="64"/>
      <c r="U1345" s="64"/>
      <c r="V1345" s="64"/>
      <c r="W1345" s="64"/>
      <c r="X1345" s="64"/>
      <c r="Y1345" s="64"/>
      <c r="Z1345" s="64"/>
    </row>
    <row r="1346">
      <c r="A1346" s="69" t="str">
        <f>IFERROR(__xludf.DUMMYFUNCTION("""COMPUTED_VALUE"""),"-30.8959016441661")</f>
        <v>-30.8959016441661</v>
      </c>
      <c r="B1346" s="61" t="str">
        <f>IFERROR(__xludf.DUMMYFUNCTION("""COMPUTED_VALUE"""),"-55.5340763571212")</f>
        <v>-55.5340763571212</v>
      </c>
      <c r="C1346" s="61">
        <f>IFERROR(__xludf.DUMMYFUNCTION("""COMPUTED_VALUE"""),1.0)</f>
        <v>1</v>
      </c>
      <c r="D1346" s="61" t="str">
        <f>IFERROR(__xludf.DUMMYFUNCTION("""COMPUTED_VALUE"""),"Entre F. Rivera y Atilio Paiva, Entre Pte. Viera y 33 Orientales")</f>
        <v>Entre F. Rivera y Atilio Paiva, Entre Pte. Viera y 33 Orientales</v>
      </c>
      <c r="E1346" s="61"/>
      <c r="F1346" s="62" t="str">
        <f>IFERROR(__xludf.DUMMYFUNCTION("""COMPUTED_VALUE"""),"https://www.google.com/maps/search/?api=1&amp;query=-30.8959016441661,-55.5340763571212")</f>
        <v>https://www.google.com/maps/search/?api=1&amp;query=-30.8959016441661,-55.5340763571212</v>
      </c>
      <c r="G1346" s="63" t="str">
        <f>IFERROR(__xludf.DUMMYFUNCTION("""COMPUTED_VALUE"""),"https://earth.google.com/web/search/-30.8959016441661,-55.5340763571212")</f>
        <v>https://earth.google.com/web/search/-30.8959016441661,-55.5340763571212</v>
      </c>
      <c r="H1346" s="64"/>
      <c r="I1346" s="64"/>
      <c r="J1346" s="64"/>
      <c r="K1346" s="64"/>
      <c r="L1346" s="64"/>
      <c r="M1346" s="64"/>
      <c r="N1346" s="64"/>
      <c r="O1346" s="64"/>
      <c r="P1346" s="64"/>
      <c r="Q1346" s="64"/>
      <c r="R1346" s="64"/>
      <c r="S1346" s="64"/>
      <c r="T1346" s="64"/>
      <c r="U1346" s="64"/>
      <c r="V1346" s="64"/>
      <c r="W1346" s="64"/>
      <c r="X1346" s="64"/>
      <c r="Y1346" s="64"/>
      <c r="Z1346" s="64"/>
    </row>
    <row r="1347">
      <c r="A1347" s="65" t="str">
        <f>IFERROR(__xludf.DUMMYFUNCTION("""COMPUTED_VALUE"""),"-30.8959016441662")</f>
        <v>-30.8959016441662</v>
      </c>
      <c r="B1347" s="66" t="str">
        <f>IFERROR(__xludf.DUMMYFUNCTION("""COMPUTED_VALUE"""),"-55.5369647109911")</f>
        <v>-55.5369647109911</v>
      </c>
      <c r="C1347" s="66">
        <f>IFERROR(__xludf.DUMMYFUNCTION("""COMPUTED_VALUE"""),1.0)</f>
        <v>1</v>
      </c>
      <c r="D1347" s="66" t="str">
        <f>IFERROR(__xludf.DUMMYFUNCTION("""COMPUTED_VALUE"""),"Entre F. Rivera y Atilio Paiva, Entre Pte. Viera y 33 Orientales")</f>
        <v>Entre F. Rivera y Atilio Paiva, Entre Pte. Viera y 33 Orientales</v>
      </c>
      <c r="E1347" s="66"/>
      <c r="F1347" s="67" t="str">
        <f>IFERROR(__xludf.DUMMYFUNCTION("""COMPUTED_VALUE"""),"https://www.google.com/maps/search/?api=1&amp;query=-30.8959016441662,-55.5369647109911")</f>
        <v>https://www.google.com/maps/search/?api=1&amp;query=-30.8959016441662,-55.5369647109911</v>
      </c>
      <c r="G1347" s="68" t="str">
        <f>IFERROR(__xludf.DUMMYFUNCTION("""COMPUTED_VALUE"""),"https://earth.google.com/web/search/-30.8959016441662,-55.5369647109911")</f>
        <v>https://earth.google.com/web/search/-30.8959016441662,-55.5369647109911</v>
      </c>
      <c r="H1347" s="64"/>
      <c r="I1347" s="64"/>
      <c r="J1347" s="64"/>
      <c r="K1347" s="64"/>
      <c r="L1347" s="64"/>
      <c r="M1347" s="64"/>
      <c r="N1347" s="64"/>
      <c r="O1347" s="64"/>
      <c r="P1347" s="64"/>
      <c r="Q1347" s="64"/>
      <c r="R1347" s="64"/>
      <c r="S1347" s="64"/>
      <c r="T1347" s="64"/>
      <c r="U1347" s="64"/>
      <c r="V1347" s="64"/>
      <c r="W1347" s="64"/>
      <c r="X1347" s="64"/>
      <c r="Y1347" s="64"/>
      <c r="Z1347" s="64"/>
    </row>
    <row r="1348">
      <c r="A1348" s="69" t="str">
        <f>IFERROR(__xludf.DUMMYFUNCTION("""COMPUTED_VALUE"""),"-30.8959016441663")</f>
        <v>-30.8959016441663</v>
      </c>
      <c r="B1348" s="61" t="str">
        <f>IFERROR(__xludf.DUMMYFUNCTION("""COMPUTED_VALUE"""),"-55.5372280297546")</f>
        <v>-55.5372280297546</v>
      </c>
      <c r="C1348" s="61">
        <f>IFERROR(__xludf.DUMMYFUNCTION("""COMPUTED_VALUE"""),1.0)</f>
        <v>1</v>
      </c>
      <c r="D1348" s="61" t="str">
        <f>IFERROR(__xludf.DUMMYFUNCTION("""COMPUTED_VALUE"""),"Entre F. Rivera y Atilio Paiva, Entre Pte. Viera y 33 Orientales")</f>
        <v>Entre F. Rivera y Atilio Paiva, Entre Pte. Viera y 33 Orientales</v>
      </c>
      <c r="E1348" s="61"/>
      <c r="F1348" s="62" t="str">
        <f>IFERROR(__xludf.DUMMYFUNCTION("""COMPUTED_VALUE"""),"https://www.google.com/maps/search/?api=1&amp;query=-30.8959016441663,-55.5372280297546")</f>
        <v>https://www.google.com/maps/search/?api=1&amp;query=-30.8959016441663,-55.5372280297546</v>
      </c>
      <c r="G1348" s="63" t="str">
        <f>IFERROR(__xludf.DUMMYFUNCTION("""COMPUTED_VALUE"""),"https://earth.google.com/web/search/-30.8959016441663,-55.5372280297546")</f>
        <v>https://earth.google.com/web/search/-30.8959016441663,-55.5372280297546</v>
      </c>
      <c r="H1348" s="64"/>
      <c r="I1348" s="64"/>
      <c r="J1348" s="64"/>
      <c r="K1348" s="64"/>
      <c r="L1348" s="64"/>
      <c r="M1348" s="64"/>
      <c r="N1348" s="64"/>
      <c r="O1348" s="64"/>
      <c r="P1348" s="64"/>
      <c r="Q1348" s="64"/>
      <c r="R1348" s="64"/>
      <c r="S1348" s="64"/>
      <c r="T1348" s="64"/>
      <c r="U1348" s="64"/>
      <c r="V1348" s="64"/>
      <c r="W1348" s="64"/>
      <c r="X1348" s="64"/>
      <c r="Y1348" s="64"/>
      <c r="Z1348" s="64"/>
    </row>
    <row r="1349">
      <c r="A1349" s="65" t="str">
        <f>IFERROR(__xludf.DUMMYFUNCTION("""COMPUTED_VALUE"""),"-30.8959016441664")</f>
        <v>-30.8959016441664</v>
      </c>
      <c r="B1349" s="66" t="str">
        <f>IFERROR(__xludf.DUMMYFUNCTION("""COMPUTED_VALUE"""),"-5.5538072420344")</f>
        <v>-5.5538072420344</v>
      </c>
      <c r="C1349" s="66">
        <f>IFERROR(__xludf.DUMMYFUNCTION("""COMPUTED_VALUE"""),1.0)</f>
        <v>1</v>
      </c>
      <c r="D1349" s="66" t="str">
        <f>IFERROR(__xludf.DUMMYFUNCTION("""COMPUTED_VALUE"""),"Entre F. Rivera y Atilio Paiva, Entre Pte. Viera y 33 Orientales")</f>
        <v>Entre F. Rivera y Atilio Paiva, Entre Pte. Viera y 33 Orientales</v>
      </c>
      <c r="E1349" s="66"/>
      <c r="F1349" s="67" t="str">
        <f>IFERROR(__xludf.DUMMYFUNCTION("""COMPUTED_VALUE"""),"https://www.google.com/maps/search/?api=1&amp;query=-30.8959016441664,-5.5538072420344")</f>
        <v>https://www.google.com/maps/search/?api=1&amp;query=-30.8959016441664,-5.5538072420344</v>
      </c>
      <c r="G1349" s="68" t="str">
        <f>IFERROR(__xludf.DUMMYFUNCTION("""COMPUTED_VALUE"""),"https://earth.google.com/web/search/-30.8959016441664,-5.5538072420344")</f>
        <v>https://earth.google.com/web/search/-30.8959016441664,-5.5538072420344</v>
      </c>
      <c r="H1349" s="64"/>
      <c r="I1349" s="64"/>
      <c r="J1349" s="64"/>
      <c r="K1349" s="64"/>
      <c r="L1349" s="64"/>
      <c r="M1349" s="64"/>
      <c r="N1349" s="64"/>
      <c r="O1349" s="64"/>
      <c r="P1349" s="64"/>
      <c r="Q1349" s="64"/>
      <c r="R1349" s="64"/>
      <c r="S1349" s="64"/>
      <c r="T1349" s="64"/>
      <c r="U1349" s="64"/>
      <c r="V1349" s="64"/>
      <c r="W1349" s="64"/>
      <c r="X1349" s="64"/>
      <c r="Y1349" s="64"/>
      <c r="Z1349" s="64"/>
    </row>
    <row r="1350">
      <c r="A1350" s="69" t="str">
        <f>IFERROR(__xludf.DUMMYFUNCTION("""COMPUTED_VALUE"""),"-30.8959016441665")</f>
        <v>-30.8959016441665</v>
      </c>
      <c r="B1350" s="61" t="str">
        <f>IFERROR(__xludf.DUMMYFUNCTION("""COMPUTED_VALUE"""),"-55.5398445266338")</f>
        <v>-55.5398445266338</v>
      </c>
      <c r="C1350" s="61">
        <f>IFERROR(__xludf.DUMMYFUNCTION("""COMPUTED_VALUE"""),1.0)</f>
        <v>1</v>
      </c>
      <c r="D1350" s="61" t="str">
        <f>IFERROR(__xludf.DUMMYFUNCTION("""COMPUTED_VALUE"""),"Entre F. Rivera y Atilio Paiva, Entre Pte. Viera y 33 Orientales")</f>
        <v>Entre F. Rivera y Atilio Paiva, Entre Pte. Viera y 33 Orientales</v>
      </c>
      <c r="E1350" s="61"/>
      <c r="F1350" s="62" t="str">
        <f>IFERROR(__xludf.DUMMYFUNCTION("""COMPUTED_VALUE"""),"https://www.google.com/maps/search/?api=1&amp;query=-30.8959016441665,-55.5398445266338")</f>
        <v>https://www.google.com/maps/search/?api=1&amp;query=-30.8959016441665,-55.5398445266338</v>
      </c>
      <c r="G1350" s="63" t="str">
        <f>IFERROR(__xludf.DUMMYFUNCTION("""COMPUTED_VALUE"""),"https://earth.google.com/web/search/-30.8959016441665,-55.5398445266338")</f>
        <v>https://earth.google.com/web/search/-30.8959016441665,-55.5398445266338</v>
      </c>
      <c r="H1350" s="64"/>
      <c r="I1350" s="64"/>
      <c r="J1350" s="64"/>
      <c r="K1350" s="64"/>
      <c r="L1350" s="64"/>
      <c r="M1350" s="64"/>
      <c r="N1350" s="64"/>
      <c r="O1350" s="64"/>
      <c r="P1350" s="64"/>
      <c r="Q1350" s="64"/>
      <c r="R1350" s="64"/>
      <c r="S1350" s="64"/>
      <c r="T1350" s="64"/>
      <c r="U1350" s="64"/>
      <c r="V1350" s="64"/>
      <c r="W1350" s="64"/>
      <c r="X1350" s="64"/>
      <c r="Y1350" s="64"/>
      <c r="Z1350" s="64"/>
    </row>
    <row r="1351">
      <c r="A1351" s="65" t="str">
        <f>IFERROR(__xludf.DUMMYFUNCTION("""COMPUTED_VALUE"""),"-30.8959016441666")</f>
        <v>-30.8959016441666</v>
      </c>
      <c r="B1351" s="66" t="str">
        <f>IFERROR(__xludf.DUMMYFUNCTION("""COMPUTED_VALUE"""),"-55.5477018452598")</f>
        <v>-55.5477018452598</v>
      </c>
      <c r="C1351" s="66">
        <f>IFERROR(__xludf.DUMMYFUNCTION("""COMPUTED_VALUE"""),1.0)</f>
        <v>1</v>
      </c>
      <c r="D1351" s="66" t="str">
        <f>IFERROR(__xludf.DUMMYFUNCTION("""COMPUTED_VALUE"""),"Entre F. Rivera y Atilio Paiva, Entre Pte. Viera y 33 Orientales")</f>
        <v>Entre F. Rivera y Atilio Paiva, Entre Pte. Viera y 33 Orientales</v>
      </c>
      <c r="E1351" s="66"/>
      <c r="F1351" s="67" t="str">
        <f>IFERROR(__xludf.DUMMYFUNCTION("""COMPUTED_VALUE"""),"https://www.google.com/maps/search/?api=1&amp;query=-30.8959016441666,-55.5477018452598")</f>
        <v>https://www.google.com/maps/search/?api=1&amp;query=-30.8959016441666,-55.5477018452598</v>
      </c>
      <c r="G1351" s="68" t="str">
        <f>IFERROR(__xludf.DUMMYFUNCTION("""COMPUTED_VALUE"""),"https://earth.google.com/web/search/-30.8959016441666,-55.5477018452598")</f>
        <v>https://earth.google.com/web/search/-30.8959016441666,-55.5477018452598</v>
      </c>
      <c r="H1351" s="64"/>
      <c r="I1351" s="64"/>
      <c r="J1351" s="64"/>
      <c r="K1351" s="64"/>
      <c r="L1351" s="64"/>
      <c r="M1351" s="64"/>
      <c r="N1351" s="64"/>
      <c r="O1351" s="64"/>
      <c r="P1351" s="64"/>
      <c r="Q1351" s="64"/>
      <c r="R1351" s="64"/>
      <c r="S1351" s="64"/>
      <c r="T1351" s="64"/>
      <c r="U1351" s="64"/>
      <c r="V1351" s="64"/>
      <c r="W1351" s="64"/>
      <c r="X1351" s="64"/>
      <c r="Y1351" s="64"/>
      <c r="Z1351" s="64"/>
    </row>
    <row r="1352">
      <c r="A1352" s="69" t="str">
        <f>IFERROR(__xludf.DUMMYFUNCTION("""COMPUTED_VALUE"""),"-30.8959016441667")</f>
        <v>-30.8959016441667</v>
      </c>
      <c r="B1352" s="61" t="str">
        <f>IFERROR(__xludf.DUMMYFUNCTION("""COMPUTED_VALUE"""),"-55.5399252769206")</f>
        <v>-55.5399252769206</v>
      </c>
      <c r="C1352" s="61">
        <f>IFERROR(__xludf.DUMMYFUNCTION("""COMPUTED_VALUE"""),1.0)</f>
        <v>1</v>
      </c>
      <c r="D1352" s="61">
        <f>IFERROR(__xludf.DUMMYFUNCTION("""COMPUTED_VALUE"""),1.0)</f>
        <v>1</v>
      </c>
      <c r="E1352" s="61"/>
      <c r="F1352" s="62" t="str">
        <f>IFERROR(__xludf.DUMMYFUNCTION("""COMPUTED_VALUE"""),"https://www.google.com/maps/search/?api=1&amp;query=-30.8959016441667,-55.5399252769206")</f>
        <v>https://www.google.com/maps/search/?api=1&amp;query=-30.8959016441667,-55.5399252769206</v>
      </c>
      <c r="G1352" s="63" t="str">
        <f>IFERROR(__xludf.DUMMYFUNCTION("""COMPUTED_VALUE"""),"https://earth.google.com/web/search/-30.8959016441667,-55.5399252769206")</f>
        <v>https://earth.google.com/web/search/-30.8959016441667,-55.5399252769206</v>
      </c>
      <c r="H1352" s="64"/>
      <c r="I1352" s="64"/>
      <c r="J1352" s="64"/>
      <c r="K1352" s="64"/>
      <c r="L1352" s="64"/>
      <c r="M1352" s="64"/>
      <c r="N1352" s="64"/>
      <c r="O1352" s="64"/>
      <c r="P1352" s="64"/>
      <c r="Q1352" s="64"/>
      <c r="R1352" s="64"/>
      <c r="S1352" s="64"/>
      <c r="T1352" s="64"/>
      <c r="U1352" s="64"/>
      <c r="V1352" s="64"/>
      <c r="W1352" s="64"/>
      <c r="X1352" s="64"/>
      <c r="Y1352" s="64"/>
      <c r="Z1352" s="64"/>
    </row>
    <row r="1353">
      <c r="A1353" s="70" t="str">
        <f>IFERROR(__xludf.DUMMYFUNCTION("""COMPUTED_VALUE"""),"-30.8959016441668")</f>
        <v>-30.8959016441668</v>
      </c>
      <c r="B1353" s="71" t="str">
        <f>IFERROR(__xludf.DUMMYFUNCTION("""COMPUTED_VALUE"""),"-55.5416650969446")</f>
        <v>-55.5416650969446</v>
      </c>
      <c r="C1353" s="71">
        <f>IFERROR(__xludf.DUMMYFUNCTION("""COMPUTED_VALUE"""),1.0)</f>
        <v>1</v>
      </c>
      <c r="D1353" s="71">
        <f>IFERROR(__xludf.DUMMYFUNCTION("""COMPUTED_VALUE"""),1420.0)</f>
        <v>1420</v>
      </c>
      <c r="E1353" s="71"/>
      <c r="F1353" s="72" t="str">
        <f>IFERROR(__xludf.DUMMYFUNCTION("""COMPUTED_VALUE"""),"https://www.google.com/maps/search/?api=1&amp;query=-30.8959016441668,-55.5416650969446")</f>
        <v>https://www.google.com/maps/search/?api=1&amp;query=-30.8959016441668,-55.5416650969446</v>
      </c>
      <c r="G1353" s="73" t="str">
        <f>IFERROR(__xludf.DUMMYFUNCTION("""COMPUTED_VALUE"""),"https://earth.google.com/web/search/-30.8959016441668,-55.5416650969446")</f>
        <v>https://earth.google.com/web/search/-30.8959016441668,-55.5416650969446</v>
      </c>
      <c r="H1353" s="64"/>
      <c r="I1353" s="64"/>
      <c r="J1353" s="64"/>
      <c r="K1353" s="64"/>
      <c r="L1353" s="64"/>
      <c r="M1353" s="64"/>
      <c r="N1353" s="64"/>
      <c r="O1353" s="64"/>
      <c r="P1353" s="64"/>
      <c r="Q1353" s="64"/>
      <c r="R1353" s="64"/>
      <c r="S1353" s="64"/>
      <c r="T1353" s="64"/>
      <c r="U1353" s="64"/>
      <c r="V1353" s="64"/>
      <c r="W1353" s="64"/>
      <c r="X1353" s="64"/>
      <c r="Y1353" s="64"/>
      <c r="Z1353" s="64"/>
    </row>
  </sheetData>
  <mergeCells count="1">
    <mergeCell ref="B1:D1"/>
  </mergeCells>
  <hyperlinks>
    <hyperlink r:id="rId1" ref="F4"/>
    <hyperlink r:id="rId2" ref="G4"/>
    <hyperlink r:id="rId3" ref="F5"/>
    <hyperlink r:id="rId4" ref="G5"/>
    <hyperlink r:id="rId5" ref="F6"/>
    <hyperlink r:id="rId6" ref="G6"/>
    <hyperlink r:id="rId7" ref="F7"/>
    <hyperlink r:id="rId8" ref="G7"/>
    <hyperlink r:id="rId9" ref="F8"/>
    <hyperlink r:id="rId10" ref="G8"/>
    <hyperlink r:id="rId11" ref="F9"/>
    <hyperlink r:id="rId12" ref="G9"/>
    <hyperlink r:id="rId13" ref="F10"/>
    <hyperlink r:id="rId14" ref="G10"/>
    <hyperlink r:id="rId15" ref="F11"/>
    <hyperlink r:id="rId16" ref="G11"/>
    <hyperlink r:id="rId17" ref="F12"/>
    <hyperlink r:id="rId18" ref="G12"/>
    <hyperlink r:id="rId19" ref="F13"/>
    <hyperlink r:id="rId20" ref="G13"/>
    <hyperlink r:id="rId21" ref="F14"/>
    <hyperlink r:id="rId22" ref="G14"/>
    <hyperlink r:id="rId23" ref="F15"/>
    <hyperlink r:id="rId24" ref="G15"/>
    <hyperlink r:id="rId25" ref="F16"/>
    <hyperlink r:id="rId26" ref="G16"/>
    <hyperlink r:id="rId27" ref="F17"/>
    <hyperlink r:id="rId28" ref="G17"/>
    <hyperlink r:id="rId29" ref="F18"/>
    <hyperlink r:id="rId30" ref="G18"/>
    <hyperlink r:id="rId31" ref="F19"/>
    <hyperlink r:id="rId32" ref="G19"/>
    <hyperlink r:id="rId33" ref="F20"/>
    <hyperlink r:id="rId34" ref="G20"/>
    <hyperlink r:id="rId35" ref="F21"/>
    <hyperlink r:id="rId36" ref="G21"/>
    <hyperlink r:id="rId37" ref="F22"/>
    <hyperlink r:id="rId38" ref="G22"/>
    <hyperlink r:id="rId39" ref="F23"/>
    <hyperlink r:id="rId40" ref="G23"/>
    <hyperlink r:id="rId41" ref="F24"/>
    <hyperlink r:id="rId42" ref="G24"/>
    <hyperlink r:id="rId43" ref="F25"/>
    <hyperlink r:id="rId44" ref="G25"/>
    <hyperlink r:id="rId45" ref="F26"/>
    <hyperlink r:id="rId46" ref="G26"/>
    <hyperlink r:id="rId47" ref="F27"/>
    <hyperlink r:id="rId48" ref="G27"/>
    <hyperlink r:id="rId49" ref="F28"/>
    <hyperlink r:id="rId50" ref="G28"/>
    <hyperlink r:id="rId51" ref="F29"/>
    <hyperlink r:id="rId52" ref="G29"/>
    <hyperlink r:id="rId53" ref="F30"/>
    <hyperlink r:id="rId54" ref="G30"/>
    <hyperlink r:id="rId55" ref="F31"/>
    <hyperlink r:id="rId56" ref="G31"/>
    <hyperlink r:id="rId57" ref="F32"/>
    <hyperlink r:id="rId58" ref="G32"/>
    <hyperlink r:id="rId59" ref="F33"/>
    <hyperlink r:id="rId60" ref="G33"/>
    <hyperlink r:id="rId61" ref="F34"/>
    <hyperlink r:id="rId62" ref="G34"/>
    <hyperlink r:id="rId63" ref="F35"/>
    <hyperlink r:id="rId64" ref="G35"/>
    <hyperlink r:id="rId65" ref="F36"/>
    <hyperlink r:id="rId66" ref="G36"/>
    <hyperlink r:id="rId67" ref="F37"/>
    <hyperlink r:id="rId68" ref="G37"/>
    <hyperlink r:id="rId69" ref="F38"/>
    <hyperlink r:id="rId70" ref="G38"/>
    <hyperlink r:id="rId71" ref="F39"/>
    <hyperlink r:id="rId72" ref="G39"/>
    <hyperlink r:id="rId73" ref="F40"/>
    <hyperlink r:id="rId74" ref="G40"/>
    <hyperlink r:id="rId75" ref="F41"/>
    <hyperlink r:id="rId76" ref="G41"/>
    <hyperlink r:id="rId77" ref="F42"/>
    <hyperlink r:id="rId78" ref="G42"/>
    <hyperlink r:id="rId79" ref="F43"/>
    <hyperlink r:id="rId80" ref="G43"/>
    <hyperlink r:id="rId81" ref="F44"/>
    <hyperlink r:id="rId82" ref="G44"/>
    <hyperlink r:id="rId83" ref="F45"/>
    <hyperlink r:id="rId84" ref="G45"/>
    <hyperlink r:id="rId85" ref="F46"/>
    <hyperlink r:id="rId86" ref="G46"/>
    <hyperlink r:id="rId87" ref="F47"/>
    <hyperlink r:id="rId88" ref="G47"/>
    <hyperlink r:id="rId89" ref="F48"/>
    <hyperlink r:id="rId90" ref="G48"/>
    <hyperlink r:id="rId91" ref="F49"/>
    <hyperlink r:id="rId92" ref="G49"/>
    <hyperlink r:id="rId93" ref="F50"/>
    <hyperlink r:id="rId94" ref="G50"/>
    <hyperlink r:id="rId95" ref="F51"/>
    <hyperlink r:id="rId96" ref="G51"/>
    <hyperlink r:id="rId97" ref="F52"/>
    <hyperlink r:id="rId98" ref="G52"/>
    <hyperlink r:id="rId99" ref="F53"/>
    <hyperlink r:id="rId100" ref="G53"/>
    <hyperlink r:id="rId101" ref="F54"/>
    <hyperlink r:id="rId102" ref="G54"/>
    <hyperlink r:id="rId103" ref="F55"/>
    <hyperlink r:id="rId104" ref="G55"/>
    <hyperlink r:id="rId105" ref="F56"/>
    <hyperlink r:id="rId106" ref="G56"/>
    <hyperlink r:id="rId107" ref="F57"/>
    <hyperlink r:id="rId108" ref="G57"/>
    <hyperlink r:id="rId109" ref="F58"/>
    <hyperlink r:id="rId110" ref="G58"/>
    <hyperlink r:id="rId111" ref="F59"/>
    <hyperlink r:id="rId112" ref="G59"/>
    <hyperlink r:id="rId113" ref="F60"/>
    <hyperlink r:id="rId114" ref="G60"/>
    <hyperlink r:id="rId115" ref="F61"/>
    <hyperlink r:id="rId116" ref="G61"/>
    <hyperlink r:id="rId117" ref="F62"/>
    <hyperlink r:id="rId118" ref="G62"/>
    <hyperlink r:id="rId119" ref="F63"/>
    <hyperlink r:id="rId120" ref="G63"/>
    <hyperlink r:id="rId121" ref="F64"/>
    <hyperlink r:id="rId122" ref="G64"/>
    <hyperlink r:id="rId123" ref="F65"/>
    <hyperlink r:id="rId124" ref="G65"/>
    <hyperlink r:id="rId125" ref="F66"/>
    <hyperlink r:id="rId126" ref="G66"/>
    <hyperlink r:id="rId127" ref="F67"/>
    <hyperlink r:id="rId128" ref="G67"/>
    <hyperlink r:id="rId129" ref="F68"/>
    <hyperlink r:id="rId130" ref="G68"/>
    <hyperlink r:id="rId131" ref="F69"/>
    <hyperlink r:id="rId132" ref="G69"/>
    <hyperlink r:id="rId133" ref="F70"/>
    <hyperlink r:id="rId134" ref="G70"/>
    <hyperlink r:id="rId135" ref="F71"/>
    <hyperlink r:id="rId136" ref="G71"/>
    <hyperlink r:id="rId137" ref="F72"/>
    <hyperlink r:id="rId138" ref="G72"/>
    <hyperlink r:id="rId139" ref="F73"/>
    <hyperlink r:id="rId140" ref="G73"/>
    <hyperlink r:id="rId141" ref="F74"/>
    <hyperlink r:id="rId142" ref="G74"/>
    <hyperlink r:id="rId143" ref="F75"/>
    <hyperlink r:id="rId144" ref="G75"/>
    <hyperlink r:id="rId145" ref="F76"/>
    <hyperlink r:id="rId146" ref="G76"/>
    <hyperlink r:id="rId147" ref="F77"/>
    <hyperlink r:id="rId148" ref="G77"/>
    <hyperlink r:id="rId149" ref="F78"/>
    <hyperlink r:id="rId150" ref="G78"/>
    <hyperlink r:id="rId151" ref="F79"/>
    <hyperlink r:id="rId152" ref="G79"/>
    <hyperlink r:id="rId153" ref="F80"/>
    <hyperlink r:id="rId154" ref="G80"/>
    <hyperlink r:id="rId155" ref="F81"/>
    <hyperlink r:id="rId156" ref="G81"/>
    <hyperlink r:id="rId157" ref="F82"/>
    <hyperlink r:id="rId158" ref="G82"/>
    <hyperlink r:id="rId159" ref="F83"/>
    <hyperlink r:id="rId160" ref="G83"/>
    <hyperlink r:id="rId161" ref="F84"/>
    <hyperlink r:id="rId162" ref="G84"/>
    <hyperlink r:id="rId163" ref="F85"/>
    <hyperlink r:id="rId164" ref="G85"/>
    <hyperlink r:id="rId165" ref="F86"/>
    <hyperlink r:id="rId166" ref="G86"/>
    <hyperlink r:id="rId167" ref="F87"/>
    <hyperlink r:id="rId168" ref="G87"/>
    <hyperlink r:id="rId169" ref="F88"/>
    <hyperlink r:id="rId170" ref="G88"/>
    <hyperlink r:id="rId171" ref="F89"/>
    <hyperlink r:id="rId172" ref="G89"/>
    <hyperlink r:id="rId173" ref="F90"/>
    <hyperlink r:id="rId174" ref="G90"/>
    <hyperlink r:id="rId175" ref="F91"/>
    <hyperlink r:id="rId176" ref="G91"/>
    <hyperlink r:id="rId177" ref="F92"/>
    <hyperlink r:id="rId178" ref="G92"/>
    <hyperlink r:id="rId179" ref="F93"/>
    <hyperlink r:id="rId180" ref="G93"/>
    <hyperlink r:id="rId181" ref="F94"/>
    <hyperlink r:id="rId182" ref="G94"/>
    <hyperlink r:id="rId183" ref="F95"/>
    <hyperlink r:id="rId184" ref="G95"/>
    <hyperlink r:id="rId185" ref="F96"/>
    <hyperlink r:id="rId186" ref="G96"/>
    <hyperlink r:id="rId187" ref="F97"/>
    <hyperlink r:id="rId188" ref="G97"/>
    <hyperlink r:id="rId189" ref="F98"/>
    <hyperlink r:id="rId190" ref="G98"/>
    <hyperlink r:id="rId191" ref="F99"/>
    <hyperlink r:id="rId192" ref="G99"/>
    <hyperlink r:id="rId193" ref="F100"/>
    <hyperlink r:id="rId194" ref="G100"/>
    <hyperlink r:id="rId195" ref="F101"/>
    <hyperlink r:id="rId196" ref="G101"/>
    <hyperlink r:id="rId197" ref="F102"/>
    <hyperlink r:id="rId198" ref="G102"/>
    <hyperlink r:id="rId199" ref="F103"/>
    <hyperlink r:id="rId200" ref="G103"/>
    <hyperlink r:id="rId201" ref="F104"/>
    <hyperlink r:id="rId202" ref="G104"/>
    <hyperlink r:id="rId203" ref="F105"/>
    <hyperlink r:id="rId204" ref="G105"/>
    <hyperlink r:id="rId205" ref="F106"/>
    <hyperlink r:id="rId206" ref="G106"/>
    <hyperlink r:id="rId207" ref="F107"/>
    <hyperlink r:id="rId208" ref="G107"/>
    <hyperlink r:id="rId209" ref="F108"/>
    <hyperlink r:id="rId210" ref="G108"/>
    <hyperlink r:id="rId211" ref="F109"/>
    <hyperlink r:id="rId212" ref="G109"/>
    <hyperlink r:id="rId213" ref="F110"/>
    <hyperlink r:id="rId214" ref="G110"/>
    <hyperlink r:id="rId215" ref="F111"/>
    <hyperlink r:id="rId216" ref="G111"/>
    <hyperlink r:id="rId217" ref="F112"/>
    <hyperlink r:id="rId218" ref="G112"/>
    <hyperlink r:id="rId219" ref="F113"/>
    <hyperlink r:id="rId220" ref="G113"/>
    <hyperlink r:id="rId221" ref="F114"/>
    <hyperlink r:id="rId222" ref="G114"/>
    <hyperlink r:id="rId223" ref="F115"/>
    <hyperlink r:id="rId224" ref="G115"/>
    <hyperlink r:id="rId225" ref="F116"/>
    <hyperlink r:id="rId226" ref="G116"/>
    <hyperlink r:id="rId227" ref="F117"/>
    <hyperlink r:id="rId228" ref="G117"/>
    <hyperlink r:id="rId229" ref="F118"/>
    <hyperlink r:id="rId230" ref="G118"/>
    <hyperlink r:id="rId231" ref="F119"/>
    <hyperlink r:id="rId232" ref="G119"/>
    <hyperlink r:id="rId233" ref="F120"/>
    <hyperlink r:id="rId234" ref="G120"/>
    <hyperlink r:id="rId235" ref="F121"/>
    <hyperlink r:id="rId236" ref="G121"/>
    <hyperlink r:id="rId237" ref="F122"/>
    <hyperlink r:id="rId238" ref="G122"/>
    <hyperlink r:id="rId239" ref="F123"/>
    <hyperlink r:id="rId240" ref="G123"/>
    <hyperlink r:id="rId241" ref="F124"/>
    <hyperlink r:id="rId242" ref="G124"/>
    <hyperlink r:id="rId243" ref="F125"/>
    <hyperlink r:id="rId244" ref="G125"/>
    <hyperlink r:id="rId245" ref="F126"/>
    <hyperlink r:id="rId246" ref="G126"/>
    <hyperlink r:id="rId247" ref="F127"/>
    <hyperlink r:id="rId248" ref="G127"/>
    <hyperlink r:id="rId249" ref="F128"/>
    <hyperlink r:id="rId250" ref="G128"/>
    <hyperlink r:id="rId251" ref="F129"/>
    <hyperlink r:id="rId252" ref="G129"/>
    <hyperlink r:id="rId253" ref="F130"/>
    <hyperlink r:id="rId254" ref="G130"/>
    <hyperlink r:id="rId255" ref="F131"/>
    <hyperlink r:id="rId256" ref="G131"/>
    <hyperlink r:id="rId257" ref="F132"/>
    <hyperlink r:id="rId258" ref="G132"/>
    <hyperlink r:id="rId259" ref="F133"/>
    <hyperlink r:id="rId260" ref="G133"/>
    <hyperlink r:id="rId261" ref="F134"/>
    <hyperlink r:id="rId262" ref="G134"/>
    <hyperlink r:id="rId263" ref="F135"/>
    <hyperlink r:id="rId264" ref="G135"/>
    <hyperlink r:id="rId265" ref="F136"/>
    <hyperlink r:id="rId266" ref="G136"/>
    <hyperlink r:id="rId267" ref="F137"/>
    <hyperlink r:id="rId268" ref="G137"/>
    <hyperlink r:id="rId269" ref="F138"/>
    <hyperlink r:id="rId270" ref="G138"/>
    <hyperlink r:id="rId271" ref="F139"/>
    <hyperlink r:id="rId272" ref="G139"/>
    <hyperlink r:id="rId273" ref="F140"/>
    <hyperlink r:id="rId274" ref="G140"/>
    <hyperlink r:id="rId275" ref="F141"/>
    <hyperlink r:id="rId276" ref="G141"/>
    <hyperlink r:id="rId277" ref="F142"/>
    <hyperlink r:id="rId278" ref="G142"/>
    <hyperlink r:id="rId279" ref="F143"/>
    <hyperlink r:id="rId280" ref="G143"/>
    <hyperlink r:id="rId281" ref="F144"/>
    <hyperlink r:id="rId282" ref="G144"/>
    <hyperlink r:id="rId283" ref="F145"/>
    <hyperlink r:id="rId284" ref="G145"/>
    <hyperlink r:id="rId285" ref="F146"/>
    <hyperlink r:id="rId286" ref="G146"/>
    <hyperlink r:id="rId287" ref="F147"/>
    <hyperlink r:id="rId288" ref="G147"/>
    <hyperlink r:id="rId289" ref="F148"/>
    <hyperlink r:id="rId290" ref="G148"/>
    <hyperlink r:id="rId291" ref="F149"/>
    <hyperlink r:id="rId292" ref="G149"/>
    <hyperlink r:id="rId293" ref="F150"/>
    <hyperlink r:id="rId294" ref="G150"/>
    <hyperlink r:id="rId295" ref="F151"/>
    <hyperlink r:id="rId296" ref="G151"/>
    <hyperlink r:id="rId297" ref="F152"/>
    <hyperlink r:id="rId298" ref="G152"/>
    <hyperlink r:id="rId299" ref="F153"/>
    <hyperlink r:id="rId300" ref="G153"/>
    <hyperlink r:id="rId301" ref="F154"/>
    <hyperlink r:id="rId302" ref="G154"/>
    <hyperlink r:id="rId303" ref="F155"/>
    <hyperlink r:id="rId304" ref="G155"/>
    <hyperlink r:id="rId305" ref="F156"/>
    <hyperlink r:id="rId306" ref="G156"/>
    <hyperlink r:id="rId307" ref="F157"/>
    <hyperlink r:id="rId308" ref="G157"/>
    <hyperlink r:id="rId309" ref="F158"/>
    <hyperlink r:id="rId310" ref="G158"/>
    <hyperlink r:id="rId311" ref="F159"/>
    <hyperlink r:id="rId312" ref="G159"/>
    <hyperlink r:id="rId313" ref="F160"/>
    <hyperlink r:id="rId314" ref="G160"/>
    <hyperlink r:id="rId315" ref="F161"/>
    <hyperlink r:id="rId316" ref="G161"/>
    <hyperlink r:id="rId317" ref="F162"/>
    <hyperlink r:id="rId318" ref="G162"/>
    <hyperlink r:id="rId319" ref="F163"/>
    <hyperlink r:id="rId320" ref="G163"/>
    <hyperlink r:id="rId321" ref="F164"/>
    <hyperlink r:id="rId322" ref="G164"/>
    <hyperlink r:id="rId323" ref="F165"/>
    <hyperlink r:id="rId324" ref="G165"/>
    <hyperlink r:id="rId325" ref="F166"/>
    <hyperlink r:id="rId326" ref="G166"/>
    <hyperlink r:id="rId327" ref="F167"/>
    <hyperlink r:id="rId328" ref="G167"/>
    <hyperlink r:id="rId329" ref="F168"/>
    <hyperlink r:id="rId330" ref="G168"/>
    <hyperlink r:id="rId331" ref="F169"/>
    <hyperlink r:id="rId332" ref="G169"/>
    <hyperlink r:id="rId333" ref="F170"/>
    <hyperlink r:id="rId334" ref="G170"/>
    <hyperlink r:id="rId335" ref="F171"/>
    <hyperlink r:id="rId336" ref="G171"/>
    <hyperlink r:id="rId337" ref="F172"/>
    <hyperlink r:id="rId338" ref="G172"/>
    <hyperlink r:id="rId339" ref="F173"/>
    <hyperlink r:id="rId340" ref="G173"/>
    <hyperlink r:id="rId341" ref="F174"/>
    <hyperlink r:id="rId342" ref="G174"/>
    <hyperlink r:id="rId343" ref="F175"/>
    <hyperlink r:id="rId344" ref="G175"/>
    <hyperlink r:id="rId345" ref="F176"/>
    <hyperlink r:id="rId346" ref="G176"/>
    <hyperlink r:id="rId347" ref="F177"/>
    <hyperlink r:id="rId348" ref="G177"/>
    <hyperlink r:id="rId349" ref="F178"/>
    <hyperlink r:id="rId350" ref="G178"/>
    <hyperlink r:id="rId351" ref="F179"/>
    <hyperlink r:id="rId352" ref="G179"/>
    <hyperlink r:id="rId353" ref="F180"/>
    <hyperlink r:id="rId354" ref="G180"/>
    <hyperlink r:id="rId355" ref="F181"/>
    <hyperlink r:id="rId356" ref="G181"/>
    <hyperlink r:id="rId357" ref="F182"/>
    <hyperlink r:id="rId358" ref="G182"/>
    <hyperlink r:id="rId359" ref="F183"/>
    <hyperlink r:id="rId360" ref="G183"/>
    <hyperlink r:id="rId361" ref="F184"/>
    <hyperlink r:id="rId362" ref="G184"/>
    <hyperlink r:id="rId363" ref="F185"/>
    <hyperlink r:id="rId364" ref="G185"/>
    <hyperlink r:id="rId365" ref="F186"/>
    <hyperlink r:id="rId366" ref="G186"/>
    <hyperlink r:id="rId367" ref="F187"/>
    <hyperlink r:id="rId368" ref="G187"/>
    <hyperlink r:id="rId369" ref="F188"/>
    <hyperlink r:id="rId370" ref="G188"/>
    <hyperlink r:id="rId371" ref="F189"/>
    <hyperlink r:id="rId372" ref="G189"/>
    <hyperlink r:id="rId373" ref="F190"/>
    <hyperlink r:id="rId374" ref="G190"/>
    <hyperlink r:id="rId375" ref="F191"/>
    <hyperlink r:id="rId376" ref="G191"/>
    <hyperlink r:id="rId377" ref="F192"/>
    <hyperlink r:id="rId378" ref="G192"/>
    <hyperlink r:id="rId379" ref="F193"/>
    <hyperlink r:id="rId380" ref="G193"/>
    <hyperlink r:id="rId381" ref="F194"/>
    <hyperlink r:id="rId382" ref="G194"/>
    <hyperlink r:id="rId383" ref="F195"/>
    <hyperlink r:id="rId384" ref="G195"/>
    <hyperlink r:id="rId385" ref="F196"/>
    <hyperlink r:id="rId386" ref="G196"/>
    <hyperlink r:id="rId387" ref="F197"/>
    <hyperlink r:id="rId388" ref="G197"/>
    <hyperlink r:id="rId389" ref="F198"/>
    <hyperlink r:id="rId390" ref="G198"/>
    <hyperlink r:id="rId391" ref="F199"/>
    <hyperlink r:id="rId392" ref="G199"/>
    <hyperlink r:id="rId393" ref="F200"/>
    <hyperlink r:id="rId394" ref="G200"/>
    <hyperlink r:id="rId395" ref="F201"/>
    <hyperlink r:id="rId396" ref="G201"/>
    <hyperlink r:id="rId397" ref="F202"/>
    <hyperlink r:id="rId398" ref="G202"/>
    <hyperlink r:id="rId399" ref="F203"/>
    <hyperlink r:id="rId400" ref="G203"/>
    <hyperlink r:id="rId401" ref="F204"/>
    <hyperlink r:id="rId402" ref="G204"/>
    <hyperlink r:id="rId403" ref="F205"/>
    <hyperlink r:id="rId404" ref="G205"/>
    <hyperlink r:id="rId405" ref="F206"/>
    <hyperlink r:id="rId406" ref="G206"/>
    <hyperlink r:id="rId407" ref="F207"/>
    <hyperlink r:id="rId408" ref="G207"/>
    <hyperlink r:id="rId409" ref="F208"/>
    <hyperlink r:id="rId410" ref="G208"/>
    <hyperlink r:id="rId411" ref="F209"/>
    <hyperlink r:id="rId412" ref="G209"/>
    <hyperlink r:id="rId413" ref="F210"/>
    <hyperlink r:id="rId414" ref="G210"/>
    <hyperlink r:id="rId415" ref="F211"/>
    <hyperlink r:id="rId416" ref="G211"/>
    <hyperlink r:id="rId417" ref="F212"/>
    <hyperlink r:id="rId418" ref="G212"/>
    <hyperlink r:id="rId419" ref="F213"/>
    <hyperlink r:id="rId420" ref="G213"/>
    <hyperlink r:id="rId421" ref="F214"/>
    <hyperlink r:id="rId422" ref="G214"/>
    <hyperlink r:id="rId423" ref="F215"/>
    <hyperlink r:id="rId424" ref="G215"/>
    <hyperlink r:id="rId425" ref="F216"/>
    <hyperlink r:id="rId426" ref="G216"/>
    <hyperlink r:id="rId427" ref="F217"/>
    <hyperlink r:id="rId428" ref="G217"/>
    <hyperlink r:id="rId429" ref="F218"/>
    <hyperlink r:id="rId430" ref="G218"/>
    <hyperlink r:id="rId431" ref="F219"/>
    <hyperlink r:id="rId432" ref="G219"/>
    <hyperlink r:id="rId433" ref="F220"/>
    <hyperlink r:id="rId434" ref="G220"/>
    <hyperlink r:id="rId435" ref="F221"/>
    <hyperlink r:id="rId436" ref="G221"/>
    <hyperlink r:id="rId437" ref="F222"/>
    <hyperlink r:id="rId438" ref="G222"/>
    <hyperlink r:id="rId439" ref="F223"/>
    <hyperlink r:id="rId440" ref="G223"/>
    <hyperlink r:id="rId441" ref="F224"/>
    <hyperlink r:id="rId442" ref="G224"/>
    <hyperlink r:id="rId443" ref="F225"/>
    <hyperlink r:id="rId444" ref="G225"/>
    <hyperlink r:id="rId445" ref="F226"/>
    <hyperlink r:id="rId446" ref="G226"/>
    <hyperlink r:id="rId447" ref="F227"/>
    <hyperlink r:id="rId448" ref="G227"/>
    <hyperlink r:id="rId449" ref="F228"/>
    <hyperlink r:id="rId450" ref="G228"/>
    <hyperlink r:id="rId451" ref="F229"/>
    <hyperlink r:id="rId452" ref="G229"/>
    <hyperlink r:id="rId453" ref="F230"/>
    <hyperlink r:id="rId454" ref="G230"/>
    <hyperlink r:id="rId455" ref="F231"/>
    <hyperlink r:id="rId456" ref="G231"/>
    <hyperlink r:id="rId457" ref="F232"/>
    <hyperlink r:id="rId458" ref="G232"/>
    <hyperlink r:id="rId459" ref="F233"/>
    <hyperlink r:id="rId460" ref="G233"/>
    <hyperlink r:id="rId461" ref="F234"/>
    <hyperlink r:id="rId462" ref="G234"/>
    <hyperlink r:id="rId463" ref="F235"/>
    <hyperlink r:id="rId464" ref="G235"/>
    <hyperlink r:id="rId465" ref="F236"/>
    <hyperlink r:id="rId466" ref="G236"/>
    <hyperlink r:id="rId467" ref="F237"/>
    <hyperlink r:id="rId468" ref="G237"/>
    <hyperlink r:id="rId469" ref="F238"/>
    <hyperlink r:id="rId470" ref="G238"/>
    <hyperlink r:id="rId471" ref="F239"/>
    <hyperlink r:id="rId472" ref="G239"/>
    <hyperlink r:id="rId473" ref="F240"/>
    <hyperlink r:id="rId474" ref="G240"/>
    <hyperlink r:id="rId475" ref="F241"/>
    <hyperlink r:id="rId476" ref="G241"/>
    <hyperlink r:id="rId477" ref="F242"/>
    <hyperlink r:id="rId478" ref="G242"/>
    <hyperlink r:id="rId479" ref="F243"/>
    <hyperlink r:id="rId480" ref="G243"/>
    <hyperlink r:id="rId481" ref="F244"/>
    <hyperlink r:id="rId482" ref="G244"/>
    <hyperlink r:id="rId483" ref="F245"/>
    <hyperlink r:id="rId484" ref="G245"/>
    <hyperlink r:id="rId485" ref="F246"/>
    <hyperlink r:id="rId486" ref="G246"/>
    <hyperlink r:id="rId487" ref="F247"/>
    <hyperlink r:id="rId488" ref="G247"/>
    <hyperlink r:id="rId489" ref="F248"/>
    <hyperlink r:id="rId490" ref="G248"/>
    <hyperlink r:id="rId491" ref="F249"/>
    <hyperlink r:id="rId492" ref="G249"/>
    <hyperlink r:id="rId493" ref="F250"/>
    <hyperlink r:id="rId494" ref="G250"/>
    <hyperlink r:id="rId495" ref="F251"/>
    <hyperlink r:id="rId496" ref="G251"/>
    <hyperlink r:id="rId497" ref="F252"/>
    <hyperlink r:id="rId498" ref="G252"/>
    <hyperlink r:id="rId499" ref="F253"/>
    <hyperlink r:id="rId500" ref="G253"/>
    <hyperlink r:id="rId501" ref="F254"/>
    <hyperlink r:id="rId502" ref="G254"/>
    <hyperlink r:id="rId503" ref="F255"/>
    <hyperlink r:id="rId504" ref="G255"/>
    <hyperlink r:id="rId505" ref="F256"/>
    <hyperlink r:id="rId506" ref="G256"/>
    <hyperlink r:id="rId507" ref="F257"/>
    <hyperlink r:id="rId508" ref="G257"/>
    <hyperlink r:id="rId509" ref="F258"/>
    <hyperlink r:id="rId510" ref="G258"/>
    <hyperlink r:id="rId511" ref="F259"/>
    <hyperlink r:id="rId512" ref="G259"/>
    <hyperlink r:id="rId513" ref="F260"/>
    <hyperlink r:id="rId514" ref="G260"/>
    <hyperlink r:id="rId515" ref="F261"/>
    <hyperlink r:id="rId516" ref="G261"/>
    <hyperlink r:id="rId517" ref="F262"/>
    <hyperlink r:id="rId518" ref="G262"/>
    <hyperlink r:id="rId519" ref="F263"/>
    <hyperlink r:id="rId520" ref="G263"/>
    <hyperlink r:id="rId521" ref="F264"/>
    <hyperlink r:id="rId522" ref="G264"/>
    <hyperlink r:id="rId523" ref="F265"/>
    <hyperlink r:id="rId524" ref="G265"/>
    <hyperlink r:id="rId525" ref="F266"/>
    <hyperlink r:id="rId526" ref="G266"/>
    <hyperlink r:id="rId527" ref="F267"/>
    <hyperlink r:id="rId528" ref="G267"/>
    <hyperlink r:id="rId529" ref="F268"/>
    <hyperlink r:id="rId530" ref="G268"/>
    <hyperlink r:id="rId531" ref="F269"/>
    <hyperlink r:id="rId532" ref="G269"/>
    <hyperlink r:id="rId533" ref="F270"/>
    <hyperlink r:id="rId534" ref="G270"/>
    <hyperlink r:id="rId535" ref="F271"/>
    <hyperlink r:id="rId536" ref="G271"/>
    <hyperlink r:id="rId537" ref="F272"/>
    <hyperlink r:id="rId538" ref="G272"/>
    <hyperlink r:id="rId539" ref="F273"/>
    <hyperlink r:id="rId540" ref="G273"/>
    <hyperlink r:id="rId541" ref="F274"/>
    <hyperlink r:id="rId542" ref="G274"/>
    <hyperlink r:id="rId543" ref="F275"/>
    <hyperlink r:id="rId544" ref="G275"/>
    <hyperlink r:id="rId545" ref="F276"/>
    <hyperlink r:id="rId546" ref="G276"/>
    <hyperlink r:id="rId547" ref="F277"/>
    <hyperlink r:id="rId548" ref="G277"/>
    <hyperlink r:id="rId549" ref="F278"/>
    <hyperlink r:id="rId550" ref="G278"/>
    <hyperlink r:id="rId551" ref="F279"/>
    <hyperlink r:id="rId552" ref="G279"/>
    <hyperlink r:id="rId553" ref="F280"/>
    <hyperlink r:id="rId554" ref="G280"/>
    <hyperlink r:id="rId555" ref="F281"/>
    <hyperlink r:id="rId556" ref="G281"/>
    <hyperlink r:id="rId557" ref="F282"/>
    <hyperlink r:id="rId558" ref="G282"/>
    <hyperlink r:id="rId559" ref="F283"/>
    <hyperlink r:id="rId560" ref="G283"/>
    <hyperlink r:id="rId561" ref="F284"/>
    <hyperlink r:id="rId562" ref="G284"/>
    <hyperlink r:id="rId563" ref="F285"/>
    <hyperlink r:id="rId564" ref="G285"/>
    <hyperlink r:id="rId565" ref="F286"/>
    <hyperlink r:id="rId566" ref="G286"/>
    <hyperlink r:id="rId567" ref="F287"/>
    <hyperlink r:id="rId568" ref="G287"/>
    <hyperlink r:id="rId569" ref="F288"/>
    <hyperlink r:id="rId570" ref="G288"/>
    <hyperlink r:id="rId571" ref="F289"/>
    <hyperlink r:id="rId572" ref="G289"/>
    <hyperlink r:id="rId573" ref="F290"/>
    <hyperlink r:id="rId574" ref="G290"/>
    <hyperlink r:id="rId575" ref="F291"/>
    <hyperlink r:id="rId576" ref="G291"/>
    <hyperlink r:id="rId577" ref="F292"/>
    <hyperlink r:id="rId578" ref="G292"/>
    <hyperlink r:id="rId579" ref="F293"/>
    <hyperlink r:id="rId580" ref="G293"/>
    <hyperlink r:id="rId581" ref="F294"/>
    <hyperlink r:id="rId582" ref="G294"/>
    <hyperlink r:id="rId583" ref="F295"/>
    <hyperlink r:id="rId584" ref="G295"/>
    <hyperlink r:id="rId585" ref="F296"/>
    <hyperlink r:id="rId586" ref="G296"/>
    <hyperlink r:id="rId587" ref="F297"/>
    <hyperlink r:id="rId588" ref="G297"/>
    <hyperlink r:id="rId589" ref="F298"/>
    <hyperlink r:id="rId590" ref="G298"/>
    <hyperlink r:id="rId591" ref="F299"/>
    <hyperlink r:id="rId592" ref="G299"/>
    <hyperlink r:id="rId593" ref="F300"/>
    <hyperlink r:id="rId594" ref="G300"/>
    <hyperlink r:id="rId595" ref="F301"/>
    <hyperlink r:id="rId596" ref="G301"/>
    <hyperlink r:id="rId597" ref="F302"/>
    <hyperlink r:id="rId598" ref="G302"/>
    <hyperlink r:id="rId599" ref="F303"/>
    <hyperlink r:id="rId600" ref="G303"/>
    <hyperlink r:id="rId601" ref="F304"/>
    <hyperlink r:id="rId602" ref="G304"/>
    <hyperlink r:id="rId603" ref="F305"/>
    <hyperlink r:id="rId604" ref="G305"/>
    <hyperlink r:id="rId605" ref="F306"/>
    <hyperlink r:id="rId606" ref="G306"/>
    <hyperlink r:id="rId607" ref="F307"/>
    <hyperlink r:id="rId608" ref="G307"/>
    <hyperlink r:id="rId609" ref="F308"/>
    <hyperlink r:id="rId610" ref="G308"/>
    <hyperlink r:id="rId611" ref="F309"/>
    <hyperlink r:id="rId612" ref="G309"/>
    <hyperlink r:id="rId613" ref="F310"/>
    <hyperlink r:id="rId614" ref="G310"/>
    <hyperlink r:id="rId615" ref="F311"/>
    <hyperlink r:id="rId616" ref="G311"/>
    <hyperlink r:id="rId617" ref="F312"/>
    <hyperlink r:id="rId618" ref="G312"/>
    <hyperlink r:id="rId619" ref="F313"/>
    <hyperlink r:id="rId620" ref="G313"/>
    <hyperlink r:id="rId621" ref="F314"/>
    <hyperlink r:id="rId622" ref="G314"/>
    <hyperlink r:id="rId623" ref="F315"/>
    <hyperlink r:id="rId624" ref="G315"/>
    <hyperlink r:id="rId625" ref="F316"/>
    <hyperlink r:id="rId626" ref="G316"/>
    <hyperlink r:id="rId627" ref="F317"/>
    <hyperlink r:id="rId628" ref="G317"/>
    <hyperlink r:id="rId629" ref="F318"/>
    <hyperlink r:id="rId630" ref="G318"/>
    <hyperlink r:id="rId631" ref="F319"/>
    <hyperlink r:id="rId632" ref="G319"/>
    <hyperlink r:id="rId633" ref="F320"/>
    <hyperlink r:id="rId634" ref="G320"/>
    <hyperlink r:id="rId635" ref="F321"/>
    <hyperlink r:id="rId636" ref="G321"/>
    <hyperlink r:id="rId637" ref="F322"/>
    <hyperlink r:id="rId638" ref="G322"/>
    <hyperlink r:id="rId639" ref="F323"/>
    <hyperlink r:id="rId640" ref="G323"/>
    <hyperlink r:id="rId641" ref="F324"/>
    <hyperlink r:id="rId642" ref="G324"/>
    <hyperlink r:id="rId643" ref="F325"/>
    <hyperlink r:id="rId644" ref="G325"/>
    <hyperlink r:id="rId645" ref="F326"/>
    <hyperlink r:id="rId646" ref="G326"/>
    <hyperlink r:id="rId647" ref="F327"/>
    <hyperlink r:id="rId648" ref="G327"/>
    <hyperlink r:id="rId649" ref="F328"/>
    <hyperlink r:id="rId650" ref="G328"/>
    <hyperlink r:id="rId651" ref="F329"/>
    <hyperlink r:id="rId652" ref="G329"/>
    <hyperlink r:id="rId653" ref="F330"/>
    <hyperlink r:id="rId654" ref="G330"/>
    <hyperlink r:id="rId655" ref="F331"/>
    <hyperlink r:id="rId656" ref="G331"/>
    <hyperlink r:id="rId657" ref="F332"/>
    <hyperlink r:id="rId658" ref="G332"/>
    <hyperlink r:id="rId659" ref="F333"/>
    <hyperlink r:id="rId660" ref="G333"/>
    <hyperlink r:id="rId661" ref="F334"/>
    <hyperlink r:id="rId662" ref="G334"/>
    <hyperlink r:id="rId663" ref="F335"/>
    <hyperlink r:id="rId664" ref="G335"/>
    <hyperlink r:id="rId665" ref="F336"/>
    <hyperlink r:id="rId666" ref="G336"/>
    <hyperlink r:id="rId667" ref="F337"/>
    <hyperlink r:id="rId668" ref="G337"/>
    <hyperlink r:id="rId669" ref="F338"/>
    <hyperlink r:id="rId670" ref="G338"/>
    <hyperlink r:id="rId671" ref="F339"/>
    <hyperlink r:id="rId672" ref="G339"/>
    <hyperlink r:id="rId673" ref="F340"/>
    <hyperlink r:id="rId674" ref="G340"/>
    <hyperlink r:id="rId675" ref="F341"/>
    <hyperlink r:id="rId676" ref="G341"/>
    <hyperlink r:id="rId677" ref="F342"/>
    <hyperlink r:id="rId678" ref="G342"/>
    <hyperlink r:id="rId679" ref="F343"/>
    <hyperlink r:id="rId680" ref="G343"/>
    <hyperlink r:id="rId681" ref="F344"/>
    <hyperlink r:id="rId682" ref="G344"/>
    <hyperlink r:id="rId683" ref="F345"/>
    <hyperlink r:id="rId684" ref="G345"/>
    <hyperlink r:id="rId685" ref="F346"/>
    <hyperlink r:id="rId686" ref="G346"/>
    <hyperlink r:id="rId687" ref="F347"/>
    <hyperlink r:id="rId688" ref="G347"/>
    <hyperlink r:id="rId689" ref="F348"/>
    <hyperlink r:id="rId690" ref="G348"/>
    <hyperlink r:id="rId691" ref="F349"/>
    <hyperlink r:id="rId692" ref="G349"/>
    <hyperlink r:id="rId693" ref="F350"/>
    <hyperlink r:id="rId694" ref="G350"/>
    <hyperlink r:id="rId695" ref="F351"/>
    <hyperlink r:id="rId696" ref="G351"/>
    <hyperlink r:id="rId697" ref="F352"/>
    <hyperlink r:id="rId698" ref="G352"/>
    <hyperlink r:id="rId699" ref="F353"/>
    <hyperlink r:id="rId700" ref="G353"/>
    <hyperlink r:id="rId701" ref="F354"/>
    <hyperlink r:id="rId702" ref="G354"/>
    <hyperlink r:id="rId703" ref="F355"/>
    <hyperlink r:id="rId704" ref="G355"/>
    <hyperlink r:id="rId705" ref="F356"/>
    <hyperlink r:id="rId706" ref="G356"/>
    <hyperlink r:id="rId707" ref="F357"/>
    <hyperlink r:id="rId708" ref="G357"/>
    <hyperlink r:id="rId709" ref="F358"/>
    <hyperlink r:id="rId710" ref="G358"/>
    <hyperlink r:id="rId711" ref="F359"/>
    <hyperlink r:id="rId712" ref="G359"/>
    <hyperlink r:id="rId713" ref="F360"/>
    <hyperlink r:id="rId714" ref="G360"/>
    <hyperlink r:id="rId715" ref="F361"/>
    <hyperlink r:id="rId716" ref="G361"/>
    <hyperlink r:id="rId717" ref="F362"/>
    <hyperlink r:id="rId718" ref="G362"/>
    <hyperlink r:id="rId719" ref="F363"/>
    <hyperlink r:id="rId720" ref="G363"/>
    <hyperlink r:id="rId721" ref="F364"/>
    <hyperlink r:id="rId722" ref="G364"/>
    <hyperlink r:id="rId723" ref="F365"/>
    <hyperlink r:id="rId724" ref="G365"/>
    <hyperlink r:id="rId725" ref="F366"/>
    <hyperlink r:id="rId726" ref="G366"/>
    <hyperlink r:id="rId727" ref="F367"/>
    <hyperlink r:id="rId728" ref="G367"/>
    <hyperlink r:id="rId729" ref="F368"/>
    <hyperlink r:id="rId730" ref="G368"/>
    <hyperlink r:id="rId731" ref="F369"/>
    <hyperlink r:id="rId732" ref="G369"/>
    <hyperlink r:id="rId733" ref="F370"/>
    <hyperlink r:id="rId734" ref="G370"/>
    <hyperlink r:id="rId735" ref="F371"/>
    <hyperlink r:id="rId736" ref="G371"/>
    <hyperlink r:id="rId737" ref="F372"/>
    <hyperlink r:id="rId738" ref="G372"/>
    <hyperlink r:id="rId739" ref="F373"/>
    <hyperlink r:id="rId740" ref="G373"/>
    <hyperlink r:id="rId741" ref="F374"/>
    <hyperlink r:id="rId742" ref="G374"/>
    <hyperlink r:id="rId743" ref="F375"/>
    <hyperlink r:id="rId744" ref="G375"/>
    <hyperlink r:id="rId745" ref="F376"/>
    <hyperlink r:id="rId746" ref="G376"/>
    <hyperlink r:id="rId747" ref="F377"/>
    <hyperlink r:id="rId748" ref="G377"/>
    <hyperlink r:id="rId749" ref="F378"/>
    <hyperlink r:id="rId750" ref="G378"/>
    <hyperlink r:id="rId751" ref="F379"/>
    <hyperlink r:id="rId752" ref="G379"/>
    <hyperlink r:id="rId753" ref="F380"/>
    <hyperlink r:id="rId754" ref="G380"/>
    <hyperlink r:id="rId755" ref="F381"/>
    <hyperlink r:id="rId756" ref="G381"/>
    <hyperlink r:id="rId757" ref="F382"/>
    <hyperlink r:id="rId758" ref="G382"/>
    <hyperlink r:id="rId759" ref="F383"/>
    <hyperlink r:id="rId760" ref="G383"/>
    <hyperlink r:id="rId761" ref="F384"/>
    <hyperlink r:id="rId762" ref="G384"/>
    <hyperlink r:id="rId763" ref="F385"/>
    <hyperlink r:id="rId764" ref="G385"/>
    <hyperlink r:id="rId765" ref="F386"/>
    <hyperlink r:id="rId766" ref="G386"/>
    <hyperlink r:id="rId767" ref="F387"/>
    <hyperlink r:id="rId768" ref="G387"/>
    <hyperlink r:id="rId769" ref="F388"/>
    <hyperlink r:id="rId770" ref="G388"/>
    <hyperlink r:id="rId771" ref="F389"/>
    <hyperlink r:id="rId772" ref="G389"/>
    <hyperlink r:id="rId773" ref="F390"/>
    <hyperlink r:id="rId774" ref="G390"/>
    <hyperlink r:id="rId775" ref="F391"/>
    <hyperlink r:id="rId776" ref="G391"/>
    <hyperlink r:id="rId777" ref="F392"/>
    <hyperlink r:id="rId778" ref="G392"/>
    <hyperlink r:id="rId779" ref="F393"/>
    <hyperlink r:id="rId780" ref="G393"/>
    <hyperlink r:id="rId781" ref="F394"/>
    <hyperlink r:id="rId782" ref="G394"/>
    <hyperlink r:id="rId783" ref="F395"/>
    <hyperlink r:id="rId784" ref="G395"/>
    <hyperlink r:id="rId785" ref="F396"/>
    <hyperlink r:id="rId786" ref="G396"/>
    <hyperlink r:id="rId787" ref="F397"/>
    <hyperlink r:id="rId788" ref="G397"/>
    <hyperlink r:id="rId789" ref="F398"/>
    <hyperlink r:id="rId790" ref="G398"/>
    <hyperlink r:id="rId791" ref="F399"/>
    <hyperlink r:id="rId792" ref="G399"/>
    <hyperlink r:id="rId793" ref="F400"/>
    <hyperlink r:id="rId794" ref="G400"/>
    <hyperlink r:id="rId795" ref="F401"/>
    <hyperlink r:id="rId796" ref="G401"/>
    <hyperlink r:id="rId797" ref="F402"/>
    <hyperlink r:id="rId798" ref="G402"/>
    <hyperlink r:id="rId799" ref="F403"/>
    <hyperlink r:id="rId800" ref="G403"/>
    <hyperlink r:id="rId801" ref="F404"/>
    <hyperlink r:id="rId802" ref="G404"/>
    <hyperlink r:id="rId803" ref="F405"/>
    <hyperlink r:id="rId804" ref="G405"/>
    <hyperlink r:id="rId805" ref="F406"/>
    <hyperlink r:id="rId806" ref="G406"/>
    <hyperlink r:id="rId807" ref="F407"/>
    <hyperlink r:id="rId808" ref="G407"/>
    <hyperlink r:id="rId809" ref="F408"/>
    <hyperlink r:id="rId810" ref="G408"/>
    <hyperlink r:id="rId811" ref="F409"/>
    <hyperlink r:id="rId812" ref="G409"/>
    <hyperlink r:id="rId813" ref="F410"/>
    <hyperlink r:id="rId814" ref="G410"/>
    <hyperlink r:id="rId815" ref="F411"/>
    <hyperlink r:id="rId816" ref="G411"/>
    <hyperlink r:id="rId817" ref="F412"/>
    <hyperlink r:id="rId818" ref="G412"/>
    <hyperlink r:id="rId819" ref="F413"/>
    <hyperlink r:id="rId820" ref="G413"/>
    <hyperlink r:id="rId821" ref="F414"/>
    <hyperlink r:id="rId822" ref="G414"/>
    <hyperlink r:id="rId823" ref="F415"/>
    <hyperlink r:id="rId824" ref="G415"/>
    <hyperlink r:id="rId825" ref="F416"/>
    <hyperlink r:id="rId826" ref="G416"/>
    <hyperlink r:id="rId827" ref="F417"/>
    <hyperlink r:id="rId828" ref="G417"/>
    <hyperlink r:id="rId829" ref="F418"/>
    <hyperlink r:id="rId830" ref="G418"/>
    <hyperlink r:id="rId831" ref="F419"/>
    <hyperlink r:id="rId832" ref="G419"/>
    <hyperlink r:id="rId833" ref="F420"/>
    <hyperlink r:id="rId834" ref="G420"/>
    <hyperlink r:id="rId835" ref="F421"/>
    <hyperlink r:id="rId836" ref="G421"/>
    <hyperlink r:id="rId837" ref="F422"/>
    <hyperlink r:id="rId838" ref="G422"/>
    <hyperlink r:id="rId839" ref="F423"/>
    <hyperlink r:id="rId840" ref="G423"/>
    <hyperlink r:id="rId841" ref="F424"/>
    <hyperlink r:id="rId842" ref="G424"/>
    <hyperlink r:id="rId843" ref="F425"/>
    <hyperlink r:id="rId844" ref="G425"/>
    <hyperlink r:id="rId845" ref="F426"/>
    <hyperlink r:id="rId846" ref="G426"/>
    <hyperlink r:id="rId847" ref="F427"/>
    <hyperlink r:id="rId848" ref="G427"/>
    <hyperlink r:id="rId849" ref="F428"/>
    <hyperlink r:id="rId850" ref="G428"/>
    <hyperlink r:id="rId851" ref="F429"/>
    <hyperlink r:id="rId852" ref="G429"/>
    <hyperlink r:id="rId853" ref="F430"/>
    <hyperlink r:id="rId854" ref="G430"/>
    <hyperlink r:id="rId855" ref="F431"/>
    <hyperlink r:id="rId856" ref="G431"/>
    <hyperlink r:id="rId857" ref="F432"/>
    <hyperlink r:id="rId858" ref="G432"/>
    <hyperlink r:id="rId859" ref="F433"/>
    <hyperlink r:id="rId860" ref="G433"/>
    <hyperlink r:id="rId861" ref="F434"/>
    <hyperlink r:id="rId862" ref="G434"/>
    <hyperlink r:id="rId863" ref="F435"/>
    <hyperlink r:id="rId864" ref="G435"/>
    <hyperlink r:id="rId865" ref="F436"/>
    <hyperlink r:id="rId866" ref="G436"/>
    <hyperlink r:id="rId867" ref="F437"/>
    <hyperlink r:id="rId868" ref="G437"/>
    <hyperlink r:id="rId869" ref="F438"/>
    <hyperlink r:id="rId870" ref="G438"/>
    <hyperlink r:id="rId871" ref="F439"/>
    <hyperlink r:id="rId872" ref="G439"/>
    <hyperlink r:id="rId873" ref="F440"/>
    <hyperlink r:id="rId874" ref="G440"/>
    <hyperlink r:id="rId875" ref="F441"/>
    <hyperlink r:id="rId876" ref="G441"/>
    <hyperlink r:id="rId877" ref="F442"/>
    <hyperlink r:id="rId878" ref="G442"/>
    <hyperlink r:id="rId879" ref="F443"/>
    <hyperlink r:id="rId880" ref="G443"/>
    <hyperlink r:id="rId881" ref="F444"/>
    <hyperlink r:id="rId882" ref="G444"/>
    <hyperlink r:id="rId883" ref="F445"/>
    <hyperlink r:id="rId884" ref="G445"/>
    <hyperlink r:id="rId885" ref="F446"/>
    <hyperlink r:id="rId886" ref="G446"/>
    <hyperlink r:id="rId887" ref="F447"/>
    <hyperlink r:id="rId888" ref="G447"/>
    <hyperlink r:id="rId889" ref="F448"/>
    <hyperlink r:id="rId890" ref="G448"/>
    <hyperlink r:id="rId891" ref="F449"/>
    <hyperlink r:id="rId892" ref="G449"/>
    <hyperlink r:id="rId893" ref="F450"/>
    <hyperlink r:id="rId894" ref="G450"/>
    <hyperlink r:id="rId895" ref="F451"/>
    <hyperlink r:id="rId896" ref="G451"/>
    <hyperlink r:id="rId897" ref="F452"/>
    <hyperlink r:id="rId898" ref="G452"/>
    <hyperlink r:id="rId899" ref="F453"/>
    <hyperlink r:id="rId900" ref="G453"/>
    <hyperlink r:id="rId901" ref="F454"/>
    <hyperlink r:id="rId902" ref="G454"/>
    <hyperlink r:id="rId903" ref="F455"/>
    <hyperlink r:id="rId904" ref="G455"/>
    <hyperlink r:id="rId905" ref="F456"/>
    <hyperlink r:id="rId906" ref="G456"/>
    <hyperlink r:id="rId907" ref="F457"/>
    <hyperlink r:id="rId908" ref="G457"/>
    <hyperlink r:id="rId909" ref="F458"/>
    <hyperlink r:id="rId910" ref="G458"/>
    <hyperlink r:id="rId911" ref="F459"/>
    <hyperlink r:id="rId912" ref="G459"/>
    <hyperlink r:id="rId913" ref="F460"/>
    <hyperlink r:id="rId914" ref="G460"/>
    <hyperlink r:id="rId915" ref="F461"/>
    <hyperlink r:id="rId916" ref="G461"/>
    <hyperlink r:id="rId917" ref="F462"/>
    <hyperlink r:id="rId918" ref="G462"/>
    <hyperlink r:id="rId919" ref="F463"/>
    <hyperlink r:id="rId920" ref="G463"/>
    <hyperlink r:id="rId921" ref="F464"/>
    <hyperlink r:id="rId922" ref="G464"/>
    <hyperlink r:id="rId923" ref="F465"/>
    <hyperlink r:id="rId924" ref="G465"/>
    <hyperlink r:id="rId925" ref="F466"/>
    <hyperlink r:id="rId926" ref="G466"/>
    <hyperlink r:id="rId927" ref="F467"/>
    <hyperlink r:id="rId928" ref="G467"/>
    <hyperlink r:id="rId929" ref="F468"/>
    <hyperlink r:id="rId930" ref="G468"/>
    <hyperlink r:id="rId931" ref="F469"/>
    <hyperlink r:id="rId932" ref="G469"/>
    <hyperlink r:id="rId933" ref="F470"/>
    <hyperlink r:id="rId934" ref="G470"/>
    <hyperlink r:id="rId935" ref="F471"/>
    <hyperlink r:id="rId936" ref="G471"/>
    <hyperlink r:id="rId937" ref="F472"/>
    <hyperlink r:id="rId938" ref="G472"/>
    <hyperlink r:id="rId939" ref="F473"/>
    <hyperlink r:id="rId940" ref="G473"/>
    <hyperlink r:id="rId941" ref="F474"/>
    <hyperlink r:id="rId942" ref="G474"/>
    <hyperlink r:id="rId943" ref="F475"/>
    <hyperlink r:id="rId944" ref="G475"/>
    <hyperlink r:id="rId945" ref="F476"/>
    <hyperlink r:id="rId946" ref="G476"/>
    <hyperlink r:id="rId947" ref="F477"/>
    <hyperlink r:id="rId948" ref="G477"/>
    <hyperlink r:id="rId949" ref="F478"/>
    <hyperlink r:id="rId950" ref="G478"/>
    <hyperlink r:id="rId951" ref="F479"/>
    <hyperlink r:id="rId952" ref="G479"/>
    <hyperlink r:id="rId953" ref="F480"/>
    <hyperlink r:id="rId954" ref="G480"/>
    <hyperlink r:id="rId955" ref="F481"/>
    <hyperlink r:id="rId956" ref="G481"/>
    <hyperlink r:id="rId957" ref="F482"/>
    <hyperlink r:id="rId958" ref="G482"/>
    <hyperlink r:id="rId959" ref="F483"/>
    <hyperlink r:id="rId960" ref="G483"/>
    <hyperlink r:id="rId961" ref="F484"/>
    <hyperlink r:id="rId962" ref="G484"/>
    <hyperlink r:id="rId963" ref="F485"/>
    <hyperlink r:id="rId964" ref="G485"/>
    <hyperlink r:id="rId965" ref="F486"/>
    <hyperlink r:id="rId966" ref="G486"/>
    <hyperlink r:id="rId967" ref="F487"/>
    <hyperlink r:id="rId968" ref="G487"/>
    <hyperlink r:id="rId969" ref="F488"/>
    <hyperlink r:id="rId970" ref="G488"/>
    <hyperlink r:id="rId971" ref="F489"/>
    <hyperlink r:id="rId972" ref="G489"/>
    <hyperlink r:id="rId973" ref="F490"/>
    <hyperlink r:id="rId974" ref="G490"/>
    <hyperlink r:id="rId975" ref="F491"/>
    <hyperlink r:id="rId976" ref="G491"/>
    <hyperlink r:id="rId977" ref="F492"/>
    <hyperlink r:id="rId978" ref="G492"/>
    <hyperlink r:id="rId979" ref="F493"/>
    <hyperlink r:id="rId980" ref="G493"/>
    <hyperlink r:id="rId981" ref="F494"/>
    <hyperlink r:id="rId982" ref="G494"/>
    <hyperlink r:id="rId983" ref="F495"/>
    <hyperlink r:id="rId984" ref="G495"/>
    <hyperlink r:id="rId985" ref="F496"/>
    <hyperlink r:id="rId986" ref="G496"/>
    <hyperlink r:id="rId987" ref="F497"/>
    <hyperlink r:id="rId988" ref="G497"/>
    <hyperlink r:id="rId989" ref="F498"/>
    <hyperlink r:id="rId990" ref="G498"/>
    <hyperlink r:id="rId991" ref="F499"/>
    <hyperlink r:id="rId992" ref="G499"/>
    <hyperlink r:id="rId993" ref="F500"/>
    <hyperlink r:id="rId994" ref="G500"/>
    <hyperlink r:id="rId995" ref="F501"/>
    <hyperlink r:id="rId996" ref="G501"/>
    <hyperlink r:id="rId997" ref="F502"/>
    <hyperlink r:id="rId998" ref="G502"/>
    <hyperlink r:id="rId999" ref="F503"/>
    <hyperlink r:id="rId1000" ref="G503"/>
    <hyperlink r:id="rId1001" ref="F504"/>
    <hyperlink r:id="rId1002" ref="G504"/>
    <hyperlink r:id="rId1003" ref="F505"/>
    <hyperlink r:id="rId1004" ref="G505"/>
    <hyperlink r:id="rId1005" ref="F506"/>
    <hyperlink r:id="rId1006" ref="G506"/>
    <hyperlink r:id="rId1007" ref="F507"/>
    <hyperlink r:id="rId1008" ref="G507"/>
    <hyperlink r:id="rId1009" ref="F508"/>
    <hyperlink r:id="rId1010" ref="G508"/>
    <hyperlink r:id="rId1011" ref="F509"/>
    <hyperlink r:id="rId1012" ref="G509"/>
    <hyperlink r:id="rId1013" ref="F510"/>
    <hyperlink r:id="rId1014" ref="G510"/>
    <hyperlink r:id="rId1015" ref="F511"/>
    <hyperlink r:id="rId1016" ref="G511"/>
    <hyperlink r:id="rId1017" ref="F512"/>
    <hyperlink r:id="rId1018" ref="G512"/>
    <hyperlink r:id="rId1019" ref="F513"/>
    <hyperlink r:id="rId1020" ref="G513"/>
    <hyperlink r:id="rId1021" ref="F514"/>
    <hyperlink r:id="rId1022" ref="G514"/>
    <hyperlink r:id="rId1023" ref="F515"/>
    <hyperlink r:id="rId1024" ref="G515"/>
    <hyperlink r:id="rId1025" ref="F516"/>
    <hyperlink r:id="rId1026" ref="G516"/>
    <hyperlink r:id="rId1027" ref="F517"/>
    <hyperlink r:id="rId1028" ref="G517"/>
    <hyperlink r:id="rId1029" ref="F518"/>
    <hyperlink r:id="rId1030" ref="G518"/>
    <hyperlink r:id="rId1031" ref="F519"/>
    <hyperlink r:id="rId1032" ref="G519"/>
    <hyperlink r:id="rId1033" ref="F520"/>
    <hyperlink r:id="rId1034" ref="G520"/>
    <hyperlink r:id="rId1035" ref="F521"/>
    <hyperlink r:id="rId1036" ref="G521"/>
    <hyperlink r:id="rId1037" ref="F522"/>
    <hyperlink r:id="rId1038" ref="G522"/>
    <hyperlink r:id="rId1039" ref="F523"/>
    <hyperlink r:id="rId1040" ref="G523"/>
    <hyperlink r:id="rId1041" ref="F524"/>
    <hyperlink r:id="rId1042" ref="G524"/>
    <hyperlink r:id="rId1043" ref="F525"/>
    <hyperlink r:id="rId1044" ref="G525"/>
    <hyperlink r:id="rId1045" ref="F526"/>
    <hyperlink r:id="rId1046" ref="G526"/>
    <hyperlink r:id="rId1047" ref="F527"/>
    <hyperlink r:id="rId1048" ref="G527"/>
    <hyperlink r:id="rId1049" ref="F528"/>
    <hyperlink r:id="rId1050" ref="G528"/>
    <hyperlink r:id="rId1051" ref="F529"/>
    <hyperlink r:id="rId1052" ref="G529"/>
    <hyperlink r:id="rId1053" ref="F530"/>
    <hyperlink r:id="rId1054" ref="G530"/>
    <hyperlink r:id="rId1055" ref="F531"/>
    <hyperlink r:id="rId1056" ref="G531"/>
    <hyperlink r:id="rId1057" ref="F532"/>
    <hyperlink r:id="rId1058" ref="G532"/>
    <hyperlink r:id="rId1059" ref="F533"/>
    <hyperlink r:id="rId1060" ref="G533"/>
    <hyperlink r:id="rId1061" ref="F534"/>
    <hyperlink r:id="rId1062" ref="G534"/>
    <hyperlink r:id="rId1063" ref="F535"/>
    <hyperlink r:id="rId1064" ref="G535"/>
    <hyperlink r:id="rId1065" ref="F536"/>
    <hyperlink r:id="rId1066" ref="G536"/>
    <hyperlink r:id="rId1067" ref="F537"/>
    <hyperlink r:id="rId1068" ref="G537"/>
    <hyperlink r:id="rId1069" ref="F538"/>
    <hyperlink r:id="rId1070" ref="G538"/>
    <hyperlink r:id="rId1071" ref="F539"/>
    <hyperlink r:id="rId1072" ref="G539"/>
    <hyperlink r:id="rId1073" ref="F540"/>
    <hyperlink r:id="rId1074" ref="G540"/>
    <hyperlink r:id="rId1075" ref="F541"/>
    <hyperlink r:id="rId1076" ref="G541"/>
    <hyperlink r:id="rId1077" ref="F542"/>
    <hyperlink r:id="rId1078" ref="G542"/>
    <hyperlink r:id="rId1079" ref="F543"/>
    <hyperlink r:id="rId1080" ref="G543"/>
    <hyperlink r:id="rId1081" ref="F544"/>
    <hyperlink r:id="rId1082" ref="G544"/>
    <hyperlink r:id="rId1083" ref="F545"/>
    <hyperlink r:id="rId1084" ref="G545"/>
    <hyperlink r:id="rId1085" ref="F546"/>
    <hyperlink r:id="rId1086" ref="G546"/>
    <hyperlink r:id="rId1087" ref="F547"/>
    <hyperlink r:id="rId1088" ref="G547"/>
    <hyperlink r:id="rId1089" ref="F548"/>
    <hyperlink r:id="rId1090" ref="G548"/>
    <hyperlink r:id="rId1091" ref="F549"/>
    <hyperlink r:id="rId1092" ref="G549"/>
    <hyperlink r:id="rId1093" ref="F550"/>
    <hyperlink r:id="rId1094" ref="G550"/>
    <hyperlink r:id="rId1095" ref="F551"/>
    <hyperlink r:id="rId1096" ref="G551"/>
    <hyperlink r:id="rId1097" ref="F552"/>
    <hyperlink r:id="rId1098" ref="G552"/>
    <hyperlink r:id="rId1099" ref="F553"/>
    <hyperlink r:id="rId1100" ref="G553"/>
    <hyperlink r:id="rId1101" ref="F554"/>
    <hyperlink r:id="rId1102" ref="G554"/>
    <hyperlink r:id="rId1103" ref="F555"/>
    <hyperlink r:id="rId1104" ref="G555"/>
    <hyperlink r:id="rId1105" ref="F556"/>
    <hyperlink r:id="rId1106" ref="G556"/>
    <hyperlink r:id="rId1107" ref="F557"/>
    <hyperlink r:id="rId1108" ref="G557"/>
    <hyperlink r:id="rId1109" ref="F558"/>
    <hyperlink r:id="rId1110" ref="G558"/>
    <hyperlink r:id="rId1111" ref="F559"/>
    <hyperlink r:id="rId1112" ref="G559"/>
    <hyperlink r:id="rId1113" ref="F560"/>
    <hyperlink r:id="rId1114" ref="G560"/>
    <hyperlink r:id="rId1115" ref="F561"/>
    <hyperlink r:id="rId1116" ref="G561"/>
    <hyperlink r:id="rId1117" ref="F562"/>
    <hyperlink r:id="rId1118" ref="G562"/>
    <hyperlink r:id="rId1119" ref="F563"/>
    <hyperlink r:id="rId1120" ref="G563"/>
    <hyperlink r:id="rId1121" ref="F564"/>
    <hyperlink r:id="rId1122" ref="G564"/>
    <hyperlink r:id="rId1123" ref="F565"/>
    <hyperlink r:id="rId1124" ref="G565"/>
    <hyperlink r:id="rId1125" ref="F566"/>
    <hyperlink r:id="rId1126" ref="G566"/>
    <hyperlink r:id="rId1127" ref="F567"/>
    <hyperlink r:id="rId1128" ref="G567"/>
    <hyperlink r:id="rId1129" ref="F568"/>
    <hyperlink r:id="rId1130" ref="G568"/>
    <hyperlink r:id="rId1131" ref="F569"/>
    <hyperlink r:id="rId1132" ref="G569"/>
    <hyperlink r:id="rId1133" ref="F570"/>
    <hyperlink r:id="rId1134" ref="G570"/>
    <hyperlink r:id="rId1135" ref="F571"/>
    <hyperlink r:id="rId1136" ref="G571"/>
    <hyperlink r:id="rId1137" ref="F572"/>
    <hyperlink r:id="rId1138" ref="G572"/>
    <hyperlink r:id="rId1139" ref="F573"/>
    <hyperlink r:id="rId1140" ref="G573"/>
    <hyperlink r:id="rId1141" ref="F574"/>
    <hyperlink r:id="rId1142" ref="G574"/>
    <hyperlink r:id="rId1143" ref="F575"/>
    <hyperlink r:id="rId1144" ref="G575"/>
    <hyperlink r:id="rId1145" ref="F576"/>
    <hyperlink r:id="rId1146" ref="G576"/>
    <hyperlink r:id="rId1147" ref="F577"/>
    <hyperlink r:id="rId1148" ref="G577"/>
    <hyperlink r:id="rId1149" ref="F578"/>
    <hyperlink r:id="rId1150" ref="G578"/>
    <hyperlink r:id="rId1151" ref="F579"/>
    <hyperlink r:id="rId1152" ref="G579"/>
    <hyperlink r:id="rId1153" ref="F580"/>
    <hyperlink r:id="rId1154" ref="G580"/>
    <hyperlink r:id="rId1155" ref="F581"/>
    <hyperlink r:id="rId1156" ref="G581"/>
    <hyperlink r:id="rId1157" ref="F582"/>
    <hyperlink r:id="rId1158" ref="G582"/>
    <hyperlink r:id="rId1159" ref="F583"/>
    <hyperlink r:id="rId1160" ref="G583"/>
    <hyperlink r:id="rId1161" ref="F584"/>
    <hyperlink r:id="rId1162" ref="G584"/>
    <hyperlink r:id="rId1163" ref="F585"/>
    <hyperlink r:id="rId1164" ref="G585"/>
    <hyperlink r:id="rId1165" ref="F586"/>
    <hyperlink r:id="rId1166" ref="G586"/>
    <hyperlink r:id="rId1167" ref="F587"/>
    <hyperlink r:id="rId1168" ref="G587"/>
    <hyperlink r:id="rId1169" ref="F588"/>
    <hyperlink r:id="rId1170" ref="G588"/>
    <hyperlink r:id="rId1171" ref="F589"/>
    <hyperlink r:id="rId1172" ref="G589"/>
    <hyperlink r:id="rId1173" ref="F590"/>
    <hyperlink r:id="rId1174" ref="G590"/>
    <hyperlink r:id="rId1175" ref="F591"/>
    <hyperlink r:id="rId1176" ref="G591"/>
    <hyperlink r:id="rId1177" ref="F592"/>
    <hyperlink r:id="rId1178" ref="G592"/>
    <hyperlink r:id="rId1179" ref="F593"/>
    <hyperlink r:id="rId1180" ref="G593"/>
    <hyperlink r:id="rId1181" ref="F594"/>
    <hyperlink r:id="rId1182" ref="G594"/>
    <hyperlink r:id="rId1183" ref="F595"/>
    <hyperlink r:id="rId1184" ref="G595"/>
    <hyperlink r:id="rId1185" ref="F596"/>
    <hyperlink r:id="rId1186" ref="G596"/>
    <hyperlink r:id="rId1187" ref="F597"/>
    <hyperlink r:id="rId1188" ref="G597"/>
    <hyperlink r:id="rId1189" ref="F598"/>
    <hyperlink r:id="rId1190" ref="G598"/>
    <hyperlink r:id="rId1191" ref="F599"/>
    <hyperlink r:id="rId1192" ref="G599"/>
    <hyperlink r:id="rId1193" ref="F600"/>
    <hyperlink r:id="rId1194" ref="G600"/>
    <hyperlink r:id="rId1195" ref="F601"/>
    <hyperlink r:id="rId1196" ref="G601"/>
    <hyperlink r:id="rId1197" ref="F602"/>
    <hyperlink r:id="rId1198" ref="G602"/>
    <hyperlink r:id="rId1199" ref="F603"/>
    <hyperlink r:id="rId1200" ref="G603"/>
    <hyperlink r:id="rId1201" ref="F604"/>
    <hyperlink r:id="rId1202" ref="G604"/>
    <hyperlink r:id="rId1203" ref="F605"/>
    <hyperlink r:id="rId1204" ref="G605"/>
    <hyperlink r:id="rId1205" ref="F606"/>
    <hyperlink r:id="rId1206" ref="G606"/>
    <hyperlink r:id="rId1207" ref="F607"/>
    <hyperlink r:id="rId1208" ref="G607"/>
    <hyperlink r:id="rId1209" ref="F608"/>
    <hyperlink r:id="rId1210" ref="G608"/>
    <hyperlink r:id="rId1211" ref="F609"/>
    <hyperlink r:id="rId1212" ref="G609"/>
    <hyperlink r:id="rId1213" ref="F610"/>
    <hyperlink r:id="rId1214" ref="G610"/>
    <hyperlink r:id="rId1215" ref="F611"/>
    <hyperlink r:id="rId1216" ref="G611"/>
    <hyperlink r:id="rId1217" ref="F612"/>
    <hyperlink r:id="rId1218" ref="G612"/>
    <hyperlink r:id="rId1219" ref="F613"/>
    <hyperlink r:id="rId1220" ref="G613"/>
    <hyperlink r:id="rId1221" ref="F614"/>
    <hyperlink r:id="rId1222" ref="G614"/>
    <hyperlink r:id="rId1223" ref="F615"/>
    <hyperlink r:id="rId1224" ref="G615"/>
    <hyperlink r:id="rId1225" ref="F616"/>
    <hyperlink r:id="rId1226" ref="G616"/>
    <hyperlink r:id="rId1227" ref="F617"/>
    <hyperlink r:id="rId1228" ref="G617"/>
    <hyperlink r:id="rId1229" ref="F618"/>
    <hyperlink r:id="rId1230" ref="G618"/>
    <hyperlink r:id="rId1231" ref="F619"/>
    <hyperlink r:id="rId1232" ref="G619"/>
    <hyperlink r:id="rId1233" ref="F620"/>
    <hyperlink r:id="rId1234" ref="G620"/>
    <hyperlink r:id="rId1235" ref="F621"/>
    <hyperlink r:id="rId1236" ref="G621"/>
    <hyperlink r:id="rId1237" ref="F622"/>
    <hyperlink r:id="rId1238" ref="G622"/>
    <hyperlink r:id="rId1239" ref="F623"/>
    <hyperlink r:id="rId1240" ref="G623"/>
    <hyperlink r:id="rId1241" ref="F624"/>
    <hyperlink r:id="rId1242" ref="G624"/>
    <hyperlink r:id="rId1243" ref="F625"/>
    <hyperlink r:id="rId1244" ref="G625"/>
    <hyperlink r:id="rId1245" ref="F626"/>
    <hyperlink r:id="rId1246" ref="G626"/>
    <hyperlink r:id="rId1247" ref="F627"/>
    <hyperlink r:id="rId1248" ref="G627"/>
    <hyperlink r:id="rId1249" ref="F628"/>
    <hyperlink r:id="rId1250" ref="G628"/>
    <hyperlink r:id="rId1251" ref="F629"/>
    <hyperlink r:id="rId1252" ref="G629"/>
    <hyperlink r:id="rId1253" ref="F630"/>
    <hyperlink r:id="rId1254" ref="G630"/>
    <hyperlink r:id="rId1255" ref="F631"/>
    <hyperlink r:id="rId1256" ref="G631"/>
    <hyperlink r:id="rId1257" ref="F632"/>
    <hyperlink r:id="rId1258" ref="G632"/>
    <hyperlink r:id="rId1259" ref="F633"/>
    <hyperlink r:id="rId1260" ref="G633"/>
    <hyperlink r:id="rId1261" ref="F634"/>
    <hyperlink r:id="rId1262" ref="G634"/>
    <hyperlink r:id="rId1263" ref="F635"/>
    <hyperlink r:id="rId1264" ref="G635"/>
    <hyperlink r:id="rId1265" ref="F636"/>
    <hyperlink r:id="rId1266" ref="G636"/>
    <hyperlink r:id="rId1267" ref="F637"/>
    <hyperlink r:id="rId1268" ref="G637"/>
    <hyperlink r:id="rId1269" ref="F638"/>
    <hyperlink r:id="rId1270" ref="G638"/>
    <hyperlink r:id="rId1271" ref="F639"/>
    <hyperlink r:id="rId1272" ref="G639"/>
    <hyperlink r:id="rId1273" ref="F640"/>
    <hyperlink r:id="rId1274" ref="G640"/>
    <hyperlink r:id="rId1275" ref="F641"/>
    <hyperlink r:id="rId1276" ref="G641"/>
    <hyperlink r:id="rId1277" ref="F642"/>
    <hyperlink r:id="rId1278" ref="G642"/>
    <hyperlink r:id="rId1279" ref="F643"/>
    <hyperlink r:id="rId1280" ref="G643"/>
    <hyperlink r:id="rId1281" ref="F644"/>
    <hyperlink r:id="rId1282" ref="G644"/>
    <hyperlink r:id="rId1283" ref="F645"/>
    <hyperlink r:id="rId1284" ref="G645"/>
    <hyperlink r:id="rId1285" ref="F646"/>
    <hyperlink r:id="rId1286" ref="G646"/>
    <hyperlink r:id="rId1287" ref="F647"/>
    <hyperlink r:id="rId1288" ref="G647"/>
    <hyperlink r:id="rId1289" ref="F648"/>
    <hyperlink r:id="rId1290" ref="G648"/>
    <hyperlink r:id="rId1291" ref="F649"/>
    <hyperlink r:id="rId1292" ref="G649"/>
    <hyperlink r:id="rId1293" ref="F650"/>
    <hyperlink r:id="rId1294" ref="G650"/>
    <hyperlink r:id="rId1295" ref="F651"/>
    <hyperlink r:id="rId1296" ref="G651"/>
    <hyperlink r:id="rId1297" ref="F652"/>
    <hyperlink r:id="rId1298" ref="G652"/>
    <hyperlink r:id="rId1299" ref="F653"/>
    <hyperlink r:id="rId1300" ref="G653"/>
    <hyperlink r:id="rId1301" ref="F654"/>
    <hyperlink r:id="rId1302" ref="G654"/>
    <hyperlink r:id="rId1303" ref="F655"/>
    <hyperlink r:id="rId1304" ref="G655"/>
    <hyperlink r:id="rId1305" ref="F656"/>
    <hyperlink r:id="rId1306" ref="G656"/>
    <hyperlink r:id="rId1307" ref="F657"/>
    <hyperlink r:id="rId1308" ref="G657"/>
    <hyperlink r:id="rId1309" ref="F658"/>
    <hyperlink r:id="rId1310" ref="G658"/>
    <hyperlink r:id="rId1311" ref="F659"/>
    <hyperlink r:id="rId1312" ref="G659"/>
    <hyperlink r:id="rId1313" ref="F660"/>
    <hyperlink r:id="rId1314" ref="G660"/>
    <hyperlink r:id="rId1315" ref="F661"/>
    <hyperlink r:id="rId1316" ref="G661"/>
    <hyperlink r:id="rId1317" ref="F662"/>
    <hyperlink r:id="rId1318" ref="G662"/>
    <hyperlink r:id="rId1319" ref="F663"/>
    <hyperlink r:id="rId1320" ref="G663"/>
    <hyperlink r:id="rId1321" ref="F664"/>
    <hyperlink r:id="rId1322" ref="G664"/>
    <hyperlink r:id="rId1323" ref="F665"/>
    <hyperlink r:id="rId1324" ref="G665"/>
    <hyperlink r:id="rId1325" ref="F666"/>
    <hyperlink r:id="rId1326" ref="G666"/>
    <hyperlink r:id="rId1327" ref="F667"/>
    <hyperlink r:id="rId1328" ref="G667"/>
    <hyperlink r:id="rId1329" ref="F668"/>
    <hyperlink r:id="rId1330" ref="G668"/>
    <hyperlink r:id="rId1331" ref="F669"/>
    <hyperlink r:id="rId1332" ref="G669"/>
    <hyperlink r:id="rId1333" ref="F670"/>
    <hyperlink r:id="rId1334" ref="G670"/>
    <hyperlink r:id="rId1335" ref="F671"/>
    <hyperlink r:id="rId1336" ref="G671"/>
    <hyperlink r:id="rId1337" ref="F672"/>
    <hyperlink r:id="rId1338" ref="G672"/>
    <hyperlink r:id="rId1339" ref="F673"/>
    <hyperlink r:id="rId1340" ref="G673"/>
    <hyperlink r:id="rId1341" ref="F674"/>
    <hyperlink r:id="rId1342" ref="G674"/>
    <hyperlink r:id="rId1343" ref="F675"/>
    <hyperlink r:id="rId1344" ref="G675"/>
    <hyperlink r:id="rId1345" ref="F676"/>
    <hyperlink r:id="rId1346" ref="G676"/>
    <hyperlink r:id="rId1347" ref="F677"/>
    <hyperlink r:id="rId1348" ref="G677"/>
    <hyperlink r:id="rId1349" ref="F678"/>
    <hyperlink r:id="rId1350" ref="G678"/>
    <hyperlink r:id="rId1351" ref="F679"/>
    <hyperlink r:id="rId1352" ref="G679"/>
    <hyperlink r:id="rId1353" ref="F680"/>
    <hyperlink r:id="rId1354" ref="G680"/>
    <hyperlink r:id="rId1355" ref="F681"/>
    <hyperlink r:id="rId1356" ref="G681"/>
    <hyperlink r:id="rId1357" ref="F682"/>
    <hyperlink r:id="rId1358" ref="G682"/>
    <hyperlink r:id="rId1359" ref="F683"/>
    <hyperlink r:id="rId1360" ref="G683"/>
    <hyperlink r:id="rId1361" ref="F684"/>
    <hyperlink r:id="rId1362" ref="G684"/>
    <hyperlink r:id="rId1363" ref="F685"/>
    <hyperlink r:id="rId1364" ref="G685"/>
    <hyperlink r:id="rId1365" ref="F686"/>
    <hyperlink r:id="rId1366" ref="G686"/>
    <hyperlink r:id="rId1367" ref="F687"/>
    <hyperlink r:id="rId1368" ref="G687"/>
    <hyperlink r:id="rId1369" ref="F688"/>
    <hyperlink r:id="rId1370" ref="G688"/>
    <hyperlink r:id="rId1371" ref="F689"/>
    <hyperlink r:id="rId1372" ref="G689"/>
    <hyperlink r:id="rId1373" ref="F690"/>
    <hyperlink r:id="rId1374" ref="G690"/>
    <hyperlink r:id="rId1375" ref="F691"/>
    <hyperlink r:id="rId1376" ref="G691"/>
    <hyperlink r:id="rId1377" ref="F692"/>
    <hyperlink r:id="rId1378" ref="G692"/>
    <hyperlink r:id="rId1379" ref="F693"/>
    <hyperlink r:id="rId1380" ref="G693"/>
    <hyperlink r:id="rId1381" ref="F694"/>
    <hyperlink r:id="rId1382" ref="G694"/>
    <hyperlink r:id="rId1383" ref="F695"/>
    <hyperlink r:id="rId1384" ref="G695"/>
    <hyperlink r:id="rId1385" ref="F696"/>
    <hyperlink r:id="rId1386" ref="G696"/>
    <hyperlink r:id="rId1387" ref="F697"/>
    <hyperlink r:id="rId1388" ref="G697"/>
    <hyperlink r:id="rId1389" ref="F698"/>
    <hyperlink r:id="rId1390" ref="G698"/>
    <hyperlink r:id="rId1391" ref="F699"/>
    <hyperlink r:id="rId1392" ref="G699"/>
    <hyperlink r:id="rId1393" ref="F700"/>
    <hyperlink r:id="rId1394" ref="G700"/>
    <hyperlink r:id="rId1395" ref="F701"/>
    <hyperlink r:id="rId1396" ref="G701"/>
    <hyperlink r:id="rId1397" ref="F702"/>
    <hyperlink r:id="rId1398" ref="G702"/>
    <hyperlink r:id="rId1399" ref="F703"/>
    <hyperlink r:id="rId1400" ref="G703"/>
    <hyperlink r:id="rId1401" ref="F704"/>
    <hyperlink r:id="rId1402" ref="G704"/>
    <hyperlink r:id="rId1403" ref="F705"/>
    <hyperlink r:id="rId1404" ref="G705"/>
    <hyperlink r:id="rId1405" ref="F706"/>
    <hyperlink r:id="rId1406" ref="G706"/>
    <hyperlink r:id="rId1407" ref="F707"/>
    <hyperlink r:id="rId1408" ref="G707"/>
    <hyperlink r:id="rId1409" ref="F708"/>
    <hyperlink r:id="rId1410" ref="G708"/>
    <hyperlink r:id="rId1411" ref="F709"/>
    <hyperlink r:id="rId1412" ref="G709"/>
    <hyperlink r:id="rId1413" ref="F710"/>
    <hyperlink r:id="rId1414" ref="G710"/>
    <hyperlink r:id="rId1415" ref="F711"/>
    <hyperlink r:id="rId1416" ref="G711"/>
    <hyperlink r:id="rId1417" ref="F712"/>
    <hyperlink r:id="rId1418" ref="G712"/>
    <hyperlink r:id="rId1419" ref="F713"/>
    <hyperlink r:id="rId1420" ref="G713"/>
    <hyperlink r:id="rId1421" ref="F714"/>
    <hyperlink r:id="rId1422" ref="G714"/>
    <hyperlink r:id="rId1423" ref="F715"/>
    <hyperlink r:id="rId1424" ref="G715"/>
    <hyperlink r:id="rId1425" ref="F716"/>
    <hyperlink r:id="rId1426" ref="G716"/>
    <hyperlink r:id="rId1427" ref="F717"/>
    <hyperlink r:id="rId1428" ref="G717"/>
    <hyperlink r:id="rId1429" ref="F718"/>
    <hyperlink r:id="rId1430" ref="G718"/>
    <hyperlink r:id="rId1431" ref="F719"/>
    <hyperlink r:id="rId1432" ref="G719"/>
    <hyperlink r:id="rId1433" ref="F720"/>
    <hyperlink r:id="rId1434" ref="G720"/>
    <hyperlink r:id="rId1435" ref="F721"/>
    <hyperlink r:id="rId1436" ref="G721"/>
    <hyperlink r:id="rId1437" ref="F722"/>
    <hyperlink r:id="rId1438" ref="G722"/>
    <hyperlink r:id="rId1439" ref="F723"/>
    <hyperlink r:id="rId1440" ref="G723"/>
    <hyperlink r:id="rId1441" ref="F724"/>
    <hyperlink r:id="rId1442" ref="G724"/>
    <hyperlink r:id="rId1443" ref="F725"/>
    <hyperlink r:id="rId1444" ref="G725"/>
    <hyperlink r:id="rId1445" ref="F726"/>
    <hyperlink r:id="rId1446" ref="G726"/>
    <hyperlink r:id="rId1447" ref="F727"/>
    <hyperlink r:id="rId1448" ref="G727"/>
    <hyperlink r:id="rId1449" ref="F728"/>
    <hyperlink r:id="rId1450" ref="G728"/>
    <hyperlink r:id="rId1451" ref="F729"/>
    <hyperlink r:id="rId1452" ref="G729"/>
    <hyperlink r:id="rId1453" ref="F730"/>
    <hyperlink r:id="rId1454" ref="G730"/>
    <hyperlink r:id="rId1455" ref="F731"/>
    <hyperlink r:id="rId1456" ref="G731"/>
    <hyperlink r:id="rId1457" ref="F732"/>
    <hyperlink r:id="rId1458" ref="G732"/>
    <hyperlink r:id="rId1459" ref="F733"/>
    <hyperlink r:id="rId1460" ref="G733"/>
    <hyperlink r:id="rId1461" ref="F734"/>
    <hyperlink r:id="rId1462" ref="G734"/>
    <hyperlink r:id="rId1463" ref="F735"/>
    <hyperlink r:id="rId1464" ref="G735"/>
    <hyperlink r:id="rId1465" ref="F736"/>
    <hyperlink r:id="rId1466" ref="G736"/>
    <hyperlink r:id="rId1467" ref="F737"/>
    <hyperlink r:id="rId1468" ref="G737"/>
    <hyperlink r:id="rId1469" ref="F738"/>
    <hyperlink r:id="rId1470" ref="G738"/>
    <hyperlink r:id="rId1471" ref="F739"/>
    <hyperlink r:id="rId1472" ref="G739"/>
    <hyperlink r:id="rId1473" ref="F740"/>
    <hyperlink r:id="rId1474" ref="G740"/>
    <hyperlink r:id="rId1475" ref="F741"/>
    <hyperlink r:id="rId1476" ref="G741"/>
    <hyperlink r:id="rId1477" ref="F742"/>
    <hyperlink r:id="rId1478" ref="G742"/>
    <hyperlink r:id="rId1479" ref="F743"/>
    <hyperlink r:id="rId1480" ref="G743"/>
    <hyperlink r:id="rId1481" ref="F744"/>
    <hyperlink r:id="rId1482" ref="G744"/>
    <hyperlink r:id="rId1483" ref="F745"/>
    <hyperlink r:id="rId1484" ref="G745"/>
    <hyperlink r:id="rId1485" ref="F746"/>
    <hyperlink r:id="rId1486" ref="G746"/>
    <hyperlink r:id="rId1487" ref="F747"/>
    <hyperlink r:id="rId1488" ref="G747"/>
    <hyperlink r:id="rId1489" ref="F748"/>
    <hyperlink r:id="rId1490" ref="G748"/>
    <hyperlink r:id="rId1491" ref="F749"/>
    <hyperlink r:id="rId1492" ref="G749"/>
    <hyperlink r:id="rId1493" ref="F750"/>
    <hyperlink r:id="rId1494" ref="G750"/>
    <hyperlink r:id="rId1495" ref="F751"/>
    <hyperlink r:id="rId1496" ref="G751"/>
    <hyperlink r:id="rId1497" ref="F752"/>
    <hyperlink r:id="rId1498" ref="G752"/>
    <hyperlink r:id="rId1499" ref="F753"/>
    <hyperlink r:id="rId1500" ref="G753"/>
    <hyperlink r:id="rId1501" ref="F754"/>
    <hyperlink r:id="rId1502" ref="G754"/>
    <hyperlink r:id="rId1503" ref="F755"/>
    <hyperlink r:id="rId1504" ref="G755"/>
    <hyperlink r:id="rId1505" ref="F756"/>
    <hyperlink r:id="rId1506" ref="G756"/>
    <hyperlink r:id="rId1507" ref="F757"/>
    <hyperlink r:id="rId1508" ref="G757"/>
    <hyperlink r:id="rId1509" ref="F758"/>
    <hyperlink r:id="rId1510" ref="G758"/>
    <hyperlink r:id="rId1511" ref="F759"/>
    <hyperlink r:id="rId1512" ref="G759"/>
    <hyperlink r:id="rId1513" ref="F760"/>
    <hyperlink r:id="rId1514" ref="G760"/>
    <hyperlink r:id="rId1515" ref="F761"/>
    <hyperlink r:id="rId1516" ref="G761"/>
    <hyperlink r:id="rId1517" ref="F762"/>
    <hyperlink r:id="rId1518" ref="G762"/>
    <hyperlink r:id="rId1519" ref="F763"/>
    <hyperlink r:id="rId1520" ref="G763"/>
    <hyperlink r:id="rId1521" ref="F764"/>
    <hyperlink r:id="rId1522" ref="G764"/>
    <hyperlink r:id="rId1523" ref="F765"/>
    <hyperlink r:id="rId1524" ref="G765"/>
    <hyperlink r:id="rId1525" ref="F766"/>
    <hyperlink r:id="rId1526" ref="G766"/>
    <hyperlink r:id="rId1527" ref="F767"/>
    <hyperlink r:id="rId1528" ref="G767"/>
    <hyperlink r:id="rId1529" ref="F768"/>
    <hyperlink r:id="rId1530" ref="G768"/>
    <hyperlink r:id="rId1531" ref="F769"/>
    <hyperlink r:id="rId1532" ref="G769"/>
    <hyperlink r:id="rId1533" ref="F770"/>
    <hyperlink r:id="rId1534" ref="G770"/>
    <hyperlink r:id="rId1535" ref="F771"/>
    <hyperlink r:id="rId1536" ref="G771"/>
    <hyperlink r:id="rId1537" ref="F772"/>
    <hyperlink r:id="rId1538" ref="G772"/>
    <hyperlink r:id="rId1539" ref="F773"/>
    <hyperlink r:id="rId1540" ref="G773"/>
    <hyperlink r:id="rId1541" ref="F774"/>
    <hyperlink r:id="rId1542" ref="G774"/>
    <hyperlink r:id="rId1543" ref="F775"/>
    <hyperlink r:id="rId1544" ref="G775"/>
    <hyperlink r:id="rId1545" ref="F776"/>
    <hyperlink r:id="rId1546" ref="G776"/>
    <hyperlink r:id="rId1547" ref="F777"/>
    <hyperlink r:id="rId1548" ref="G777"/>
    <hyperlink r:id="rId1549" ref="F778"/>
    <hyperlink r:id="rId1550" ref="G778"/>
    <hyperlink r:id="rId1551" ref="F779"/>
    <hyperlink r:id="rId1552" ref="G779"/>
    <hyperlink r:id="rId1553" ref="F780"/>
    <hyperlink r:id="rId1554" ref="G780"/>
    <hyperlink r:id="rId1555" ref="F781"/>
    <hyperlink r:id="rId1556" ref="G781"/>
    <hyperlink r:id="rId1557" ref="F782"/>
    <hyperlink r:id="rId1558" ref="G782"/>
    <hyperlink r:id="rId1559" ref="F783"/>
    <hyperlink r:id="rId1560" ref="G783"/>
    <hyperlink r:id="rId1561" ref="F784"/>
    <hyperlink r:id="rId1562" ref="G784"/>
    <hyperlink r:id="rId1563" ref="F785"/>
    <hyperlink r:id="rId1564" ref="G785"/>
    <hyperlink r:id="rId1565" ref="F786"/>
    <hyperlink r:id="rId1566" ref="G786"/>
    <hyperlink r:id="rId1567" ref="F787"/>
    <hyperlink r:id="rId1568" ref="G787"/>
    <hyperlink r:id="rId1569" ref="F788"/>
    <hyperlink r:id="rId1570" ref="G788"/>
    <hyperlink r:id="rId1571" ref="F789"/>
    <hyperlink r:id="rId1572" ref="G789"/>
    <hyperlink r:id="rId1573" ref="F790"/>
    <hyperlink r:id="rId1574" ref="G790"/>
    <hyperlink r:id="rId1575" ref="F791"/>
    <hyperlink r:id="rId1576" ref="G791"/>
    <hyperlink r:id="rId1577" ref="F792"/>
    <hyperlink r:id="rId1578" ref="G792"/>
    <hyperlink r:id="rId1579" ref="F793"/>
    <hyperlink r:id="rId1580" ref="G793"/>
    <hyperlink r:id="rId1581" ref="F794"/>
    <hyperlink r:id="rId1582" ref="G794"/>
    <hyperlink r:id="rId1583" ref="F795"/>
    <hyperlink r:id="rId1584" ref="G795"/>
    <hyperlink r:id="rId1585" ref="F796"/>
    <hyperlink r:id="rId1586" ref="G796"/>
    <hyperlink r:id="rId1587" ref="F797"/>
    <hyperlink r:id="rId1588" ref="G797"/>
    <hyperlink r:id="rId1589" ref="F798"/>
    <hyperlink r:id="rId1590" ref="G798"/>
    <hyperlink r:id="rId1591" ref="F799"/>
    <hyperlink r:id="rId1592" ref="G799"/>
    <hyperlink r:id="rId1593" ref="F800"/>
    <hyperlink r:id="rId1594" ref="G800"/>
    <hyperlink r:id="rId1595" ref="F801"/>
    <hyperlink r:id="rId1596" ref="G801"/>
    <hyperlink r:id="rId1597" ref="F802"/>
    <hyperlink r:id="rId1598" ref="G802"/>
    <hyperlink r:id="rId1599" ref="F803"/>
    <hyperlink r:id="rId1600" ref="G803"/>
    <hyperlink r:id="rId1601" ref="F804"/>
    <hyperlink r:id="rId1602" ref="G804"/>
    <hyperlink r:id="rId1603" ref="F805"/>
    <hyperlink r:id="rId1604" ref="G805"/>
    <hyperlink r:id="rId1605" ref="F806"/>
    <hyperlink r:id="rId1606" ref="G806"/>
    <hyperlink r:id="rId1607" ref="F807"/>
    <hyperlink r:id="rId1608" ref="G807"/>
    <hyperlink r:id="rId1609" ref="F808"/>
    <hyperlink r:id="rId1610" ref="G808"/>
    <hyperlink r:id="rId1611" ref="F809"/>
    <hyperlink r:id="rId1612" ref="G809"/>
    <hyperlink r:id="rId1613" ref="F810"/>
    <hyperlink r:id="rId1614" ref="G810"/>
    <hyperlink r:id="rId1615" ref="F811"/>
    <hyperlink r:id="rId1616" ref="G811"/>
    <hyperlink r:id="rId1617" ref="F812"/>
    <hyperlink r:id="rId1618" ref="G812"/>
    <hyperlink r:id="rId1619" ref="F813"/>
    <hyperlink r:id="rId1620" ref="G813"/>
    <hyperlink r:id="rId1621" ref="F814"/>
    <hyperlink r:id="rId1622" ref="G814"/>
    <hyperlink r:id="rId1623" ref="F815"/>
    <hyperlink r:id="rId1624" ref="G815"/>
    <hyperlink r:id="rId1625" ref="F816"/>
    <hyperlink r:id="rId1626" ref="G816"/>
    <hyperlink r:id="rId1627" ref="F817"/>
    <hyperlink r:id="rId1628" ref="G817"/>
    <hyperlink r:id="rId1629" ref="F818"/>
    <hyperlink r:id="rId1630" ref="G818"/>
    <hyperlink r:id="rId1631" ref="F819"/>
    <hyperlink r:id="rId1632" ref="G819"/>
    <hyperlink r:id="rId1633" ref="F820"/>
    <hyperlink r:id="rId1634" ref="G820"/>
    <hyperlink r:id="rId1635" ref="F821"/>
    <hyperlink r:id="rId1636" ref="G821"/>
    <hyperlink r:id="rId1637" ref="F822"/>
    <hyperlink r:id="rId1638" ref="G822"/>
    <hyperlink r:id="rId1639" ref="F823"/>
    <hyperlink r:id="rId1640" ref="G823"/>
    <hyperlink r:id="rId1641" ref="F824"/>
    <hyperlink r:id="rId1642" ref="G824"/>
    <hyperlink r:id="rId1643" ref="F825"/>
    <hyperlink r:id="rId1644" ref="G825"/>
    <hyperlink r:id="rId1645" ref="F826"/>
    <hyperlink r:id="rId1646" ref="G826"/>
    <hyperlink r:id="rId1647" ref="F827"/>
    <hyperlink r:id="rId1648" ref="G827"/>
    <hyperlink r:id="rId1649" ref="F828"/>
    <hyperlink r:id="rId1650" ref="G828"/>
    <hyperlink r:id="rId1651" ref="F829"/>
    <hyperlink r:id="rId1652" ref="G829"/>
    <hyperlink r:id="rId1653" ref="F830"/>
    <hyperlink r:id="rId1654" ref="G830"/>
    <hyperlink r:id="rId1655" ref="F831"/>
    <hyperlink r:id="rId1656" ref="G831"/>
    <hyperlink r:id="rId1657" ref="F832"/>
    <hyperlink r:id="rId1658" ref="G832"/>
    <hyperlink r:id="rId1659" ref="F833"/>
    <hyperlink r:id="rId1660" ref="G833"/>
    <hyperlink r:id="rId1661" ref="F834"/>
    <hyperlink r:id="rId1662" ref="G834"/>
    <hyperlink r:id="rId1663" ref="F835"/>
    <hyperlink r:id="rId1664" ref="G835"/>
    <hyperlink r:id="rId1665" ref="F836"/>
    <hyperlink r:id="rId1666" ref="G836"/>
    <hyperlink r:id="rId1667" ref="F837"/>
    <hyperlink r:id="rId1668" ref="G837"/>
    <hyperlink r:id="rId1669" ref="F838"/>
    <hyperlink r:id="rId1670" ref="G838"/>
    <hyperlink r:id="rId1671" ref="F839"/>
    <hyperlink r:id="rId1672" ref="G839"/>
    <hyperlink r:id="rId1673" ref="F840"/>
    <hyperlink r:id="rId1674" ref="G840"/>
    <hyperlink r:id="rId1675" ref="F841"/>
    <hyperlink r:id="rId1676" ref="G841"/>
    <hyperlink r:id="rId1677" ref="F842"/>
    <hyperlink r:id="rId1678" ref="G842"/>
    <hyperlink r:id="rId1679" ref="F843"/>
    <hyperlink r:id="rId1680" ref="G843"/>
    <hyperlink r:id="rId1681" ref="F844"/>
    <hyperlink r:id="rId1682" ref="G844"/>
    <hyperlink r:id="rId1683" ref="F845"/>
    <hyperlink r:id="rId1684" ref="G845"/>
    <hyperlink r:id="rId1685" ref="F846"/>
    <hyperlink r:id="rId1686" ref="G846"/>
    <hyperlink r:id="rId1687" ref="F847"/>
    <hyperlink r:id="rId1688" ref="G847"/>
    <hyperlink r:id="rId1689" ref="F848"/>
    <hyperlink r:id="rId1690" ref="G848"/>
    <hyperlink r:id="rId1691" ref="F849"/>
    <hyperlink r:id="rId1692" ref="G849"/>
    <hyperlink r:id="rId1693" ref="F850"/>
    <hyperlink r:id="rId1694" ref="G850"/>
    <hyperlink r:id="rId1695" ref="F851"/>
    <hyperlink r:id="rId1696" ref="G851"/>
    <hyperlink r:id="rId1697" ref="F852"/>
    <hyperlink r:id="rId1698" ref="G852"/>
    <hyperlink r:id="rId1699" ref="F853"/>
    <hyperlink r:id="rId1700" ref="G853"/>
    <hyperlink r:id="rId1701" ref="F854"/>
    <hyperlink r:id="rId1702" ref="G854"/>
    <hyperlink r:id="rId1703" ref="F855"/>
    <hyperlink r:id="rId1704" ref="G855"/>
    <hyperlink r:id="rId1705" ref="F856"/>
    <hyperlink r:id="rId1706" ref="G856"/>
    <hyperlink r:id="rId1707" ref="F857"/>
    <hyperlink r:id="rId1708" ref="G857"/>
    <hyperlink r:id="rId1709" ref="F858"/>
    <hyperlink r:id="rId1710" ref="G858"/>
    <hyperlink r:id="rId1711" ref="F859"/>
    <hyperlink r:id="rId1712" ref="G859"/>
    <hyperlink r:id="rId1713" ref="F860"/>
    <hyperlink r:id="rId1714" ref="G860"/>
    <hyperlink r:id="rId1715" ref="F861"/>
    <hyperlink r:id="rId1716" ref="G861"/>
    <hyperlink r:id="rId1717" ref="F862"/>
    <hyperlink r:id="rId1718" ref="G862"/>
    <hyperlink r:id="rId1719" ref="F863"/>
    <hyperlink r:id="rId1720" ref="G863"/>
    <hyperlink r:id="rId1721" ref="F864"/>
    <hyperlink r:id="rId1722" ref="G864"/>
    <hyperlink r:id="rId1723" ref="F865"/>
    <hyperlink r:id="rId1724" ref="G865"/>
    <hyperlink r:id="rId1725" ref="F866"/>
    <hyperlink r:id="rId1726" ref="G866"/>
    <hyperlink r:id="rId1727" ref="F867"/>
    <hyperlink r:id="rId1728" ref="G867"/>
    <hyperlink r:id="rId1729" ref="F868"/>
    <hyperlink r:id="rId1730" ref="G868"/>
    <hyperlink r:id="rId1731" ref="F869"/>
    <hyperlink r:id="rId1732" ref="G869"/>
    <hyperlink r:id="rId1733" ref="F870"/>
    <hyperlink r:id="rId1734" ref="G870"/>
    <hyperlink r:id="rId1735" ref="F871"/>
    <hyperlink r:id="rId1736" ref="G871"/>
    <hyperlink r:id="rId1737" ref="F872"/>
    <hyperlink r:id="rId1738" ref="G872"/>
    <hyperlink r:id="rId1739" ref="F873"/>
    <hyperlink r:id="rId1740" ref="G873"/>
    <hyperlink r:id="rId1741" ref="F874"/>
    <hyperlink r:id="rId1742" ref="G874"/>
    <hyperlink r:id="rId1743" ref="F875"/>
    <hyperlink r:id="rId1744" ref="G875"/>
    <hyperlink r:id="rId1745" ref="F876"/>
    <hyperlink r:id="rId1746" ref="G876"/>
    <hyperlink r:id="rId1747" ref="F877"/>
    <hyperlink r:id="rId1748" ref="G877"/>
    <hyperlink r:id="rId1749" ref="F878"/>
    <hyperlink r:id="rId1750" ref="G878"/>
    <hyperlink r:id="rId1751" ref="F879"/>
    <hyperlink r:id="rId1752" ref="G879"/>
    <hyperlink r:id="rId1753" ref="F880"/>
    <hyperlink r:id="rId1754" ref="G880"/>
    <hyperlink r:id="rId1755" ref="F881"/>
    <hyperlink r:id="rId1756" ref="G881"/>
    <hyperlink r:id="rId1757" ref="F882"/>
    <hyperlink r:id="rId1758" ref="G882"/>
    <hyperlink r:id="rId1759" ref="F883"/>
    <hyperlink r:id="rId1760" ref="G883"/>
    <hyperlink r:id="rId1761" ref="F884"/>
    <hyperlink r:id="rId1762" ref="G884"/>
    <hyperlink r:id="rId1763" ref="F885"/>
    <hyperlink r:id="rId1764" ref="G885"/>
    <hyperlink r:id="rId1765" ref="F886"/>
    <hyperlink r:id="rId1766" ref="G886"/>
    <hyperlink r:id="rId1767" ref="F887"/>
    <hyperlink r:id="rId1768" ref="G887"/>
    <hyperlink r:id="rId1769" ref="F888"/>
    <hyperlink r:id="rId1770" ref="G888"/>
    <hyperlink r:id="rId1771" ref="F889"/>
    <hyperlink r:id="rId1772" ref="G889"/>
    <hyperlink r:id="rId1773" ref="F890"/>
    <hyperlink r:id="rId1774" ref="G890"/>
    <hyperlink r:id="rId1775" ref="F891"/>
    <hyperlink r:id="rId1776" ref="G891"/>
    <hyperlink r:id="rId1777" ref="F892"/>
    <hyperlink r:id="rId1778" ref="G892"/>
    <hyperlink r:id="rId1779" ref="F893"/>
    <hyperlink r:id="rId1780" ref="G893"/>
    <hyperlink r:id="rId1781" ref="F894"/>
    <hyperlink r:id="rId1782" ref="G894"/>
    <hyperlink r:id="rId1783" ref="F895"/>
    <hyperlink r:id="rId1784" ref="G895"/>
    <hyperlink r:id="rId1785" ref="F896"/>
    <hyperlink r:id="rId1786" ref="G896"/>
    <hyperlink r:id="rId1787" ref="F897"/>
    <hyperlink r:id="rId1788" ref="G897"/>
    <hyperlink r:id="rId1789" ref="F898"/>
    <hyperlink r:id="rId1790" ref="G898"/>
    <hyperlink r:id="rId1791" ref="F899"/>
    <hyperlink r:id="rId1792" ref="G899"/>
    <hyperlink r:id="rId1793" ref="F900"/>
    <hyperlink r:id="rId1794" ref="G900"/>
    <hyperlink r:id="rId1795" ref="F901"/>
    <hyperlink r:id="rId1796" ref="G901"/>
    <hyperlink r:id="rId1797" ref="F902"/>
    <hyperlink r:id="rId1798" ref="G902"/>
    <hyperlink r:id="rId1799" ref="F903"/>
    <hyperlink r:id="rId1800" ref="G903"/>
    <hyperlink r:id="rId1801" ref="F904"/>
    <hyperlink r:id="rId1802" ref="G904"/>
    <hyperlink r:id="rId1803" ref="F905"/>
    <hyperlink r:id="rId1804" ref="G905"/>
    <hyperlink r:id="rId1805" ref="F906"/>
    <hyperlink r:id="rId1806" ref="G906"/>
    <hyperlink r:id="rId1807" ref="F907"/>
    <hyperlink r:id="rId1808" ref="G907"/>
    <hyperlink r:id="rId1809" ref="F908"/>
    <hyperlink r:id="rId1810" ref="G908"/>
    <hyperlink r:id="rId1811" ref="F909"/>
    <hyperlink r:id="rId1812" ref="G909"/>
    <hyperlink r:id="rId1813" ref="F910"/>
    <hyperlink r:id="rId1814" ref="G910"/>
    <hyperlink r:id="rId1815" ref="F911"/>
    <hyperlink r:id="rId1816" ref="G911"/>
    <hyperlink r:id="rId1817" ref="F912"/>
    <hyperlink r:id="rId1818" ref="G912"/>
    <hyperlink r:id="rId1819" ref="F913"/>
    <hyperlink r:id="rId1820" ref="G913"/>
    <hyperlink r:id="rId1821" ref="F914"/>
    <hyperlink r:id="rId1822" ref="G914"/>
    <hyperlink r:id="rId1823" ref="F915"/>
    <hyperlink r:id="rId1824" ref="G915"/>
    <hyperlink r:id="rId1825" ref="F916"/>
    <hyperlink r:id="rId1826" ref="G916"/>
    <hyperlink r:id="rId1827" ref="F917"/>
    <hyperlink r:id="rId1828" ref="G917"/>
    <hyperlink r:id="rId1829" ref="F918"/>
    <hyperlink r:id="rId1830" ref="G918"/>
    <hyperlink r:id="rId1831" ref="F919"/>
    <hyperlink r:id="rId1832" ref="G919"/>
    <hyperlink r:id="rId1833" ref="F920"/>
    <hyperlink r:id="rId1834" ref="G920"/>
    <hyperlink r:id="rId1835" ref="F921"/>
    <hyperlink r:id="rId1836" ref="G921"/>
    <hyperlink r:id="rId1837" ref="F922"/>
    <hyperlink r:id="rId1838" ref="G922"/>
    <hyperlink r:id="rId1839" ref="F923"/>
    <hyperlink r:id="rId1840" ref="G923"/>
    <hyperlink r:id="rId1841" ref="F924"/>
    <hyperlink r:id="rId1842" ref="G924"/>
    <hyperlink r:id="rId1843" ref="F925"/>
    <hyperlink r:id="rId1844" ref="G925"/>
    <hyperlink r:id="rId1845" ref="F926"/>
    <hyperlink r:id="rId1846" ref="G926"/>
    <hyperlink r:id="rId1847" ref="F927"/>
    <hyperlink r:id="rId1848" ref="G927"/>
    <hyperlink r:id="rId1849" ref="F928"/>
    <hyperlink r:id="rId1850" ref="G928"/>
    <hyperlink r:id="rId1851" ref="F929"/>
    <hyperlink r:id="rId1852" ref="G929"/>
    <hyperlink r:id="rId1853" ref="F930"/>
    <hyperlink r:id="rId1854" ref="G930"/>
    <hyperlink r:id="rId1855" ref="F931"/>
    <hyperlink r:id="rId1856" ref="G931"/>
    <hyperlink r:id="rId1857" ref="F932"/>
    <hyperlink r:id="rId1858" ref="G932"/>
    <hyperlink r:id="rId1859" ref="F933"/>
    <hyperlink r:id="rId1860" ref="G933"/>
    <hyperlink r:id="rId1861" ref="F934"/>
    <hyperlink r:id="rId1862" ref="G934"/>
    <hyperlink r:id="rId1863" ref="F935"/>
    <hyperlink r:id="rId1864" ref="G935"/>
    <hyperlink r:id="rId1865" ref="F936"/>
    <hyperlink r:id="rId1866" ref="G936"/>
    <hyperlink r:id="rId1867" ref="F937"/>
    <hyperlink r:id="rId1868" ref="G937"/>
    <hyperlink r:id="rId1869" ref="F938"/>
    <hyperlink r:id="rId1870" ref="G938"/>
    <hyperlink r:id="rId1871" ref="F939"/>
    <hyperlink r:id="rId1872" ref="G939"/>
    <hyperlink r:id="rId1873" ref="F940"/>
    <hyperlink r:id="rId1874" ref="G940"/>
    <hyperlink r:id="rId1875" ref="F941"/>
    <hyperlink r:id="rId1876" ref="G941"/>
    <hyperlink r:id="rId1877" ref="F942"/>
    <hyperlink r:id="rId1878" ref="G942"/>
    <hyperlink r:id="rId1879" ref="F943"/>
    <hyperlink r:id="rId1880" ref="G943"/>
    <hyperlink r:id="rId1881" ref="F944"/>
    <hyperlink r:id="rId1882" ref="G944"/>
    <hyperlink r:id="rId1883" ref="F945"/>
    <hyperlink r:id="rId1884" ref="G945"/>
    <hyperlink r:id="rId1885" ref="F946"/>
    <hyperlink r:id="rId1886" ref="G946"/>
    <hyperlink r:id="rId1887" ref="F947"/>
    <hyperlink r:id="rId1888" ref="G947"/>
    <hyperlink r:id="rId1889" ref="F948"/>
    <hyperlink r:id="rId1890" ref="G948"/>
    <hyperlink r:id="rId1891" ref="F949"/>
    <hyperlink r:id="rId1892" ref="G949"/>
    <hyperlink r:id="rId1893" ref="F950"/>
    <hyperlink r:id="rId1894" ref="G950"/>
    <hyperlink r:id="rId1895" ref="F951"/>
    <hyperlink r:id="rId1896" ref="G951"/>
    <hyperlink r:id="rId1897" ref="F952"/>
    <hyperlink r:id="rId1898" ref="G952"/>
    <hyperlink r:id="rId1899" ref="F953"/>
    <hyperlink r:id="rId1900" ref="G953"/>
    <hyperlink r:id="rId1901" ref="F954"/>
    <hyperlink r:id="rId1902" ref="G954"/>
    <hyperlink r:id="rId1903" ref="F955"/>
    <hyperlink r:id="rId1904" ref="G955"/>
    <hyperlink r:id="rId1905" ref="F956"/>
    <hyperlink r:id="rId1906" ref="G956"/>
    <hyperlink r:id="rId1907" ref="F957"/>
    <hyperlink r:id="rId1908" ref="G957"/>
    <hyperlink r:id="rId1909" ref="F958"/>
    <hyperlink r:id="rId1910" ref="G958"/>
    <hyperlink r:id="rId1911" ref="F959"/>
    <hyperlink r:id="rId1912" ref="G959"/>
    <hyperlink r:id="rId1913" ref="F960"/>
    <hyperlink r:id="rId1914" ref="G960"/>
    <hyperlink r:id="rId1915" ref="F961"/>
    <hyperlink r:id="rId1916" ref="G961"/>
    <hyperlink r:id="rId1917" ref="F962"/>
    <hyperlink r:id="rId1918" ref="G962"/>
    <hyperlink r:id="rId1919" ref="F963"/>
    <hyperlink r:id="rId1920" ref="G963"/>
    <hyperlink r:id="rId1921" ref="F964"/>
    <hyperlink r:id="rId1922" ref="G964"/>
    <hyperlink r:id="rId1923" ref="F965"/>
    <hyperlink r:id="rId1924" ref="G965"/>
    <hyperlink r:id="rId1925" ref="F966"/>
    <hyperlink r:id="rId1926" ref="G966"/>
    <hyperlink r:id="rId1927" ref="F967"/>
    <hyperlink r:id="rId1928" ref="G967"/>
    <hyperlink r:id="rId1929" ref="F968"/>
    <hyperlink r:id="rId1930" ref="G968"/>
    <hyperlink r:id="rId1931" ref="F969"/>
    <hyperlink r:id="rId1932" ref="G969"/>
    <hyperlink r:id="rId1933" ref="F970"/>
    <hyperlink r:id="rId1934" ref="G970"/>
    <hyperlink r:id="rId1935" ref="F971"/>
    <hyperlink r:id="rId1936" ref="G971"/>
    <hyperlink r:id="rId1937" ref="F972"/>
    <hyperlink r:id="rId1938" ref="G972"/>
    <hyperlink r:id="rId1939" ref="F973"/>
    <hyperlink r:id="rId1940" ref="G973"/>
    <hyperlink r:id="rId1941" ref="F974"/>
    <hyperlink r:id="rId1942" ref="G974"/>
    <hyperlink r:id="rId1943" ref="F975"/>
    <hyperlink r:id="rId1944" ref="G975"/>
    <hyperlink r:id="rId1945" ref="F976"/>
    <hyperlink r:id="rId1946" ref="G976"/>
    <hyperlink r:id="rId1947" ref="F977"/>
    <hyperlink r:id="rId1948" ref="G977"/>
    <hyperlink r:id="rId1949" ref="F978"/>
    <hyperlink r:id="rId1950" ref="G978"/>
    <hyperlink r:id="rId1951" ref="F979"/>
    <hyperlink r:id="rId1952" ref="G979"/>
    <hyperlink r:id="rId1953" ref="F980"/>
    <hyperlink r:id="rId1954" ref="G980"/>
    <hyperlink r:id="rId1955" ref="F981"/>
    <hyperlink r:id="rId1956" ref="G981"/>
    <hyperlink r:id="rId1957" ref="F982"/>
    <hyperlink r:id="rId1958" ref="G982"/>
    <hyperlink r:id="rId1959" ref="F983"/>
    <hyperlink r:id="rId1960" ref="G983"/>
    <hyperlink r:id="rId1961" ref="F984"/>
    <hyperlink r:id="rId1962" ref="G984"/>
    <hyperlink r:id="rId1963" ref="F985"/>
    <hyperlink r:id="rId1964" ref="G985"/>
    <hyperlink r:id="rId1965" ref="F986"/>
    <hyperlink r:id="rId1966" ref="G986"/>
    <hyperlink r:id="rId1967" ref="F987"/>
    <hyperlink r:id="rId1968" ref="G987"/>
    <hyperlink r:id="rId1969" ref="F988"/>
    <hyperlink r:id="rId1970" ref="G988"/>
    <hyperlink r:id="rId1971" ref="F989"/>
    <hyperlink r:id="rId1972" ref="G989"/>
    <hyperlink r:id="rId1973" ref="F990"/>
    <hyperlink r:id="rId1974" ref="G990"/>
    <hyperlink r:id="rId1975" ref="F991"/>
    <hyperlink r:id="rId1976" ref="G991"/>
    <hyperlink r:id="rId1977" ref="F992"/>
    <hyperlink r:id="rId1978" ref="G992"/>
    <hyperlink r:id="rId1979" ref="F993"/>
    <hyperlink r:id="rId1980" ref="G993"/>
    <hyperlink r:id="rId1981" ref="F994"/>
    <hyperlink r:id="rId1982" ref="G994"/>
    <hyperlink r:id="rId1983" ref="F995"/>
    <hyperlink r:id="rId1984" ref="G995"/>
    <hyperlink r:id="rId1985" ref="F996"/>
    <hyperlink r:id="rId1986" ref="G996"/>
    <hyperlink r:id="rId1987" ref="F997"/>
    <hyperlink r:id="rId1988" ref="G997"/>
    <hyperlink r:id="rId1989" ref="F998"/>
    <hyperlink r:id="rId1990" ref="G998"/>
    <hyperlink r:id="rId1991" ref="F999"/>
    <hyperlink r:id="rId1992" ref="G999"/>
    <hyperlink r:id="rId1993" ref="F1000"/>
    <hyperlink r:id="rId1994" ref="G1000"/>
    <hyperlink r:id="rId1995" ref="F1001"/>
    <hyperlink r:id="rId1996" ref="G1001"/>
    <hyperlink r:id="rId1997" ref="F1002"/>
    <hyperlink r:id="rId1998" ref="G1002"/>
    <hyperlink r:id="rId1999" ref="F1003"/>
    <hyperlink r:id="rId2000" ref="G1003"/>
    <hyperlink r:id="rId2001" ref="F1004"/>
    <hyperlink r:id="rId2002" ref="G1004"/>
    <hyperlink r:id="rId2003" ref="F1005"/>
    <hyperlink r:id="rId2004" ref="G1005"/>
    <hyperlink r:id="rId2005" ref="F1006"/>
    <hyperlink r:id="rId2006" ref="G1006"/>
    <hyperlink r:id="rId2007" ref="F1007"/>
    <hyperlink r:id="rId2008" ref="G1007"/>
    <hyperlink r:id="rId2009" ref="F1008"/>
    <hyperlink r:id="rId2010" ref="G1008"/>
    <hyperlink r:id="rId2011" ref="F1009"/>
    <hyperlink r:id="rId2012" ref="G1009"/>
    <hyperlink r:id="rId2013" ref="F1010"/>
    <hyperlink r:id="rId2014" ref="G1010"/>
    <hyperlink r:id="rId2015" ref="F1011"/>
    <hyperlink r:id="rId2016" ref="G1011"/>
    <hyperlink r:id="rId2017" ref="F1012"/>
    <hyperlink r:id="rId2018" ref="G1012"/>
    <hyperlink r:id="rId2019" ref="F1013"/>
    <hyperlink r:id="rId2020" ref="G1013"/>
    <hyperlink r:id="rId2021" ref="F1014"/>
    <hyperlink r:id="rId2022" ref="G1014"/>
    <hyperlink r:id="rId2023" ref="F1015"/>
    <hyperlink r:id="rId2024" ref="G1015"/>
    <hyperlink r:id="rId2025" ref="F1016"/>
    <hyperlink r:id="rId2026" ref="G1016"/>
    <hyperlink r:id="rId2027" ref="F1017"/>
    <hyperlink r:id="rId2028" ref="G1017"/>
    <hyperlink r:id="rId2029" ref="F1018"/>
    <hyperlink r:id="rId2030" ref="G1018"/>
    <hyperlink r:id="rId2031" ref="F1019"/>
    <hyperlink r:id="rId2032" ref="G1019"/>
    <hyperlink r:id="rId2033" ref="F1020"/>
    <hyperlink r:id="rId2034" ref="G1020"/>
    <hyperlink r:id="rId2035" ref="F1021"/>
    <hyperlink r:id="rId2036" ref="G1021"/>
    <hyperlink r:id="rId2037" ref="F1022"/>
    <hyperlink r:id="rId2038" ref="G1022"/>
    <hyperlink r:id="rId2039" ref="F1023"/>
    <hyperlink r:id="rId2040" ref="G1023"/>
    <hyperlink r:id="rId2041" ref="F1024"/>
    <hyperlink r:id="rId2042" ref="G1024"/>
    <hyperlink r:id="rId2043" ref="F1025"/>
    <hyperlink r:id="rId2044" ref="G1025"/>
    <hyperlink r:id="rId2045" ref="F1026"/>
    <hyperlink r:id="rId2046" ref="G1026"/>
    <hyperlink r:id="rId2047" ref="F1027"/>
    <hyperlink r:id="rId2048" ref="G1027"/>
    <hyperlink r:id="rId2049" ref="F1028"/>
    <hyperlink r:id="rId2050" ref="G1028"/>
    <hyperlink r:id="rId2051" ref="F1029"/>
    <hyperlink r:id="rId2052" ref="G1029"/>
    <hyperlink r:id="rId2053" ref="F1030"/>
    <hyperlink r:id="rId2054" ref="G1030"/>
    <hyperlink r:id="rId2055" ref="F1031"/>
    <hyperlink r:id="rId2056" ref="G1031"/>
    <hyperlink r:id="rId2057" ref="F1032"/>
    <hyperlink r:id="rId2058" ref="G1032"/>
    <hyperlink r:id="rId2059" ref="F1033"/>
    <hyperlink r:id="rId2060" ref="G1033"/>
    <hyperlink r:id="rId2061" ref="F1034"/>
    <hyperlink r:id="rId2062" ref="G1034"/>
    <hyperlink r:id="rId2063" ref="F1035"/>
    <hyperlink r:id="rId2064" ref="G1035"/>
    <hyperlink r:id="rId2065" ref="F1036"/>
    <hyperlink r:id="rId2066" ref="G1036"/>
    <hyperlink r:id="rId2067" ref="F1037"/>
    <hyperlink r:id="rId2068" ref="G1037"/>
    <hyperlink r:id="rId2069" ref="F1038"/>
    <hyperlink r:id="rId2070" ref="G1038"/>
    <hyperlink r:id="rId2071" ref="F1039"/>
    <hyperlink r:id="rId2072" ref="G1039"/>
    <hyperlink r:id="rId2073" ref="F1040"/>
    <hyperlink r:id="rId2074" ref="G1040"/>
    <hyperlink r:id="rId2075" ref="F1041"/>
    <hyperlink r:id="rId2076" ref="G1041"/>
    <hyperlink r:id="rId2077" ref="F1042"/>
    <hyperlink r:id="rId2078" ref="G1042"/>
    <hyperlink r:id="rId2079" ref="F1043"/>
    <hyperlink r:id="rId2080" ref="G1043"/>
    <hyperlink r:id="rId2081" ref="F1044"/>
    <hyperlink r:id="rId2082" ref="G1044"/>
    <hyperlink r:id="rId2083" ref="F1045"/>
    <hyperlink r:id="rId2084" ref="G1045"/>
    <hyperlink r:id="rId2085" ref="F1046"/>
    <hyperlink r:id="rId2086" ref="G1046"/>
    <hyperlink r:id="rId2087" ref="F1047"/>
    <hyperlink r:id="rId2088" ref="G1047"/>
    <hyperlink r:id="rId2089" ref="F1048"/>
    <hyperlink r:id="rId2090" ref="G1048"/>
    <hyperlink r:id="rId2091" ref="F1049"/>
    <hyperlink r:id="rId2092" ref="G1049"/>
    <hyperlink r:id="rId2093" ref="F1050"/>
    <hyperlink r:id="rId2094" ref="G1050"/>
    <hyperlink r:id="rId2095" ref="F1051"/>
    <hyperlink r:id="rId2096" ref="G1051"/>
    <hyperlink r:id="rId2097" ref="F1052"/>
    <hyperlink r:id="rId2098" ref="G1052"/>
    <hyperlink r:id="rId2099" ref="F1053"/>
    <hyperlink r:id="rId2100" ref="G1053"/>
    <hyperlink r:id="rId2101" ref="F1054"/>
    <hyperlink r:id="rId2102" ref="G1054"/>
    <hyperlink r:id="rId2103" ref="F1055"/>
    <hyperlink r:id="rId2104" ref="G1055"/>
    <hyperlink r:id="rId2105" ref="F1056"/>
    <hyperlink r:id="rId2106" ref="G1056"/>
    <hyperlink r:id="rId2107" ref="F1057"/>
    <hyperlink r:id="rId2108" ref="G1057"/>
    <hyperlink r:id="rId2109" ref="F1058"/>
    <hyperlink r:id="rId2110" ref="G1058"/>
    <hyperlink r:id="rId2111" ref="F1059"/>
    <hyperlink r:id="rId2112" ref="G1059"/>
    <hyperlink r:id="rId2113" ref="F1060"/>
    <hyperlink r:id="rId2114" ref="G1060"/>
    <hyperlink r:id="rId2115" ref="F1061"/>
    <hyperlink r:id="rId2116" ref="G1061"/>
    <hyperlink r:id="rId2117" ref="F1062"/>
    <hyperlink r:id="rId2118" ref="G1062"/>
    <hyperlink r:id="rId2119" ref="F1063"/>
    <hyperlink r:id="rId2120" ref="G1063"/>
    <hyperlink r:id="rId2121" ref="F1064"/>
    <hyperlink r:id="rId2122" ref="G1064"/>
    <hyperlink r:id="rId2123" ref="F1065"/>
    <hyperlink r:id="rId2124" ref="G1065"/>
    <hyperlink r:id="rId2125" ref="F1066"/>
    <hyperlink r:id="rId2126" ref="G1066"/>
    <hyperlink r:id="rId2127" ref="F1067"/>
    <hyperlink r:id="rId2128" ref="G1067"/>
    <hyperlink r:id="rId2129" ref="F1068"/>
    <hyperlink r:id="rId2130" ref="G1068"/>
    <hyperlink r:id="rId2131" ref="F1069"/>
    <hyperlink r:id="rId2132" ref="G1069"/>
    <hyperlink r:id="rId2133" ref="F1070"/>
    <hyperlink r:id="rId2134" ref="G1070"/>
    <hyperlink r:id="rId2135" ref="F1071"/>
    <hyperlink r:id="rId2136" ref="G1071"/>
    <hyperlink r:id="rId2137" ref="F1072"/>
    <hyperlink r:id="rId2138" ref="G1072"/>
    <hyperlink r:id="rId2139" ref="F1073"/>
    <hyperlink r:id="rId2140" ref="G1073"/>
    <hyperlink r:id="rId2141" ref="F1074"/>
    <hyperlink r:id="rId2142" ref="G1074"/>
    <hyperlink r:id="rId2143" ref="F1075"/>
    <hyperlink r:id="rId2144" ref="G1075"/>
    <hyperlink r:id="rId2145" ref="F1076"/>
    <hyperlink r:id="rId2146" ref="G1076"/>
    <hyperlink r:id="rId2147" ref="F1077"/>
    <hyperlink r:id="rId2148" ref="G1077"/>
    <hyperlink r:id="rId2149" ref="F1078"/>
    <hyperlink r:id="rId2150" ref="G1078"/>
    <hyperlink r:id="rId2151" ref="F1079"/>
    <hyperlink r:id="rId2152" ref="G1079"/>
    <hyperlink r:id="rId2153" ref="F1080"/>
    <hyperlink r:id="rId2154" ref="G1080"/>
    <hyperlink r:id="rId2155" ref="F1081"/>
    <hyperlink r:id="rId2156" ref="G1081"/>
    <hyperlink r:id="rId2157" ref="F1082"/>
    <hyperlink r:id="rId2158" ref="G1082"/>
    <hyperlink r:id="rId2159" ref="F1083"/>
    <hyperlink r:id="rId2160" ref="G1083"/>
    <hyperlink r:id="rId2161" ref="F1084"/>
    <hyperlink r:id="rId2162" ref="G1084"/>
    <hyperlink r:id="rId2163" ref="F1085"/>
    <hyperlink r:id="rId2164" ref="G1085"/>
    <hyperlink r:id="rId2165" ref="F1086"/>
    <hyperlink r:id="rId2166" ref="G1086"/>
    <hyperlink r:id="rId2167" ref="F1087"/>
    <hyperlink r:id="rId2168" ref="G1087"/>
    <hyperlink r:id="rId2169" ref="F1088"/>
    <hyperlink r:id="rId2170" ref="G1088"/>
    <hyperlink r:id="rId2171" ref="F1089"/>
    <hyperlink r:id="rId2172" ref="G1089"/>
    <hyperlink r:id="rId2173" ref="F1090"/>
    <hyperlink r:id="rId2174" ref="G1090"/>
    <hyperlink r:id="rId2175" ref="F1091"/>
    <hyperlink r:id="rId2176" ref="G1091"/>
    <hyperlink r:id="rId2177" ref="F1092"/>
    <hyperlink r:id="rId2178" ref="G1092"/>
    <hyperlink r:id="rId2179" ref="F1093"/>
    <hyperlink r:id="rId2180" ref="G1093"/>
    <hyperlink r:id="rId2181" ref="F1094"/>
    <hyperlink r:id="rId2182" ref="G1094"/>
    <hyperlink r:id="rId2183" ref="F1095"/>
    <hyperlink r:id="rId2184" ref="G1095"/>
    <hyperlink r:id="rId2185" ref="F1096"/>
    <hyperlink r:id="rId2186" ref="G1096"/>
    <hyperlink r:id="rId2187" ref="F1097"/>
    <hyperlink r:id="rId2188" ref="G1097"/>
    <hyperlink r:id="rId2189" ref="F1098"/>
    <hyperlink r:id="rId2190" ref="G1098"/>
    <hyperlink r:id="rId2191" ref="F1099"/>
    <hyperlink r:id="rId2192" ref="G1099"/>
    <hyperlink r:id="rId2193" ref="F1100"/>
    <hyperlink r:id="rId2194" ref="G1100"/>
    <hyperlink r:id="rId2195" ref="F1101"/>
    <hyperlink r:id="rId2196" ref="G1101"/>
    <hyperlink r:id="rId2197" ref="F1102"/>
    <hyperlink r:id="rId2198" ref="G1102"/>
    <hyperlink r:id="rId2199" ref="F1103"/>
    <hyperlink r:id="rId2200" ref="G1103"/>
    <hyperlink r:id="rId2201" ref="F1104"/>
    <hyperlink r:id="rId2202" ref="G1104"/>
    <hyperlink r:id="rId2203" ref="F1105"/>
    <hyperlink r:id="rId2204" ref="G1105"/>
    <hyperlink r:id="rId2205" ref="F1106"/>
    <hyperlink r:id="rId2206" ref="G1106"/>
    <hyperlink r:id="rId2207" ref="F1107"/>
    <hyperlink r:id="rId2208" ref="G1107"/>
    <hyperlink r:id="rId2209" ref="F1108"/>
    <hyperlink r:id="rId2210" ref="G1108"/>
    <hyperlink r:id="rId2211" ref="F1109"/>
    <hyperlink r:id="rId2212" ref="G1109"/>
    <hyperlink r:id="rId2213" ref="F1110"/>
    <hyperlink r:id="rId2214" ref="G1110"/>
    <hyperlink r:id="rId2215" ref="F1111"/>
    <hyperlink r:id="rId2216" ref="G1111"/>
    <hyperlink r:id="rId2217" ref="F1112"/>
    <hyperlink r:id="rId2218" ref="G1112"/>
    <hyperlink r:id="rId2219" ref="F1113"/>
    <hyperlink r:id="rId2220" ref="G1113"/>
    <hyperlink r:id="rId2221" ref="F1114"/>
    <hyperlink r:id="rId2222" ref="G1114"/>
    <hyperlink r:id="rId2223" ref="F1115"/>
    <hyperlink r:id="rId2224" ref="G1115"/>
    <hyperlink r:id="rId2225" ref="F1116"/>
    <hyperlink r:id="rId2226" ref="G1116"/>
    <hyperlink r:id="rId2227" ref="F1117"/>
    <hyperlink r:id="rId2228" ref="G1117"/>
    <hyperlink r:id="rId2229" ref="F1118"/>
    <hyperlink r:id="rId2230" ref="G1118"/>
    <hyperlink r:id="rId2231" ref="F1119"/>
    <hyperlink r:id="rId2232" ref="G1119"/>
    <hyperlink r:id="rId2233" ref="F1120"/>
    <hyperlink r:id="rId2234" ref="G1120"/>
    <hyperlink r:id="rId2235" ref="F1121"/>
    <hyperlink r:id="rId2236" ref="G1121"/>
    <hyperlink r:id="rId2237" ref="F1122"/>
    <hyperlink r:id="rId2238" ref="G1122"/>
    <hyperlink r:id="rId2239" ref="F1123"/>
    <hyperlink r:id="rId2240" ref="G1123"/>
    <hyperlink r:id="rId2241" ref="F1124"/>
    <hyperlink r:id="rId2242" ref="G1124"/>
    <hyperlink r:id="rId2243" ref="F1125"/>
    <hyperlink r:id="rId2244" ref="G1125"/>
    <hyperlink r:id="rId2245" ref="F1126"/>
    <hyperlink r:id="rId2246" ref="G1126"/>
    <hyperlink r:id="rId2247" ref="F1127"/>
    <hyperlink r:id="rId2248" ref="G1127"/>
    <hyperlink r:id="rId2249" ref="F1128"/>
    <hyperlink r:id="rId2250" ref="G1128"/>
    <hyperlink r:id="rId2251" ref="F1129"/>
    <hyperlink r:id="rId2252" ref="G1129"/>
    <hyperlink r:id="rId2253" ref="F1130"/>
    <hyperlink r:id="rId2254" ref="G1130"/>
    <hyperlink r:id="rId2255" ref="F1131"/>
    <hyperlink r:id="rId2256" ref="G1131"/>
    <hyperlink r:id="rId2257" ref="F1132"/>
    <hyperlink r:id="rId2258" ref="G1132"/>
    <hyperlink r:id="rId2259" ref="F1133"/>
    <hyperlink r:id="rId2260" ref="G1133"/>
    <hyperlink r:id="rId2261" ref="F1134"/>
    <hyperlink r:id="rId2262" ref="G1134"/>
    <hyperlink r:id="rId2263" ref="F1135"/>
    <hyperlink r:id="rId2264" ref="G1135"/>
    <hyperlink r:id="rId2265" ref="F1136"/>
    <hyperlink r:id="rId2266" ref="G1136"/>
    <hyperlink r:id="rId2267" ref="F1137"/>
    <hyperlink r:id="rId2268" ref="G1137"/>
    <hyperlink r:id="rId2269" ref="F1138"/>
    <hyperlink r:id="rId2270" ref="G1138"/>
    <hyperlink r:id="rId2271" ref="F1139"/>
    <hyperlink r:id="rId2272" ref="G1139"/>
    <hyperlink r:id="rId2273" ref="F1140"/>
    <hyperlink r:id="rId2274" ref="G1140"/>
    <hyperlink r:id="rId2275" ref="F1141"/>
    <hyperlink r:id="rId2276" ref="G1141"/>
    <hyperlink r:id="rId2277" ref="F1142"/>
    <hyperlink r:id="rId2278" ref="G1142"/>
    <hyperlink r:id="rId2279" ref="F1143"/>
    <hyperlink r:id="rId2280" ref="G1143"/>
    <hyperlink r:id="rId2281" ref="F1144"/>
    <hyperlink r:id="rId2282" ref="G1144"/>
    <hyperlink r:id="rId2283" ref="F1145"/>
    <hyperlink r:id="rId2284" ref="G1145"/>
    <hyperlink r:id="rId2285" ref="F1146"/>
    <hyperlink r:id="rId2286" ref="G1146"/>
    <hyperlink r:id="rId2287" ref="F1147"/>
    <hyperlink r:id="rId2288" ref="G1147"/>
    <hyperlink r:id="rId2289" ref="F1148"/>
    <hyperlink r:id="rId2290" ref="G1148"/>
    <hyperlink r:id="rId2291" ref="F1149"/>
    <hyperlink r:id="rId2292" ref="G1149"/>
    <hyperlink r:id="rId2293" ref="F1150"/>
    <hyperlink r:id="rId2294" ref="G1150"/>
    <hyperlink r:id="rId2295" ref="F1151"/>
    <hyperlink r:id="rId2296" ref="G1151"/>
    <hyperlink r:id="rId2297" ref="F1152"/>
    <hyperlink r:id="rId2298" ref="G1152"/>
    <hyperlink r:id="rId2299" ref="F1153"/>
    <hyperlink r:id="rId2300" ref="G1153"/>
    <hyperlink r:id="rId2301" ref="F1154"/>
    <hyperlink r:id="rId2302" ref="G1154"/>
    <hyperlink r:id="rId2303" ref="F1155"/>
    <hyperlink r:id="rId2304" ref="G1155"/>
    <hyperlink r:id="rId2305" ref="F1156"/>
    <hyperlink r:id="rId2306" ref="G1156"/>
    <hyperlink r:id="rId2307" ref="F1157"/>
    <hyperlink r:id="rId2308" ref="G1157"/>
    <hyperlink r:id="rId2309" ref="F1158"/>
    <hyperlink r:id="rId2310" ref="G1158"/>
    <hyperlink r:id="rId2311" ref="F1159"/>
    <hyperlink r:id="rId2312" ref="G1159"/>
    <hyperlink r:id="rId2313" ref="F1160"/>
    <hyperlink r:id="rId2314" ref="G1160"/>
    <hyperlink r:id="rId2315" ref="F1161"/>
    <hyperlink r:id="rId2316" ref="G1161"/>
    <hyperlink r:id="rId2317" ref="F1162"/>
    <hyperlink r:id="rId2318" ref="G1162"/>
    <hyperlink r:id="rId2319" ref="F1163"/>
    <hyperlink r:id="rId2320" ref="G1163"/>
    <hyperlink r:id="rId2321" ref="F1164"/>
    <hyperlink r:id="rId2322" ref="G1164"/>
    <hyperlink r:id="rId2323" ref="F1165"/>
    <hyperlink r:id="rId2324" ref="G1165"/>
    <hyperlink r:id="rId2325" ref="F1166"/>
    <hyperlink r:id="rId2326" ref="G1166"/>
    <hyperlink r:id="rId2327" ref="F1167"/>
    <hyperlink r:id="rId2328" ref="G1167"/>
    <hyperlink r:id="rId2329" ref="F1168"/>
    <hyperlink r:id="rId2330" ref="G1168"/>
    <hyperlink r:id="rId2331" ref="F1169"/>
    <hyperlink r:id="rId2332" ref="G1169"/>
    <hyperlink r:id="rId2333" ref="F1170"/>
    <hyperlink r:id="rId2334" ref="G1170"/>
    <hyperlink r:id="rId2335" ref="F1171"/>
    <hyperlink r:id="rId2336" ref="G1171"/>
    <hyperlink r:id="rId2337" ref="F1172"/>
    <hyperlink r:id="rId2338" ref="G1172"/>
    <hyperlink r:id="rId2339" ref="F1173"/>
    <hyperlink r:id="rId2340" ref="G1173"/>
    <hyperlink r:id="rId2341" ref="F1174"/>
    <hyperlink r:id="rId2342" ref="G1174"/>
    <hyperlink r:id="rId2343" ref="F1175"/>
    <hyperlink r:id="rId2344" ref="G1175"/>
    <hyperlink r:id="rId2345" ref="F1176"/>
    <hyperlink r:id="rId2346" ref="G1176"/>
    <hyperlink r:id="rId2347" ref="F1177"/>
    <hyperlink r:id="rId2348" ref="G1177"/>
    <hyperlink r:id="rId2349" ref="F1178"/>
    <hyperlink r:id="rId2350" ref="G1178"/>
    <hyperlink r:id="rId2351" ref="F1179"/>
    <hyperlink r:id="rId2352" ref="G1179"/>
    <hyperlink r:id="rId2353" ref="F1180"/>
    <hyperlink r:id="rId2354" ref="G1180"/>
    <hyperlink r:id="rId2355" ref="F1181"/>
    <hyperlink r:id="rId2356" ref="G1181"/>
    <hyperlink r:id="rId2357" ref="F1182"/>
    <hyperlink r:id="rId2358" ref="G1182"/>
    <hyperlink r:id="rId2359" ref="F1183"/>
    <hyperlink r:id="rId2360" ref="G1183"/>
    <hyperlink r:id="rId2361" ref="F1184"/>
    <hyperlink r:id="rId2362" ref="G1184"/>
    <hyperlink r:id="rId2363" ref="F1185"/>
    <hyperlink r:id="rId2364" ref="G1185"/>
    <hyperlink r:id="rId2365" ref="F1186"/>
    <hyperlink r:id="rId2366" ref="G1186"/>
    <hyperlink r:id="rId2367" ref="F1187"/>
    <hyperlink r:id="rId2368" ref="G1187"/>
    <hyperlink r:id="rId2369" ref="F1188"/>
    <hyperlink r:id="rId2370" ref="G1188"/>
    <hyperlink r:id="rId2371" ref="F1189"/>
    <hyperlink r:id="rId2372" ref="G1189"/>
    <hyperlink r:id="rId2373" ref="F1190"/>
    <hyperlink r:id="rId2374" ref="G1190"/>
    <hyperlink r:id="rId2375" ref="F1191"/>
    <hyperlink r:id="rId2376" ref="G1191"/>
    <hyperlink r:id="rId2377" ref="F1192"/>
    <hyperlink r:id="rId2378" ref="G1192"/>
    <hyperlink r:id="rId2379" ref="F1193"/>
    <hyperlink r:id="rId2380" ref="G1193"/>
    <hyperlink r:id="rId2381" ref="F1194"/>
    <hyperlink r:id="rId2382" ref="G1194"/>
    <hyperlink r:id="rId2383" ref="F1195"/>
    <hyperlink r:id="rId2384" ref="G1195"/>
    <hyperlink r:id="rId2385" ref="F1196"/>
    <hyperlink r:id="rId2386" ref="G1196"/>
    <hyperlink r:id="rId2387" ref="F1197"/>
    <hyperlink r:id="rId2388" ref="G1197"/>
    <hyperlink r:id="rId2389" ref="F1198"/>
    <hyperlink r:id="rId2390" ref="G1198"/>
    <hyperlink r:id="rId2391" ref="F1199"/>
    <hyperlink r:id="rId2392" ref="G1199"/>
    <hyperlink r:id="rId2393" ref="F1200"/>
    <hyperlink r:id="rId2394" ref="G1200"/>
    <hyperlink r:id="rId2395" ref="F1201"/>
    <hyperlink r:id="rId2396" ref="G1201"/>
    <hyperlink r:id="rId2397" ref="F1202"/>
    <hyperlink r:id="rId2398" ref="G1202"/>
    <hyperlink r:id="rId2399" ref="F1203"/>
    <hyperlink r:id="rId2400" ref="G1203"/>
    <hyperlink r:id="rId2401" ref="F1204"/>
    <hyperlink r:id="rId2402" ref="G1204"/>
    <hyperlink r:id="rId2403" ref="F1205"/>
    <hyperlink r:id="rId2404" ref="G1205"/>
    <hyperlink r:id="rId2405" ref="F1206"/>
    <hyperlink r:id="rId2406" ref="G1206"/>
    <hyperlink r:id="rId2407" ref="F1207"/>
    <hyperlink r:id="rId2408" ref="G1207"/>
    <hyperlink r:id="rId2409" ref="F1208"/>
    <hyperlink r:id="rId2410" ref="G1208"/>
    <hyperlink r:id="rId2411" ref="F1209"/>
    <hyperlink r:id="rId2412" ref="G1209"/>
    <hyperlink r:id="rId2413" ref="F1210"/>
    <hyperlink r:id="rId2414" ref="G1210"/>
    <hyperlink r:id="rId2415" ref="F1211"/>
    <hyperlink r:id="rId2416" ref="G1211"/>
    <hyperlink r:id="rId2417" ref="F1212"/>
    <hyperlink r:id="rId2418" ref="G1212"/>
    <hyperlink r:id="rId2419" ref="F1213"/>
    <hyperlink r:id="rId2420" ref="G1213"/>
    <hyperlink r:id="rId2421" ref="F1214"/>
    <hyperlink r:id="rId2422" ref="G1214"/>
    <hyperlink r:id="rId2423" ref="F1215"/>
    <hyperlink r:id="rId2424" ref="G1215"/>
    <hyperlink r:id="rId2425" ref="F1216"/>
    <hyperlink r:id="rId2426" ref="G1216"/>
    <hyperlink r:id="rId2427" ref="F1217"/>
    <hyperlink r:id="rId2428" ref="G1217"/>
    <hyperlink r:id="rId2429" ref="F1218"/>
    <hyperlink r:id="rId2430" ref="G1218"/>
    <hyperlink r:id="rId2431" ref="F1219"/>
    <hyperlink r:id="rId2432" ref="G1219"/>
    <hyperlink r:id="rId2433" ref="F1220"/>
    <hyperlink r:id="rId2434" ref="G1220"/>
    <hyperlink r:id="rId2435" ref="F1221"/>
    <hyperlink r:id="rId2436" ref="G1221"/>
    <hyperlink r:id="rId2437" ref="F1222"/>
    <hyperlink r:id="rId2438" ref="G1222"/>
    <hyperlink r:id="rId2439" ref="F1223"/>
    <hyperlink r:id="rId2440" ref="G1223"/>
    <hyperlink r:id="rId2441" ref="F1224"/>
    <hyperlink r:id="rId2442" ref="G1224"/>
    <hyperlink r:id="rId2443" ref="F1225"/>
    <hyperlink r:id="rId2444" ref="G1225"/>
    <hyperlink r:id="rId2445" ref="F1226"/>
    <hyperlink r:id="rId2446" ref="G1226"/>
    <hyperlink r:id="rId2447" ref="F1227"/>
    <hyperlink r:id="rId2448" ref="G1227"/>
    <hyperlink r:id="rId2449" ref="F1228"/>
    <hyperlink r:id="rId2450" ref="G1228"/>
    <hyperlink r:id="rId2451" ref="F1229"/>
    <hyperlink r:id="rId2452" ref="G1229"/>
    <hyperlink r:id="rId2453" ref="F1230"/>
    <hyperlink r:id="rId2454" ref="G1230"/>
    <hyperlink r:id="rId2455" ref="F1231"/>
    <hyperlink r:id="rId2456" ref="G1231"/>
    <hyperlink r:id="rId2457" ref="F1232"/>
    <hyperlink r:id="rId2458" ref="G1232"/>
    <hyperlink r:id="rId2459" ref="F1233"/>
    <hyperlink r:id="rId2460" ref="G1233"/>
    <hyperlink r:id="rId2461" ref="F1234"/>
    <hyperlink r:id="rId2462" ref="G1234"/>
    <hyperlink r:id="rId2463" ref="F1235"/>
    <hyperlink r:id="rId2464" ref="G1235"/>
    <hyperlink r:id="rId2465" ref="F1236"/>
    <hyperlink r:id="rId2466" ref="G1236"/>
    <hyperlink r:id="rId2467" ref="F1237"/>
    <hyperlink r:id="rId2468" ref="G1237"/>
    <hyperlink r:id="rId2469" ref="F1238"/>
    <hyperlink r:id="rId2470" ref="G1238"/>
    <hyperlink r:id="rId2471" ref="F1239"/>
    <hyperlink r:id="rId2472" ref="G1239"/>
    <hyperlink r:id="rId2473" ref="F1240"/>
    <hyperlink r:id="rId2474" ref="G1240"/>
    <hyperlink r:id="rId2475" ref="F1241"/>
    <hyperlink r:id="rId2476" ref="G1241"/>
    <hyperlink r:id="rId2477" ref="F1242"/>
    <hyperlink r:id="rId2478" ref="G1242"/>
    <hyperlink r:id="rId2479" ref="F1243"/>
    <hyperlink r:id="rId2480" ref="G1243"/>
    <hyperlink r:id="rId2481" ref="F1244"/>
    <hyperlink r:id="rId2482" ref="G1244"/>
    <hyperlink r:id="rId2483" ref="F1245"/>
    <hyperlink r:id="rId2484" ref="G1245"/>
    <hyperlink r:id="rId2485" ref="F1246"/>
    <hyperlink r:id="rId2486" ref="G1246"/>
    <hyperlink r:id="rId2487" ref="F1247"/>
    <hyperlink r:id="rId2488" ref="G1247"/>
    <hyperlink r:id="rId2489" ref="F1248"/>
    <hyperlink r:id="rId2490" ref="G1248"/>
    <hyperlink r:id="rId2491" ref="F1249"/>
    <hyperlink r:id="rId2492" ref="G1249"/>
    <hyperlink r:id="rId2493" ref="F1250"/>
    <hyperlink r:id="rId2494" ref="G1250"/>
    <hyperlink r:id="rId2495" ref="F1251"/>
    <hyperlink r:id="rId2496" ref="G1251"/>
    <hyperlink r:id="rId2497" ref="F1252"/>
    <hyperlink r:id="rId2498" ref="G1252"/>
    <hyperlink r:id="rId2499" ref="F1253"/>
    <hyperlink r:id="rId2500" ref="G1253"/>
    <hyperlink r:id="rId2501" ref="F1254"/>
    <hyperlink r:id="rId2502" ref="G1254"/>
    <hyperlink r:id="rId2503" ref="F1255"/>
    <hyperlink r:id="rId2504" ref="G1255"/>
    <hyperlink r:id="rId2505" ref="F1256"/>
    <hyperlink r:id="rId2506" ref="G1256"/>
    <hyperlink r:id="rId2507" ref="F1257"/>
    <hyperlink r:id="rId2508" ref="G1257"/>
    <hyperlink r:id="rId2509" ref="F1258"/>
    <hyperlink r:id="rId2510" ref="G1258"/>
    <hyperlink r:id="rId2511" ref="F1259"/>
    <hyperlink r:id="rId2512" ref="G1259"/>
    <hyperlink r:id="rId2513" ref="F1260"/>
    <hyperlink r:id="rId2514" ref="G1260"/>
    <hyperlink r:id="rId2515" ref="F1261"/>
    <hyperlink r:id="rId2516" ref="G1261"/>
    <hyperlink r:id="rId2517" ref="F1262"/>
    <hyperlink r:id="rId2518" ref="G1262"/>
    <hyperlink r:id="rId2519" ref="F1263"/>
    <hyperlink r:id="rId2520" ref="G1263"/>
    <hyperlink r:id="rId2521" ref="F1264"/>
    <hyperlink r:id="rId2522" ref="G1264"/>
    <hyperlink r:id="rId2523" ref="F1265"/>
    <hyperlink r:id="rId2524" ref="G1265"/>
    <hyperlink r:id="rId2525" ref="F1266"/>
    <hyperlink r:id="rId2526" ref="G1266"/>
    <hyperlink r:id="rId2527" ref="F1267"/>
    <hyperlink r:id="rId2528" ref="G1267"/>
    <hyperlink r:id="rId2529" ref="F1268"/>
    <hyperlink r:id="rId2530" ref="G1268"/>
    <hyperlink r:id="rId2531" ref="F1269"/>
    <hyperlink r:id="rId2532" ref="G1269"/>
    <hyperlink r:id="rId2533" ref="F1270"/>
    <hyperlink r:id="rId2534" ref="G1270"/>
    <hyperlink r:id="rId2535" ref="F1271"/>
    <hyperlink r:id="rId2536" ref="G1271"/>
    <hyperlink r:id="rId2537" ref="F1272"/>
    <hyperlink r:id="rId2538" ref="G1272"/>
    <hyperlink r:id="rId2539" ref="F1273"/>
    <hyperlink r:id="rId2540" ref="G1273"/>
    <hyperlink r:id="rId2541" ref="F1274"/>
    <hyperlink r:id="rId2542" ref="G1274"/>
    <hyperlink r:id="rId2543" ref="F1275"/>
    <hyperlink r:id="rId2544" ref="G1275"/>
    <hyperlink r:id="rId2545" ref="F1276"/>
    <hyperlink r:id="rId2546" ref="G1276"/>
    <hyperlink r:id="rId2547" ref="F1277"/>
    <hyperlink r:id="rId2548" ref="G1277"/>
    <hyperlink r:id="rId2549" ref="F1278"/>
    <hyperlink r:id="rId2550" ref="G1278"/>
    <hyperlink r:id="rId2551" ref="F1279"/>
    <hyperlink r:id="rId2552" ref="G1279"/>
    <hyperlink r:id="rId2553" ref="F1280"/>
    <hyperlink r:id="rId2554" ref="G1280"/>
    <hyperlink r:id="rId2555" ref="F1281"/>
    <hyperlink r:id="rId2556" ref="G1281"/>
    <hyperlink r:id="rId2557" ref="F1282"/>
    <hyperlink r:id="rId2558" ref="G1282"/>
    <hyperlink r:id="rId2559" ref="F1283"/>
    <hyperlink r:id="rId2560" ref="G1283"/>
    <hyperlink r:id="rId2561" ref="F1284"/>
    <hyperlink r:id="rId2562" ref="G1284"/>
    <hyperlink r:id="rId2563" ref="F1285"/>
    <hyperlink r:id="rId2564" ref="G1285"/>
    <hyperlink r:id="rId2565" ref="F1286"/>
    <hyperlink r:id="rId2566" ref="G1286"/>
    <hyperlink r:id="rId2567" ref="F1287"/>
    <hyperlink r:id="rId2568" ref="G1287"/>
    <hyperlink r:id="rId2569" ref="F1288"/>
    <hyperlink r:id="rId2570" ref="G1288"/>
    <hyperlink r:id="rId2571" ref="F1289"/>
    <hyperlink r:id="rId2572" ref="G1289"/>
    <hyperlink r:id="rId2573" ref="F1290"/>
    <hyperlink r:id="rId2574" ref="G1290"/>
    <hyperlink r:id="rId2575" ref="F1291"/>
    <hyperlink r:id="rId2576" ref="G1291"/>
    <hyperlink r:id="rId2577" ref="F1292"/>
    <hyperlink r:id="rId2578" ref="G1292"/>
    <hyperlink r:id="rId2579" ref="F1293"/>
    <hyperlink r:id="rId2580" ref="G1293"/>
    <hyperlink r:id="rId2581" ref="F1294"/>
    <hyperlink r:id="rId2582" ref="G1294"/>
    <hyperlink r:id="rId2583" ref="F1295"/>
    <hyperlink r:id="rId2584" ref="G1295"/>
    <hyperlink r:id="rId2585" ref="F1296"/>
    <hyperlink r:id="rId2586" ref="G1296"/>
    <hyperlink r:id="rId2587" ref="F1297"/>
    <hyperlink r:id="rId2588" ref="G1297"/>
    <hyperlink r:id="rId2589" ref="F1298"/>
    <hyperlink r:id="rId2590" ref="G1298"/>
    <hyperlink r:id="rId2591" ref="F1299"/>
    <hyperlink r:id="rId2592" ref="G1299"/>
    <hyperlink r:id="rId2593" ref="F1300"/>
    <hyperlink r:id="rId2594" ref="G1300"/>
    <hyperlink r:id="rId2595" ref="F1301"/>
    <hyperlink r:id="rId2596" ref="G1301"/>
    <hyperlink r:id="rId2597" ref="F1302"/>
    <hyperlink r:id="rId2598" ref="G1302"/>
    <hyperlink r:id="rId2599" ref="F1303"/>
    <hyperlink r:id="rId2600" ref="G1303"/>
    <hyperlink r:id="rId2601" ref="F1304"/>
    <hyperlink r:id="rId2602" ref="G1304"/>
    <hyperlink r:id="rId2603" ref="F1305"/>
    <hyperlink r:id="rId2604" ref="G1305"/>
    <hyperlink r:id="rId2605" ref="F1306"/>
    <hyperlink r:id="rId2606" ref="G1306"/>
    <hyperlink r:id="rId2607" ref="F1307"/>
    <hyperlink r:id="rId2608" ref="G1307"/>
    <hyperlink r:id="rId2609" ref="F1308"/>
    <hyperlink r:id="rId2610" ref="G1308"/>
    <hyperlink r:id="rId2611" ref="F1309"/>
    <hyperlink r:id="rId2612" ref="G1309"/>
    <hyperlink r:id="rId2613" ref="F1310"/>
    <hyperlink r:id="rId2614" ref="G1310"/>
    <hyperlink r:id="rId2615" ref="F1311"/>
    <hyperlink r:id="rId2616" ref="G1311"/>
    <hyperlink r:id="rId2617" ref="F1312"/>
    <hyperlink r:id="rId2618" ref="G1312"/>
    <hyperlink r:id="rId2619" ref="F1313"/>
    <hyperlink r:id="rId2620" ref="G1313"/>
    <hyperlink r:id="rId2621" ref="F1314"/>
    <hyperlink r:id="rId2622" ref="G1314"/>
    <hyperlink r:id="rId2623" ref="F1315"/>
    <hyperlink r:id="rId2624" ref="G1315"/>
    <hyperlink r:id="rId2625" ref="F1316"/>
    <hyperlink r:id="rId2626" ref="G1316"/>
    <hyperlink r:id="rId2627" ref="F1317"/>
    <hyperlink r:id="rId2628" ref="G1317"/>
    <hyperlink r:id="rId2629" ref="F1318"/>
    <hyperlink r:id="rId2630" ref="G1318"/>
    <hyperlink r:id="rId2631" ref="F1319"/>
    <hyperlink r:id="rId2632" ref="G1319"/>
    <hyperlink r:id="rId2633" ref="F1320"/>
    <hyperlink r:id="rId2634" ref="G1320"/>
    <hyperlink r:id="rId2635" ref="F1321"/>
    <hyperlink r:id="rId2636" ref="G1321"/>
    <hyperlink r:id="rId2637" ref="F1322"/>
    <hyperlink r:id="rId2638" ref="G1322"/>
    <hyperlink r:id="rId2639" ref="F1323"/>
    <hyperlink r:id="rId2640" ref="G1323"/>
    <hyperlink r:id="rId2641" ref="F1324"/>
    <hyperlink r:id="rId2642" ref="G1324"/>
    <hyperlink r:id="rId2643" ref="F1325"/>
    <hyperlink r:id="rId2644" ref="G1325"/>
    <hyperlink r:id="rId2645" ref="F1326"/>
    <hyperlink r:id="rId2646" ref="G1326"/>
    <hyperlink r:id="rId2647" ref="F1327"/>
    <hyperlink r:id="rId2648" ref="G1327"/>
    <hyperlink r:id="rId2649" ref="F1328"/>
    <hyperlink r:id="rId2650" ref="G1328"/>
    <hyperlink r:id="rId2651" ref="F1329"/>
    <hyperlink r:id="rId2652" ref="G1329"/>
    <hyperlink r:id="rId2653" ref="F1330"/>
    <hyperlink r:id="rId2654" ref="G1330"/>
    <hyperlink r:id="rId2655" ref="F1331"/>
    <hyperlink r:id="rId2656" ref="G1331"/>
    <hyperlink r:id="rId2657" ref="F1332"/>
    <hyperlink r:id="rId2658" ref="G1332"/>
    <hyperlink r:id="rId2659" ref="F1333"/>
    <hyperlink r:id="rId2660" ref="G1333"/>
    <hyperlink r:id="rId2661" ref="F1334"/>
    <hyperlink r:id="rId2662" ref="G1334"/>
    <hyperlink r:id="rId2663" ref="F1335"/>
    <hyperlink r:id="rId2664" ref="G1335"/>
    <hyperlink r:id="rId2665" ref="F1336"/>
    <hyperlink r:id="rId2666" ref="G1336"/>
    <hyperlink r:id="rId2667" ref="F1337"/>
    <hyperlink r:id="rId2668" ref="G1337"/>
    <hyperlink r:id="rId2669" ref="F1338"/>
    <hyperlink r:id="rId2670" ref="G1338"/>
    <hyperlink r:id="rId2671" ref="F1339"/>
    <hyperlink r:id="rId2672" ref="G1339"/>
    <hyperlink r:id="rId2673" ref="F1340"/>
    <hyperlink r:id="rId2674" ref="G1340"/>
    <hyperlink r:id="rId2675" ref="F1341"/>
    <hyperlink r:id="rId2676" ref="G1341"/>
    <hyperlink r:id="rId2677" ref="F1342"/>
    <hyperlink r:id="rId2678" ref="G1342"/>
    <hyperlink r:id="rId2679" ref="F1343"/>
    <hyperlink r:id="rId2680" ref="G1343"/>
    <hyperlink r:id="rId2681" ref="F1344"/>
    <hyperlink r:id="rId2682" ref="G1344"/>
    <hyperlink r:id="rId2683" ref="F1345"/>
    <hyperlink r:id="rId2684" ref="G1345"/>
    <hyperlink r:id="rId2685" ref="F1346"/>
    <hyperlink r:id="rId2686" ref="G1346"/>
    <hyperlink r:id="rId2687" ref="F1347"/>
    <hyperlink r:id="rId2688" ref="G1347"/>
    <hyperlink r:id="rId2689" ref="F1348"/>
    <hyperlink r:id="rId2690" ref="G1348"/>
    <hyperlink r:id="rId2691" ref="F1349"/>
    <hyperlink r:id="rId2692" ref="G1349"/>
    <hyperlink r:id="rId2693" ref="F1350"/>
    <hyperlink r:id="rId2694" ref="G1350"/>
    <hyperlink r:id="rId2695" ref="F1351"/>
    <hyperlink r:id="rId2696" ref="G1351"/>
    <hyperlink r:id="rId2697" ref="F1352"/>
    <hyperlink r:id="rId2698" ref="G1352"/>
    <hyperlink r:id="rId2699" ref="F1353"/>
    <hyperlink r:id="rId2700" ref="G1353"/>
  </hyperlinks>
  <drawing r:id="rId2701"/>
  <tableParts count="1">
    <tablePart r:id="rId270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1.63"/>
    <col customWidth="1" min="2" max="2" width="26.88"/>
    <col customWidth="1" min="3" max="5" width="24.75"/>
    <col customWidth="1" min="6" max="6" width="21.5"/>
  </cols>
  <sheetData>
    <row r="1">
      <c r="B1" s="74"/>
      <c r="C1" s="74"/>
      <c r="D1" s="74"/>
      <c r="E1" s="74"/>
    </row>
    <row r="2">
      <c r="B2" s="74"/>
      <c r="C2" s="74"/>
      <c r="D2" s="74"/>
      <c r="E2" s="74"/>
    </row>
    <row r="5">
      <c r="A5" s="75" t="s">
        <v>8390</v>
      </c>
    </row>
    <row r="7">
      <c r="B7" s="74"/>
      <c r="C7" s="74"/>
      <c r="D7" s="74"/>
      <c r="E7" s="74"/>
    </row>
    <row r="8">
      <c r="B8" s="74"/>
      <c r="C8" s="74"/>
      <c r="D8" s="74"/>
      <c r="E8" s="74"/>
    </row>
    <row r="9">
      <c r="B9" s="74"/>
      <c r="C9" s="74"/>
      <c r="D9" s="74"/>
      <c r="E9" s="74"/>
    </row>
    <row r="10">
      <c r="B10" s="76" t="s">
        <v>8388</v>
      </c>
      <c r="C10" s="76" t="s">
        <v>1</v>
      </c>
      <c r="D10" s="76" t="s">
        <v>2</v>
      </c>
      <c r="E10" s="76" t="s">
        <v>3</v>
      </c>
      <c r="F10" s="76" t="s">
        <v>4</v>
      </c>
    </row>
    <row r="11">
      <c r="B11" s="77">
        <f t="array" ref="B11">SUBTOTAL(103,INDIRECT("'Arbolado en Rivera'!A3:A"))</f>
        <v>4186</v>
      </c>
      <c r="C11" s="78">
        <f>COUNTIF('Arbolado en Rivera'!C4:C1000, 1)</f>
        <v>1350</v>
      </c>
      <c r="D11" s="78">
        <f>COUNTIF('Arbolado en Rivera'!C4:C1000, 2)</f>
        <v>773</v>
      </c>
      <c r="E11" s="78">
        <f>COUNTIF('Arbolado en Rivera'!C4:C1000, 3)</f>
        <v>1131</v>
      </c>
      <c r="F11" s="78">
        <f>COUNTIF('Arbolado en Rivera'!C4:C1000, 4)</f>
        <v>931</v>
      </c>
    </row>
    <row r="12">
      <c r="B12" s="79"/>
    </row>
    <row r="13">
      <c r="B13" s="74"/>
      <c r="C13" s="74"/>
      <c r="D13" s="74"/>
      <c r="E13" s="74"/>
    </row>
    <row r="14">
      <c r="B14" s="74" t="str">
        <f>IFERROR(__xludf.DUMMYFUNCTION("FILTER('Arbolado en Rivera'!C4:C1000, 'Arbolado en Rivera'!C4:C1000 = B1)"),"")</f>
        <v/>
      </c>
      <c r="C14" s="74"/>
      <c r="D14" s="74"/>
      <c r="E14" s="74"/>
    </row>
    <row r="15">
      <c r="B15" s="74"/>
      <c r="C15" s="74"/>
      <c r="D15" s="74"/>
      <c r="E15" s="74"/>
    </row>
    <row r="16">
      <c r="B16" s="74"/>
      <c r="C16" s="74"/>
      <c r="D16" s="74"/>
      <c r="E16" s="74"/>
    </row>
    <row r="17">
      <c r="B17" s="74"/>
      <c r="C17" s="74"/>
      <c r="D17" s="74"/>
      <c r="E17" s="74"/>
    </row>
    <row r="18">
      <c r="B18" s="74"/>
      <c r="C18" s="74"/>
      <c r="D18" s="74"/>
      <c r="E18" s="74"/>
    </row>
    <row r="19">
      <c r="B19" s="74"/>
      <c r="C19" s="74"/>
      <c r="D19" s="74"/>
      <c r="E19" s="74"/>
    </row>
    <row r="20">
      <c r="B20" s="74"/>
      <c r="C20" s="74"/>
      <c r="D20" s="74"/>
      <c r="E20" s="74"/>
    </row>
    <row r="21">
      <c r="B21" s="74"/>
      <c r="C21" s="74"/>
      <c r="D21" s="74"/>
      <c r="E21" s="74"/>
    </row>
    <row r="22">
      <c r="B22" s="74"/>
      <c r="C22" s="74"/>
      <c r="D22" s="74"/>
      <c r="E22" s="74"/>
    </row>
    <row r="23">
      <c r="B23" s="74"/>
      <c r="C23" s="74"/>
      <c r="D23" s="74"/>
      <c r="E23" s="74"/>
    </row>
    <row r="24">
      <c r="B24" s="74"/>
      <c r="C24" s="74"/>
      <c r="D24" s="74"/>
      <c r="E24" s="74"/>
    </row>
    <row r="25">
      <c r="B25" s="74"/>
      <c r="C25" s="74"/>
      <c r="D25" s="74"/>
      <c r="E25" s="74"/>
    </row>
    <row r="26">
      <c r="B26" s="74"/>
      <c r="C26" s="74"/>
      <c r="D26" s="74"/>
      <c r="E26" s="74"/>
    </row>
    <row r="27">
      <c r="B27" s="74"/>
      <c r="C27" s="74"/>
      <c r="D27" s="74"/>
      <c r="E27" s="74"/>
    </row>
    <row r="28">
      <c r="B28" s="74"/>
      <c r="C28" s="74"/>
      <c r="D28" s="74"/>
      <c r="E28" s="74"/>
    </row>
    <row r="29">
      <c r="B29" s="74"/>
      <c r="C29" s="74"/>
      <c r="D29" s="74"/>
      <c r="E29" s="74"/>
    </row>
    <row r="30">
      <c r="B30" s="74"/>
      <c r="C30" s="74"/>
      <c r="D30" s="74"/>
      <c r="E30" s="74"/>
    </row>
    <row r="31">
      <c r="B31" s="74"/>
      <c r="C31" s="74"/>
      <c r="D31" s="74"/>
      <c r="E31" s="74"/>
    </row>
    <row r="32">
      <c r="B32" s="74"/>
      <c r="C32" s="74"/>
      <c r="D32" s="74"/>
      <c r="E32" s="74"/>
    </row>
    <row r="33">
      <c r="B33" s="74"/>
      <c r="C33" s="74"/>
      <c r="D33" s="74"/>
      <c r="E33" s="74"/>
    </row>
    <row r="34">
      <c r="B34" s="74"/>
      <c r="C34" s="74"/>
      <c r="D34" s="74"/>
      <c r="E34" s="74"/>
    </row>
    <row r="35">
      <c r="B35" s="74"/>
      <c r="C35" s="74"/>
      <c r="D35" s="74"/>
      <c r="E35" s="74"/>
    </row>
    <row r="36">
      <c r="B36" s="74"/>
      <c r="C36" s="74"/>
      <c r="D36" s="74"/>
      <c r="E36" s="74"/>
    </row>
    <row r="37">
      <c r="B37" s="74"/>
      <c r="C37" s="74"/>
      <c r="D37" s="74"/>
      <c r="E37" s="74"/>
    </row>
    <row r="38">
      <c r="B38" s="74"/>
      <c r="C38" s="74"/>
      <c r="D38" s="74"/>
      <c r="E38" s="74"/>
    </row>
    <row r="39">
      <c r="B39" s="74"/>
      <c r="C39" s="74"/>
      <c r="D39" s="74"/>
      <c r="E39" s="74"/>
    </row>
    <row r="40">
      <c r="B40" s="74"/>
      <c r="C40" s="74"/>
      <c r="D40" s="74"/>
      <c r="E40" s="74"/>
    </row>
    <row r="41">
      <c r="B41" s="74"/>
      <c r="C41" s="74"/>
      <c r="D41" s="74"/>
      <c r="E41" s="74"/>
    </row>
    <row r="42">
      <c r="B42" s="74"/>
      <c r="C42" s="74"/>
      <c r="D42" s="74"/>
      <c r="E42" s="74"/>
    </row>
    <row r="43">
      <c r="B43" s="74"/>
      <c r="C43" s="74"/>
      <c r="D43" s="74"/>
      <c r="E43" s="74"/>
    </row>
    <row r="44">
      <c r="B44" s="74"/>
      <c r="C44" s="74"/>
      <c r="D44" s="74"/>
      <c r="E44" s="74"/>
    </row>
    <row r="45">
      <c r="B45" s="74"/>
      <c r="C45" s="74"/>
      <c r="D45" s="74"/>
      <c r="E45" s="74"/>
    </row>
    <row r="46">
      <c r="B46" s="74"/>
      <c r="C46" s="74"/>
      <c r="D46" s="74"/>
      <c r="E46" s="74"/>
    </row>
    <row r="47">
      <c r="B47" s="74"/>
      <c r="C47" s="74"/>
      <c r="D47" s="74"/>
      <c r="E47" s="74"/>
    </row>
    <row r="48">
      <c r="B48" s="74"/>
      <c r="C48" s="74"/>
      <c r="D48" s="74"/>
      <c r="E48" s="74"/>
    </row>
    <row r="49">
      <c r="B49" s="74"/>
      <c r="C49" s="74"/>
      <c r="D49" s="74"/>
      <c r="E49" s="74"/>
    </row>
    <row r="50">
      <c r="B50" s="74"/>
      <c r="C50" s="74"/>
      <c r="D50" s="74"/>
      <c r="E50" s="74"/>
    </row>
    <row r="51">
      <c r="B51" s="74"/>
      <c r="C51" s="74"/>
      <c r="D51" s="74"/>
      <c r="E51" s="74"/>
    </row>
    <row r="52">
      <c r="B52" s="74"/>
      <c r="C52" s="74"/>
      <c r="D52" s="74"/>
      <c r="E52" s="74"/>
    </row>
    <row r="53">
      <c r="B53" s="74"/>
      <c r="C53" s="74"/>
      <c r="D53" s="74"/>
      <c r="E53" s="74"/>
    </row>
    <row r="54">
      <c r="B54" s="74"/>
      <c r="C54" s="74"/>
      <c r="D54" s="74"/>
      <c r="E54" s="74"/>
    </row>
    <row r="55">
      <c r="B55" s="74"/>
      <c r="C55" s="74"/>
      <c r="D55" s="74"/>
      <c r="E55" s="74"/>
    </row>
    <row r="56">
      <c r="B56" s="74"/>
      <c r="C56" s="74"/>
      <c r="D56" s="74"/>
      <c r="E56" s="74"/>
    </row>
    <row r="57">
      <c r="B57" s="74"/>
      <c r="C57" s="74"/>
      <c r="D57" s="74"/>
      <c r="E57" s="74"/>
    </row>
    <row r="58">
      <c r="B58" s="74"/>
      <c r="C58" s="74"/>
      <c r="D58" s="74"/>
      <c r="E58" s="74"/>
    </row>
    <row r="59">
      <c r="B59" s="74"/>
      <c r="C59" s="74"/>
      <c r="D59" s="74"/>
      <c r="E59" s="74"/>
    </row>
    <row r="60">
      <c r="B60" s="74"/>
      <c r="C60" s="74"/>
      <c r="D60" s="74"/>
      <c r="E60" s="74"/>
    </row>
    <row r="61">
      <c r="B61" s="74"/>
      <c r="C61" s="74"/>
      <c r="D61" s="74"/>
      <c r="E61" s="74"/>
    </row>
    <row r="62">
      <c r="B62" s="74"/>
      <c r="C62" s="74"/>
      <c r="D62" s="74"/>
      <c r="E62" s="74"/>
    </row>
    <row r="63">
      <c r="B63" s="74"/>
      <c r="C63" s="74"/>
      <c r="D63" s="74"/>
      <c r="E63" s="74"/>
    </row>
    <row r="64">
      <c r="B64" s="74"/>
      <c r="C64" s="74"/>
      <c r="D64" s="74"/>
      <c r="E64" s="74"/>
    </row>
    <row r="65">
      <c r="B65" s="74"/>
      <c r="C65" s="74"/>
      <c r="D65" s="74"/>
      <c r="E65" s="74"/>
    </row>
    <row r="66">
      <c r="B66" s="74"/>
      <c r="C66" s="74"/>
      <c r="D66" s="74"/>
      <c r="E66" s="74"/>
    </row>
    <row r="67">
      <c r="B67" s="74"/>
      <c r="C67" s="74"/>
      <c r="D67" s="74"/>
      <c r="E67" s="74"/>
    </row>
    <row r="68">
      <c r="B68" s="74"/>
      <c r="C68" s="74"/>
      <c r="D68" s="74"/>
      <c r="E68" s="74"/>
    </row>
    <row r="69">
      <c r="B69" s="74"/>
      <c r="C69" s="74"/>
      <c r="D69" s="74"/>
      <c r="E69" s="74"/>
    </row>
    <row r="70">
      <c r="B70" s="74"/>
      <c r="C70" s="74"/>
      <c r="D70" s="74"/>
      <c r="E70" s="74"/>
    </row>
    <row r="71">
      <c r="B71" s="74"/>
      <c r="C71" s="74"/>
      <c r="D71" s="74"/>
      <c r="E71" s="74"/>
    </row>
    <row r="72">
      <c r="B72" s="74"/>
      <c r="C72" s="74"/>
      <c r="D72" s="74"/>
      <c r="E72" s="74"/>
    </row>
    <row r="73">
      <c r="B73" s="74"/>
      <c r="C73" s="74"/>
      <c r="D73" s="74"/>
      <c r="E73" s="74"/>
    </row>
    <row r="74">
      <c r="B74" s="74"/>
      <c r="C74" s="74"/>
      <c r="D74" s="74"/>
      <c r="E74" s="74"/>
    </row>
    <row r="75">
      <c r="B75" s="74"/>
      <c r="C75" s="74"/>
      <c r="D75" s="74"/>
      <c r="E75" s="74"/>
    </row>
    <row r="76">
      <c r="B76" s="74"/>
      <c r="C76" s="74"/>
      <c r="D76" s="74"/>
      <c r="E76" s="74"/>
    </row>
    <row r="77">
      <c r="B77" s="74"/>
      <c r="C77" s="74"/>
      <c r="D77" s="74"/>
      <c r="E77" s="74"/>
    </row>
    <row r="78">
      <c r="B78" s="74"/>
      <c r="C78" s="74"/>
      <c r="D78" s="74"/>
      <c r="E78" s="74"/>
    </row>
    <row r="79">
      <c r="B79" s="74"/>
      <c r="C79" s="74"/>
      <c r="D79" s="74"/>
      <c r="E79" s="74"/>
    </row>
    <row r="80">
      <c r="B80" s="74"/>
      <c r="C80" s="74"/>
      <c r="D80" s="74"/>
      <c r="E80" s="74"/>
    </row>
    <row r="81">
      <c r="B81" s="74"/>
      <c r="C81" s="74"/>
      <c r="D81" s="74"/>
      <c r="E81" s="74"/>
    </row>
    <row r="82">
      <c r="B82" s="74"/>
      <c r="C82" s="74"/>
      <c r="D82" s="74"/>
      <c r="E82" s="74"/>
    </row>
    <row r="83">
      <c r="B83" s="74"/>
      <c r="C83" s="74"/>
      <c r="D83" s="74"/>
      <c r="E83" s="74"/>
    </row>
    <row r="84">
      <c r="B84" s="74"/>
      <c r="C84" s="74"/>
      <c r="D84" s="74"/>
      <c r="E84" s="74"/>
    </row>
    <row r="85">
      <c r="B85" s="74"/>
      <c r="C85" s="74"/>
      <c r="D85" s="74"/>
      <c r="E85" s="74"/>
    </row>
    <row r="86">
      <c r="B86" s="74"/>
      <c r="C86" s="74"/>
      <c r="D86" s="74"/>
      <c r="E86" s="74"/>
    </row>
    <row r="87">
      <c r="B87" s="74"/>
      <c r="C87" s="74"/>
      <c r="D87" s="74"/>
      <c r="E87" s="74"/>
    </row>
    <row r="88">
      <c r="B88" s="74"/>
      <c r="C88" s="74"/>
      <c r="D88" s="74"/>
      <c r="E88" s="74"/>
    </row>
    <row r="89">
      <c r="B89" s="74"/>
      <c r="C89" s="74"/>
      <c r="D89" s="74"/>
      <c r="E89" s="74"/>
    </row>
    <row r="90">
      <c r="B90" s="74"/>
      <c r="C90" s="74"/>
      <c r="D90" s="74"/>
      <c r="E90" s="74"/>
    </row>
    <row r="91">
      <c r="B91" s="74"/>
      <c r="C91" s="74"/>
      <c r="D91" s="74"/>
      <c r="E91" s="74"/>
    </row>
    <row r="92">
      <c r="B92" s="74"/>
      <c r="C92" s="74"/>
      <c r="D92" s="74"/>
      <c r="E92" s="74"/>
    </row>
    <row r="93">
      <c r="B93" s="74"/>
      <c r="C93" s="74"/>
      <c r="D93" s="74"/>
      <c r="E93" s="74"/>
    </row>
    <row r="94">
      <c r="B94" s="74"/>
      <c r="C94" s="74"/>
      <c r="D94" s="74"/>
      <c r="E94" s="74"/>
    </row>
    <row r="95">
      <c r="B95" s="74"/>
      <c r="C95" s="74"/>
      <c r="D95" s="74"/>
      <c r="E95" s="74"/>
    </row>
    <row r="96">
      <c r="B96" s="74"/>
      <c r="C96" s="74"/>
      <c r="D96" s="74"/>
      <c r="E96" s="74"/>
    </row>
    <row r="97">
      <c r="B97" s="74"/>
      <c r="C97" s="74"/>
      <c r="D97" s="74"/>
      <c r="E97" s="74"/>
    </row>
    <row r="98">
      <c r="B98" s="74"/>
      <c r="C98" s="74"/>
      <c r="D98" s="74"/>
      <c r="E98" s="74"/>
    </row>
    <row r="99">
      <c r="B99" s="74"/>
      <c r="C99" s="74"/>
      <c r="D99" s="74"/>
      <c r="E99" s="74"/>
    </row>
    <row r="100">
      <c r="B100" s="74"/>
      <c r="C100" s="74"/>
      <c r="D100" s="74"/>
      <c r="E100" s="74"/>
    </row>
    <row r="101">
      <c r="B101" s="74"/>
      <c r="C101" s="74"/>
      <c r="D101" s="74"/>
      <c r="E101" s="74"/>
    </row>
    <row r="102">
      <c r="B102" s="74"/>
      <c r="C102" s="74"/>
      <c r="D102" s="74"/>
      <c r="E102" s="74"/>
    </row>
    <row r="103">
      <c r="B103" s="74"/>
      <c r="C103" s="74"/>
      <c r="D103" s="74"/>
      <c r="E103" s="74"/>
    </row>
    <row r="104">
      <c r="B104" s="74"/>
      <c r="C104" s="74"/>
      <c r="D104" s="74"/>
      <c r="E104" s="74"/>
    </row>
    <row r="105">
      <c r="B105" s="74"/>
      <c r="C105" s="74"/>
      <c r="D105" s="74"/>
      <c r="E105" s="74"/>
    </row>
    <row r="106">
      <c r="B106" s="74"/>
      <c r="C106" s="74"/>
      <c r="D106" s="74"/>
      <c r="E106" s="74"/>
    </row>
    <row r="107">
      <c r="B107" s="74"/>
      <c r="C107" s="74"/>
      <c r="D107" s="74"/>
      <c r="E107" s="74"/>
    </row>
    <row r="108">
      <c r="B108" s="74"/>
      <c r="C108" s="74"/>
      <c r="D108" s="74"/>
      <c r="E108" s="74"/>
    </row>
    <row r="109">
      <c r="B109" s="74"/>
      <c r="C109" s="74"/>
      <c r="D109" s="74"/>
      <c r="E109" s="74"/>
    </row>
    <row r="110">
      <c r="B110" s="74"/>
      <c r="C110" s="74"/>
      <c r="D110" s="74"/>
      <c r="E110" s="74"/>
    </row>
    <row r="111">
      <c r="B111" s="74"/>
      <c r="C111" s="74"/>
      <c r="D111" s="74"/>
      <c r="E111" s="74"/>
    </row>
    <row r="112">
      <c r="B112" s="74"/>
      <c r="C112" s="74"/>
      <c r="D112" s="74"/>
      <c r="E112" s="74"/>
    </row>
    <row r="113">
      <c r="B113" s="74"/>
      <c r="C113" s="74"/>
      <c r="D113" s="74"/>
      <c r="E113" s="74"/>
    </row>
    <row r="114">
      <c r="B114" s="74"/>
      <c r="C114" s="74"/>
      <c r="D114" s="74"/>
      <c r="E114" s="74"/>
    </row>
    <row r="115">
      <c r="B115" s="74"/>
      <c r="C115" s="74"/>
      <c r="D115" s="74"/>
      <c r="E115" s="74"/>
    </row>
    <row r="116">
      <c r="B116" s="74"/>
      <c r="C116" s="74"/>
      <c r="D116" s="74"/>
      <c r="E116" s="74"/>
    </row>
    <row r="117">
      <c r="B117" s="74"/>
      <c r="C117" s="74"/>
      <c r="D117" s="74"/>
      <c r="E117" s="74"/>
    </row>
    <row r="118">
      <c r="B118" s="74"/>
      <c r="C118" s="74"/>
      <c r="D118" s="74"/>
      <c r="E118" s="74"/>
    </row>
    <row r="119">
      <c r="B119" s="74"/>
      <c r="C119" s="74"/>
      <c r="D119" s="74"/>
      <c r="E119" s="74"/>
    </row>
    <row r="120">
      <c r="B120" s="74"/>
      <c r="C120" s="74"/>
      <c r="D120" s="74"/>
      <c r="E120" s="74"/>
    </row>
    <row r="121">
      <c r="B121" s="74"/>
      <c r="C121" s="74"/>
      <c r="D121" s="74"/>
      <c r="E121" s="74"/>
    </row>
    <row r="122">
      <c r="B122" s="74"/>
      <c r="C122" s="74"/>
      <c r="D122" s="74"/>
      <c r="E122" s="74"/>
    </row>
    <row r="123">
      <c r="B123" s="74"/>
      <c r="C123" s="74"/>
      <c r="D123" s="74"/>
      <c r="E123" s="74"/>
    </row>
    <row r="124">
      <c r="B124" s="74"/>
      <c r="C124" s="74"/>
      <c r="D124" s="74"/>
      <c r="E124" s="74"/>
    </row>
    <row r="125">
      <c r="B125" s="74"/>
      <c r="C125" s="74"/>
      <c r="D125" s="74"/>
      <c r="E125" s="74"/>
    </row>
    <row r="126">
      <c r="B126" s="74"/>
      <c r="C126" s="74"/>
      <c r="D126" s="74"/>
      <c r="E126" s="74"/>
    </row>
    <row r="127">
      <c r="B127" s="74"/>
      <c r="C127" s="74"/>
      <c r="D127" s="74"/>
      <c r="E127" s="74"/>
    </row>
    <row r="128">
      <c r="B128" s="74"/>
      <c r="C128" s="74"/>
      <c r="D128" s="74"/>
      <c r="E128" s="74"/>
    </row>
    <row r="129">
      <c r="B129" s="74"/>
      <c r="C129" s="74"/>
      <c r="D129" s="74"/>
      <c r="E129" s="74"/>
    </row>
    <row r="130">
      <c r="B130" s="74"/>
      <c r="C130" s="74"/>
      <c r="D130" s="74"/>
      <c r="E130" s="74"/>
    </row>
    <row r="131">
      <c r="B131" s="74"/>
      <c r="C131" s="74"/>
      <c r="D131" s="74"/>
      <c r="E131" s="74"/>
    </row>
    <row r="132">
      <c r="B132" s="74"/>
      <c r="C132" s="74"/>
      <c r="D132" s="74"/>
      <c r="E132" s="74"/>
    </row>
    <row r="133">
      <c r="B133" s="74"/>
      <c r="C133" s="74"/>
      <c r="D133" s="74"/>
      <c r="E133" s="74"/>
    </row>
    <row r="134">
      <c r="B134" s="74"/>
      <c r="C134" s="74"/>
      <c r="D134" s="74"/>
      <c r="E134" s="74"/>
    </row>
    <row r="135">
      <c r="B135" s="74"/>
      <c r="C135" s="74"/>
      <c r="D135" s="74"/>
      <c r="E135" s="74"/>
    </row>
    <row r="136">
      <c r="B136" s="74"/>
      <c r="C136" s="74"/>
      <c r="D136" s="74"/>
      <c r="E136" s="74"/>
    </row>
    <row r="137">
      <c r="B137" s="74"/>
      <c r="C137" s="74"/>
      <c r="D137" s="74"/>
      <c r="E137" s="74"/>
    </row>
    <row r="138">
      <c r="B138" s="74"/>
      <c r="C138" s="74"/>
      <c r="D138" s="74"/>
      <c r="E138" s="74"/>
    </row>
    <row r="139">
      <c r="B139" s="74"/>
      <c r="C139" s="74"/>
      <c r="D139" s="74"/>
      <c r="E139" s="74"/>
    </row>
    <row r="140">
      <c r="B140" s="74"/>
      <c r="C140" s="74"/>
      <c r="D140" s="74"/>
      <c r="E140" s="74"/>
    </row>
    <row r="141">
      <c r="B141" s="74"/>
      <c r="C141" s="74"/>
      <c r="D141" s="74"/>
      <c r="E141" s="74"/>
    </row>
    <row r="142">
      <c r="B142" s="74"/>
      <c r="C142" s="74"/>
      <c r="D142" s="74"/>
      <c r="E142" s="74"/>
    </row>
    <row r="143">
      <c r="B143" s="74"/>
      <c r="C143" s="74"/>
      <c r="D143" s="74"/>
      <c r="E143" s="74"/>
    </row>
    <row r="144">
      <c r="B144" s="74"/>
      <c r="C144" s="74"/>
      <c r="D144" s="74"/>
      <c r="E144" s="74"/>
    </row>
    <row r="145">
      <c r="B145" s="74"/>
      <c r="C145" s="74"/>
      <c r="D145" s="74"/>
      <c r="E145" s="74"/>
    </row>
    <row r="146">
      <c r="B146" s="74"/>
      <c r="C146" s="74"/>
      <c r="D146" s="74"/>
      <c r="E146" s="74"/>
    </row>
    <row r="147">
      <c r="B147" s="74"/>
      <c r="C147" s="74"/>
      <c r="D147" s="74"/>
      <c r="E147" s="74"/>
    </row>
    <row r="148">
      <c r="B148" s="74"/>
      <c r="C148" s="74"/>
      <c r="D148" s="74"/>
      <c r="E148" s="74"/>
    </row>
    <row r="149">
      <c r="B149" s="74"/>
      <c r="C149" s="74"/>
      <c r="D149" s="74"/>
      <c r="E149" s="74"/>
    </row>
    <row r="150">
      <c r="B150" s="74"/>
      <c r="C150" s="74"/>
      <c r="D150" s="74"/>
      <c r="E150" s="74"/>
    </row>
    <row r="151">
      <c r="B151" s="74"/>
      <c r="C151" s="74"/>
      <c r="D151" s="74"/>
      <c r="E151" s="74"/>
    </row>
    <row r="152">
      <c r="B152" s="74"/>
      <c r="C152" s="74"/>
      <c r="D152" s="74"/>
      <c r="E152" s="74"/>
    </row>
    <row r="153">
      <c r="B153" s="74"/>
      <c r="C153" s="74"/>
      <c r="D153" s="74"/>
      <c r="E153" s="74"/>
    </row>
    <row r="154">
      <c r="B154" s="74"/>
      <c r="C154" s="74"/>
      <c r="D154" s="74"/>
      <c r="E154" s="74"/>
    </row>
    <row r="155">
      <c r="B155" s="74"/>
      <c r="C155" s="74"/>
      <c r="D155" s="74"/>
      <c r="E155" s="74"/>
    </row>
    <row r="156">
      <c r="B156" s="74"/>
      <c r="C156" s="74"/>
      <c r="D156" s="74"/>
      <c r="E156" s="74"/>
    </row>
    <row r="157">
      <c r="B157" s="74"/>
      <c r="C157" s="74"/>
      <c r="D157" s="74"/>
      <c r="E157" s="74"/>
    </row>
    <row r="158">
      <c r="B158" s="74"/>
      <c r="C158" s="74"/>
      <c r="D158" s="74"/>
      <c r="E158" s="74"/>
    </row>
    <row r="159">
      <c r="B159" s="74"/>
      <c r="C159" s="74"/>
      <c r="D159" s="74"/>
      <c r="E159" s="74"/>
    </row>
    <row r="160">
      <c r="B160" s="74"/>
      <c r="C160" s="74"/>
      <c r="D160" s="74"/>
      <c r="E160" s="74"/>
    </row>
    <row r="161">
      <c r="B161" s="74"/>
      <c r="C161" s="74"/>
      <c r="D161" s="74"/>
      <c r="E161" s="74"/>
    </row>
    <row r="162">
      <c r="B162" s="74"/>
      <c r="C162" s="74"/>
      <c r="D162" s="74"/>
      <c r="E162" s="74"/>
    </row>
    <row r="163">
      <c r="B163" s="74"/>
      <c r="C163" s="74"/>
      <c r="D163" s="74"/>
      <c r="E163" s="74"/>
    </row>
    <row r="164">
      <c r="B164" s="74"/>
      <c r="C164" s="74"/>
      <c r="D164" s="74"/>
      <c r="E164" s="74"/>
    </row>
    <row r="165">
      <c r="B165" s="74"/>
      <c r="C165" s="74"/>
      <c r="D165" s="74"/>
      <c r="E165" s="74"/>
    </row>
    <row r="166">
      <c r="B166" s="74"/>
      <c r="C166" s="74"/>
      <c r="D166" s="74"/>
      <c r="E166" s="74"/>
    </row>
    <row r="167">
      <c r="B167" s="74"/>
      <c r="C167" s="74"/>
      <c r="D167" s="74"/>
      <c r="E167" s="74"/>
    </row>
    <row r="168">
      <c r="B168" s="74"/>
      <c r="C168" s="74"/>
      <c r="D168" s="74"/>
      <c r="E168" s="74"/>
    </row>
    <row r="169">
      <c r="B169" s="74"/>
      <c r="C169" s="74"/>
      <c r="D169" s="74"/>
      <c r="E169" s="74"/>
    </row>
    <row r="170">
      <c r="B170" s="74"/>
      <c r="C170" s="74"/>
      <c r="D170" s="74"/>
      <c r="E170" s="74"/>
    </row>
    <row r="171">
      <c r="B171" s="74"/>
      <c r="C171" s="74"/>
      <c r="D171" s="74"/>
      <c r="E171" s="74"/>
    </row>
    <row r="172">
      <c r="B172" s="74"/>
      <c r="C172" s="74"/>
      <c r="D172" s="74"/>
      <c r="E172" s="74"/>
    </row>
    <row r="173">
      <c r="B173" s="74"/>
      <c r="C173" s="74"/>
      <c r="D173" s="74"/>
      <c r="E173" s="74"/>
    </row>
    <row r="174">
      <c r="B174" s="74"/>
      <c r="C174" s="74"/>
      <c r="D174" s="74"/>
      <c r="E174" s="74"/>
    </row>
    <row r="175">
      <c r="B175" s="74"/>
      <c r="C175" s="74"/>
      <c r="D175" s="74"/>
      <c r="E175" s="74"/>
    </row>
    <row r="176">
      <c r="B176" s="74"/>
      <c r="C176" s="74"/>
      <c r="D176" s="74"/>
      <c r="E176" s="74"/>
    </row>
    <row r="177">
      <c r="B177" s="74"/>
      <c r="C177" s="74"/>
      <c r="D177" s="74"/>
      <c r="E177" s="74"/>
    </row>
    <row r="178">
      <c r="B178" s="74"/>
      <c r="C178" s="74"/>
      <c r="D178" s="74"/>
      <c r="E178" s="74"/>
    </row>
    <row r="179">
      <c r="B179" s="74"/>
      <c r="C179" s="74"/>
      <c r="D179" s="74"/>
      <c r="E179" s="74"/>
    </row>
    <row r="180">
      <c r="B180" s="74"/>
      <c r="C180" s="74"/>
      <c r="D180" s="74"/>
      <c r="E180" s="74"/>
    </row>
    <row r="181">
      <c r="B181" s="74"/>
      <c r="C181" s="74"/>
      <c r="D181" s="74"/>
      <c r="E181" s="74"/>
    </row>
    <row r="182">
      <c r="B182" s="74"/>
      <c r="C182" s="74"/>
      <c r="D182" s="74"/>
      <c r="E182" s="74"/>
    </row>
    <row r="183">
      <c r="B183" s="74"/>
      <c r="C183" s="74"/>
      <c r="D183" s="74"/>
      <c r="E183" s="74"/>
    </row>
    <row r="184">
      <c r="B184" s="74"/>
      <c r="C184" s="74"/>
      <c r="D184" s="74"/>
      <c r="E184" s="74"/>
    </row>
    <row r="185">
      <c r="B185" s="74"/>
      <c r="C185" s="74"/>
      <c r="D185" s="74"/>
      <c r="E185" s="74"/>
    </row>
    <row r="186">
      <c r="B186" s="74"/>
      <c r="C186" s="74"/>
      <c r="D186" s="74"/>
      <c r="E186" s="74"/>
    </row>
    <row r="187">
      <c r="B187" s="74"/>
      <c r="C187" s="74"/>
      <c r="D187" s="74"/>
      <c r="E187" s="74"/>
    </row>
    <row r="188">
      <c r="B188" s="74"/>
      <c r="C188" s="74"/>
      <c r="D188" s="74"/>
      <c r="E188" s="74"/>
    </row>
    <row r="189">
      <c r="B189" s="74"/>
      <c r="C189" s="74"/>
      <c r="D189" s="74"/>
      <c r="E189" s="74"/>
    </row>
    <row r="190">
      <c r="B190" s="74"/>
      <c r="C190" s="74"/>
      <c r="D190" s="74"/>
      <c r="E190" s="74"/>
    </row>
    <row r="191">
      <c r="B191" s="74"/>
      <c r="C191" s="74"/>
      <c r="D191" s="74"/>
      <c r="E191" s="74"/>
    </row>
    <row r="192">
      <c r="B192" s="74"/>
      <c r="C192" s="74"/>
      <c r="D192" s="74"/>
      <c r="E192" s="74"/>
    </row>
    <row r="193">
      <c r="B193" s="74"/>
      <c r="C193" s="74"/>
      <c r="D193" s="74"/>
      <c r="E193" s="74"/>
    </row>
    <row r="194">
      <c r="B194" s="74"/>
      <c r="C194" s="74"/>
      <c r="D194" s="74"/>
      <c r="E194" s="74"/>
    </row>
    <row r="195">
      <c r="B195" s="74"/>
      <c r="C195" s="74"/>
      <c r="D195" s="74"/>
      <c r="E195" s="74"/>
    </row>
    <row r="196">
      <c r="B196" s="74"/>
      <c r="C196" s="74"/>
      <c r="D196" s="74"/>
      <c r="E196" s="74"/>
    </row>
    <row r="197">
      <c r="B197" s="74"/>
      <c r="C197" s="74"/>
      <c r="D197" s="74"/>
      <c r="E197" s="74"/>
    </row>
    <row r="198">
      <c r="B198" s="74"/>
      <c r="C198" s="74"/>
      <c r="D198" s="74"/>
      <c r="E198" s="74"/>
    </row>
    <row r="199">
      <c r="B199" s="74"/>
      <c r="C199" s="74"/>
      <c r="D199" s="74"/>
      <c r="E199" s="74"/>
    </row>
    <row r="200">
      <c r="B200" s="74"/>
      <c r="C200" s="74"/>
      <c r="D200" s="74"/>
      <c r="E200" s="74"/>
    </row>
    <row r="201">
      <c r="B201" s="74"/>
      <c r="C201" s="74"/>
      <c r="D201" s="74"/>
      <c r="E201" s="74"/>
    </row>
    <row r="202">
      <c r="B202" s="74"/>
      <c r="C202" s="74"/>
      <c r="D202" s="74"/>
      <c r="E202" s="74"/>
    </row>
    <row r="203">
      <c r="B203" s="74"/>
      <c r="C203" s="74"/>
      <c r="D203" s="74"/>
      <c r="E203" s="74"/>
    </row>
    <row r="204">
      <c r="B204" s="74"/>
      <c r="C204" s="74"/>
      <c r="D204" s="74"/>
      <c r="E204" s="74"/>
    </row>
    <row r="205">
      <c r="B205" s="74"/>
      <c r="C205" s="74"/>
      <c r="D205" s="74"/>
      <c r="E205" s="74"/>
    </row>
    <row r="206">
      <c r="B206" s="74"/>
      <c r="C206" s="74"/>
      <c r="D206" s="74"/>
      <c r="E206" s="74"/>
    </row>
    <row r="207">
      <c r="B207" s="74"/>
      <c r="C207" s="74"/>
      <c r="D207" s="74"/>
      <c r="E207" s="74"/>
    </row>
    <row r="208">
      <c r="B208" s="74"/>
      <c r="C208" s="74"/>
      <c r="D208" s="74"/>
      <c r="E208" s="74"/>
    </row>
    <row r="209">
      <c r="B209" s="74"/>
      <c r="C209" s="74"/>
      <c r="D209" s="74"/>
      <c r="E209" s="74"/>
    </row>
    <row r="210">
      <c r="B210" s="74"/>
      <c r="C210" s="74"/>
      <c r="D210" s="74"/>
      <c r="E210" s="74"/>
    </row>
    <row r="211">
      <c r="B211" s="74"/>
      <c r="C211" s="74"/>
      <c r="D211" s="74"/>
      <c r="E211" s="74"/>
    </row>
    <row r="212">
      <c r="B212" s="74"/>
      <c r="C212" s="74"/>
      <c r="D212" s="74"/>
      <c r="E212" s="74"/>
    </row>
    <row r="213">
      <c r="B213" s="74"/>
      <c r="C213" s="74"/>
      <c r="D213" s="74"/>
      <c r="E213" s="74"/>
    </row>
    <row r="214">
      <c r="B214" s="74"/>
      <c r="C214" s="74"/>
      <c r="D214" s="74"/>
      <c r="E214" s="74"/>
    </row>
    <row r="215">
      <c r="B215" s="74"/>
      <c r="C215" s="74"/>
      <c r="D215" s="74"/>
      <c r="E215" s="74"/>
    </row>
    <row r="216">
      <c r="B216" s="74"/>
      <c r="C216" s="74"/>
      <c r="D216" s="74"/>
      <c r="E216" s="74"/>
    </row>
    <row r="217">
      <c r="B217" s="74"/>
      <c r="C217" s="74"/>
      <c r="D217" s="74"/>
      <c r="E217" s="74"/>
    </row>
    <row r="218">
      <c r="B218" s="74"/>
      <c r="C218" s="74"/>
      <c r="D218" s="74"/>
      <c r="E218" s="74"/>
    </row>
    <row r="219">
      <c r="B219" s="74"/>
      <c r="C219" s="74"/>
      <c r="D219" s="74"/>
      <c r="E219" s="74"/>
    </row>
    <row r="220">
      <c r="B220" s="74"/>
      <c r="C220" s="74"/>
      <c r="D220" s="74"/>
      <c r="E220" s="74"/>
    </row>
    <row r="221">
      <c r="B221" s="74"/>
      <c r="C221" s="74"/>
      <c r="D221" s="74"/>
      <c r="E221" s="74"/>
    </row>
    <row r="222">
      <c r="B222" s="74"/>
      <c r="C222" s="74"/>
      <c r="D222" s="74"/>
      <c r="E222" s="74"/>
    </row>
    <row r="223">
      <c r="B223" s="74"/>
      <c r="C223" s="74"/>
      <c r="D223" s="74"/>
      <c r="E223" s="74"/>
    </row>
    <row r="224">
      <c r="B224" s="74"/>
      <c r="C224" s="74"/>
      <c r="D224" s="74"/>
      <c r="E224" s="74"/>
    </row>
    <row r="225">
      <c r="B225" s="74"/>
      <c r="C225" s="74"/>
      <c r="D225" s="74"/>
      <c r="E225" s="74"/>
    </row>
    <row r="226">
      <c r="B226" s="74"/>
      <c r="C226" s="74"/>
      <c r="D226" s="74"/>
      <c r="E226" s="74"/>
    </row>
    <row r="227">
      <c r="B227" s="74"/>
      <c r="C227" s="74"/>
      <c r="D227" s="74"/>
      <c r="E227" s="74"/>
    </row>
    <row r="228">
      <c r="B228" s="74"/>
      <c r="C228" s="74"/>
      <c r="D228" s="74"/>
      <c r="E228" s="74"/>
    </row>
    <row r="229">
      <c r="B229" s="74"/>
      <c r="C229" s="74"/>
      <c r="D229" s="74"/>
      <c r="E229" s="74"/>
    </row>
    <row r="230">
      <c r="B230" s="74"/>
      <c r="C230" s="74"/>
      <c r="D230" s="74"/>
      <c r="E230" s="74"/>
    </row>
    <row r="231">
      <c r="B231" s="74"/>
      <c r="C231" s="74"/>
      <c r="D231" s="74"/>
      <c r="E231" s="74"/>
    </row>
    <row r="232">
      <c r="B232" s="74"/>
      <c r="C232" s="74"/>
      <c r="D232" s="74"/>
      <c r="E232" s="74"/>
    </row>
    <row r="233">
      <c r="B233" s="74"/>
      <c r="C233" s="74"/>
      <c r="D233" s="74"/>
      <c r="E233" s="74"/>
    </row>
    <row r="234">
      <c r="B234" s="74"/>
      <c r="C234" s="74"/>
      <c r="D234" s="74"/>
      <c r="E234" s="74"/>
    </row>
    <row r="235">
      <c r="B235" s="74"/>
      <c r="C235" s="74"/>
      <c r="D235" s="74"/>
      <c r="E235" s="74"/>
    </row>
    <row r="236">
      <c r="B236" s="74"/>
      <c r="C236" s="74"/>
      <c r="D236" s="74"/>
      <c r="E236" s="74"/>
    </row>
    <row r="237">
      <c r="B237" s="74"/>
      <c r="C237" s="74"/>
      <c r="D237" s="74"/>
      <c r="E237" s="74"/>
    </row>
    <row r="238">
      <c r="B238" s="74"/>
      <c r="C238" s="74"/>
      <c r="D238" s="74"/>
      <c r="E238" s="74"/>
    </row>
    <row r="239">
      <c r="B239" s="74"/>
      <c r="C239" s="74"/>
      <c r="D239" s="74"/>
      <c r="E239" s="74"/>
    </row>
    <row r="240">
      <c r="B240" s="74"/>
      <c r="C240" s="74"/>
      <c r="D240" s="74"/>
      <c r="E240" s="74"/>
    </row>
    <row r="241">
      <c r="B241" s="74"/>
      <c r="C241" s="74"/>
      <c r="D241" s="74"/>
      <c r="E241" s="74"/>
    </row>
    <row r="242">
      <c r="B242" s="74"/>
      <c r="C242" s="74"/>
      <c r="D242" s="74"/>
      <c r="E242" s="74"/>
    </row>
    <row r="243">
      <c r="B243" s="74"/>
      <c r="C243" s="74"/>
      <c r="D243" s="74"/>
      <c r="E243" s="74"/>
    </row>
    <row r="244">
      <c r="B244" s="74"/>
      <c r="C244" s="74"/>
      <c r="D244" s="74"/>
      <c r="E244" s="74"/>
    </row>
    <row r="245">
      <c r="B245" s="74"/>
      <c r="C245" s="74"/>
      <c r="D245" s="74"/>
      <c r="E245" s="74"/>
    </row>
    <row r="246">
      <c r="B246" s="74"/>
      <c r="C246" s="74"/>
      <c r="D246" s="74"/>
      <c r="E246" s="74"/>
    </row>
    <row r="247">
      <c r="B247" s="74"/>
      <c r="C247" s="74"/>
      <c r="D247" s="74"/>
      <c r="E247" s="74"/>
    </row>
    <row r="248">
      <c r="B248" s="74"/>
      <c r="C248" s="74"/>
      <c r="D248" s="74"/>
      <c r="E248" s="74"/>
    </row>
    <row r="249">
      <c r="B249" s="74"/>
      <c r="C249" s="74"/>
      <c r="D249" s="74"/>
      <c r="E249" s="74"/>
    </row>
    <row r="250">
      <c r="B250" s="74"/>
      <c r="C250" s="74"/>
      <c r="D250" s="74"/>
      <c r="E250" s="74"/>
    </row>
    <row r="251">
      <c r="B251" s="74"/>
      <c r="C251" s="74"/>
      <c r="D251" s="74"/>
      <c r="E251" s="74"/>
    </row>
    <row r="252">
      <c r="B252" s="74"/>
      <c r="C252" s="74"/>
      <c r="D252" s="74"/>
      <c r="E252" s="74"/>
    </row>
    <row r="253">
      <c r="B253" s="74"/>
      <c r="C253" s="74"/>
      <c r="D253" s="74"/>
      <c r="E253" s="74"/>
    </row>
    <row r="254">
      <c r="B254" s="74"/>
      <c r="C254" s="74"/>
      <c r="D254" s="74"/>
      <c r="E254" s="74"/>
    </row>
    <row r="255">
      <c r="B255" s="74"/>
      <c r="C255" s="74"/>
      <c r="D255" s="74"/>
      <c r="E255" s="74"/>
    </row>
    <row r="256">
      <c r="B256" s="74"/>
      <c r="C256" s="74"/>
      <c r="D256" s="74"/>
      <c r="E256" s="74"/>
    </row>
    <row r="257">
      <c r="B257" s="74"/>
      <c r="C257" s="74"/>
      <c r="D257" s="74"/>
      <c r="E257" s="74"/>
    </row>
    <row r="258">
      <c r="B258" s="74"/>
      <c r="C258" s="74"/>
      <c r="D258" s="74"/>
      <c r="E258" s="74"/>
    </row>
    <row r="259">
      <c r="B259" s="74"/>
      <c r="C259" s="74"/>
      <c r="D259" s="74"/>
      <c r="E259" s="74"/>
    </row>
    <row r="260">
      <c r="B260" s="74"/>
      <c r="C260" s="74"/>
      <c r="D260" s="74"/>
      <c r="E260" s="74"/>
    </row>
    <row r="261">
      <c r="B261" s="74"/>
      <c r="C261" s="74"/>
      <c r="D261" s="74"/>
      <c r="E261" s="74"/>
    </row>
    <row r="262">
      <c r="B262" s="74"/>
      <c r="C262" s="74"/>
      <c r="D262" s="74"/>
      <c r="E262" s="74"/>
    </row>
    <row r="263">
      <c r="B263" s="74"/>
      <c r="C263" s="74"/>
      <c r="D263" s="74"/>
      <c r="E263" s="74"/>
    </row>
    <row r="264">
      <c r="B264" s="74"/>
      <c r="C264" s="74"/>
      <c r="D264" s="74"/>
      <c r="E264" s="74"/>
    </row>
    <row r="265">
      <c r="B265" s="74"/>
      <c r="C265" s="74"/>
      <c r="D265" s="74"/>
      <c r="E265" s="74"/>
    </row>
    <row r="266">
      <c r="B266" s="74"/>
      <c r="C266" s="74"/>
      <c r="D266" s="74"/>
      <c r="E266" s="74"/>
    </row>
    <row r="267">
      <c r="B267" s="74"/>
      <c r="C267" s="74"/>
      <c r="D267" s="74"/>
      <c r="E267" s="74"/>
    </row>
    <row r="268">
      <c r="B268" s="74"/>
      <c r="C268" s="74"/>
      <c r="D268" s="74"/>
      <c r="E268" s="74"/>
    </row>
    <row r="269">
      <c r="B269" s="74"/>
      <c r="C269" s="74"/>
      <c r="D269" s="74"/>
      <c r="E269" s="74"/>
    </row>
    <row r="270">
      <c r="B270" s="74"/>
      <c r="C270" s="74"/>
      <c r="D270" s="74"/>
      <c r="E270" s="74"/>
    </row>
    <row r="271">
      <c r="B271" s="74"/>
      <c r="C271" s="74"/>
      <c r="D271" s="74"/>
      <c r="E271" s="74"/>
    </row>
    <row r="272">
      <c r="B272" s="74"/>
      <c r="C272" s="74"/>
      <c r="D272" s="74"/>
      <c r="E272" s="74"/>
    </row>
    <row r="273">
      <c r="B273" s="74"/>
      <c r="C273" s="74"/>
      <c r="D273" s="74"/>
      <c r="E273" s="74"/>
    </row>
    <row r="274">
      <c r="B274" s="74"/>
      <c r="C274" s="74"/>
      <c r="D274" s="74"/>
      <c r="E274" s="74"/>
    </row>
    <row r="275">
      <c r="B275" s="74"/>
      <c r="C275" s="74"/>
      <c r="D275" s="74"/>
      <c r="E275" s="74"/>
    </row>
    <row r="276">
      <c r="B276" s="74"/>
      <c r="C276" s="74"/>
      <c r="D276" s="74"/>
      <c r="E276" s="74"/>
    </row>
    <row r="277">
      <c r="B277" s="74"/>
      <c r="C277" s="74"/>
      <c r="D277" s="74"/>
      <c r="E277" s="74"/>
    </row>
    <row r="278">
      <c r="B278" s="74"/>
      <c r="C278" s="74"/>
      <c r="D278" s="74"/>
      <c r="E278" s="74"/>
    </row>
    <row r="279">
      <c r="B279" s="74"/>
      <c r="C279" s="74"/>
      <c r="D279" s="74"/>
      <c r="E279" s="74"/>
    </row>
    <row r="280">
      <c r="B280" s="74"/>
      <c r="C280" s="74"/>
      <c r="D280" s="74"/>
      <c r="E280" s="74"/>
    </row>
    <row r="281">
      <c r="B281" s="74"/>
      <c r="C281" s="74"/>
      <c r="D281" s="74"/>
      <c r="E281" s="74"/>
    </row>
    <row r="282">
      <c r="B282" s="74"/>
      <c r="C282" s="74"/>
      <c r="D282" s="74"/>
      <c r="E282" s="74"/>
    </row>
    <row r="283">
      <c r="B283" s="74"/>
      <c r="C283" s="74"/>
      <c r="D283" s="74"/>
      <c r="E283" s="74"/>
    </row>
    <row r="284">
      <c r="B284" s="74"/>
      <c r="C284" s="74"/>
      <c r="D284" s="74"/>
      <c r="E284" s="74"/>
    </row>
    <row r="285">
      <c r="B285" s="74"/>
      <c r="C285" s="74"/>
      <c r="D285" s="74"/>
      <c r="E285" s="74"/>
    </row>
    <row r="286">
      <c r="B286" s="74"/>
      <c r="C286" s="74"/>
      <c r="D286" s="74"/>
      <c r="E286" s="74"/>
    </row>
    <row r="287">
      <c r="B287" s="74"/>
      <c r="C287" s="74"/>
      <c r="D287" s="74"/>
      <c r="E287" s="74"/>
    </row>
    <row r="288">
      <c r="B288" s="74"/>
      <c r="C288" s="74"/>
      <c r="D288" s="74"/>
      <c r="E288" s="74"/>
    </row>
    <row r="289">
      <c r="B289" s="74"/>
      <c r="C289" s="74"/>
      <c r="D289" s="74"/>
      <c r="E289" s="74"/>
    </row>
    <row r="290">
      <c r="B290" s="74"/>
      <c r="C290" s="74"/>
      <c r="D290" s="74"/>
      <c r="E290" s="74"/>
    </row>
    <row r="291">
      <c r="B291" s="74"/>
      <c r="C291" s="74"/>
      <c r="D291" s="74"/>
      <c r="E291" s="74"/>
    </row>
    <row r="292">
      <c r="B292" s="74"/>
      <c r="C292" s="74"/>
      <c r="D292" s="74"/>
      <c r="E292" s="74"/>
    </row>
    <row r="293">
      <c r="B293" s="74"/>
      <c r="C293" s="74"/>
      <c r="D293" s="74"/>
      <c r="E293" s="74"/>
    </row>
    <row r="294">
      <c r="B294" s="74"/>
      <c r="C294" s="74"/>
      <c r="D294" s="74"/>
      <c r="E294" s="74"/>
    </row>
    <row r="295">
      <c r="B295" s="74"/>
      <c r="C295" s="74"/>
      <c r="D295" s="74"/>
      <c r="E295" s="74"/>
    </row>
    <row r="296">
      <c r="B296" s="74"/>
      <c r="C296" s="74"/>
      <c r="D296" s="74"/>
      <c r="E296" s="74"/>
    </row>
    <row r="297">
      <c r="B297" s="74"/>
      <c r="C297" s="74"/>
      <c r="D297" s="74"/>
      <c r="E297" s="74"/>
    </row>
    <row r="298">
      <c r="B298" s="74"/>
      <c r="C298" s="74"/>
      <c r="D298" s="74"/>
      <c r="E298" s="74"/>
    </row>
    <row r="299">
      <c r="B299" s="74"/>
      <c r="C299" s="74"/>
      <c r="D299" s="74"/>
      <c r="E299" s="74"/>
    </row>
    <row r="300">
      <c r="B300" s="74"/>
      <c r="C300" s="74"/>
      <c r="D300" s="74"/>
      <c r="E300" s="74"/>
    </row>
    <row r="301">
      <c r="B301" s="74"/>
      <c r="C301" s="74"/>
      <c r="D301" s="74"/>
      <c r="E301" s="74"/>
    </row>
    <row r="302">
      <c r="B302" s="74"/>
      <c r="C302" s="74"/>
      <c r="D302" s="74"/>
      <c r="E302" s="74"/>
    </row>
    <row r="303">
      <c r="B303" s="74"/>
      <c r="C303" s="74"/>
      <c r="D303" s="74"/>
      <c r="E303" s="74"/>
    </row>
    <row r="304">
      <c r="B304" s="74"/>
      <c r="C304" s="74"/>
      <c r="D304" s="74"/>
      <c r="E304" s="74"/>
    </row>
    <row r="305">
      <c r="B305" s="74"/>
      <c r="C305" s="74"/>
      <c r="D305" s="74"/>
      <c r="E305" s="74"/>
    </row>
    <row r="306">
      <c r="B306" s="74"/>
      <c r="C306" s="74"/>
      <c r="D306" s="74"/>
      <c r="E306" s="74"/>
    </row>
    <row r="307">
      <c r="B307" s="74"/>
      <c r="C307" s="74"/>
      <c r="D307" s="74"/>
      <c r="E307" s="74"/>
    </row>
    <row r="308">
      <c r="B308" s="74"/>
      <c r="C308" s="74"/>
      <c r="D308" s="74"/>
      <c r="E308" s="74"/>
    </row>
    <row r="309">
      <c r="B309" s="74"/>
      <c r="C309" s="74"/>
      <c r="D309" s="74"/>
      <c r="E309" s="74"/>
    </row>
    <row r="310">
      <c r="B310" s="74"/>
      <c r="C310" s="74"/>
      <c r="D310" s="74"/>
      <c r="E310" s="74"/>
    </row>
    <row r="311">
      <c r="B311" s="74"/>
      <c r="C311" s="74"/>
      <c r="D311" s="74"/>
      <c r="E311" s="74"/>
    </row>
    <row r="312">
      <c r="B312" s="74"/>
      <c r="C312" s="74"/>
      <c r="D312" s="74"/>
      <c r="E312" s="74"/>
    </row>
    <row r="313">
      <c r="B313" s="74"/>
      <c r="C313" s="74"/>
      <c r="D313" s="74"/>
      <c r="E313" s="74"/>
    </row>
    <row r="314">
      <c r="B314" s="74"/>
      <c r="C314" s="74"/>
      <c r="D314" s="74"/>
      <c r="E314" s="74"/>
    </row>
    <row r="315">
      <c r="B315" s="74"/>
      <c r="C315" s="74"/>
      <c r="D315" s="74"/>
      <c r="E315" s="74"/>
    </row>
    <row r="316">
      <c r="B316" s="74"/>
      <c r="C316" s="74"/>
      <c r="D316" s="74"/>
      <c r="E316" s="74"/>
    </row>
    <row r="317">
      <c r="B317" s="74"/>
      <c r="C317" s="74"/>
      <c r="D317" s="74"/>
      <c r="E317" s="74"/>
    </row>
    <row r="318">
      <c r="B318" s="74"/>
      <c r="C318" s="74"/>
      <c r="D318" s="74"/>
      <c r="E318" s="74"/>
    </row>
    <row r="319">
      <c r="B319" s="74"/>
      <c r="C319" s="74"/>
      <c r="D319" s="74"/>
      <c r="E319" s="74"/>
    </row>
    <row r="320">
      <c r="B320" s="74"/>
      <c r="C320" s="74"/>
      <c r="D320" s="74"/>
      <c r="E320" s="74"/>
    </row>
    <row r="321">
      <c r="B321" s="74"/>
      <c r="C321" s="74"/>
      <c r="D321" s="74"/>
      <c r="E321" s="74"/>
    </row>
    <row r="322">
      <c r="B322" s="74"/>
      <c r="C322" s="74"/>
      <c r="D322" s="74"/>
      <c r="E322" s="74"/>
    </row>
    <row r="323">
      <c r="B323" s="74"/>
      <c r="C323" s="74"/>
      <c r="D323" s="74"/>
      <c r="E323" s="74"/>
    </row>
    <row r="324">
      <c r="B324" s="74"/>
      <c r="C324" s="74"/>
      <c r="D324" s="74"/>
      <c r="E324" s="74"/>
    </row>
    <row r="325">
      <c r="B325" s="74"/>
      <c r="C325" s="74"/>
      <c r="D325" s="74"/>
      <c r="E325" s="74"/>
    </row>
    <row r="326">
      <c r="B326" s="74"/>
      <c r="C326" s="74"/>
      <c r="D326" s="74"/>
      <c r="E326" s="74"/>
    </row>
    <row r="327">
      <c r="B327" s="74"/>
      <c r="C327" s="74"/>
      <c r="D327" s="74"/>
      <c r="E327" s="74"/>
    </row>
    <row r="328">
      <c r="B328" s="74"/>
      <c r="C328" s="74"/>
      <c r="D328" s="74"/>
      <c r="E328" s="74"/>
    </row>
    <row r="329">
      <c r="B329" s="74"/>
      <c r="C329" s="74"/>
      <c r="D329" s="74"/>
      <c r="E329" s="74"/>
    </row>
    <row r="330">
      <c r="B330" s="74"/>
      <c r="C330" s="74"/>
      <c r="D330" s="74"/>
      <c r="E330" s="74"/>
    </row>
    <row r="331">
      <c r="B331" s="74"/>
      <c r="C331" s="74"/>
      <c r="D331" s="74"/>
      <c r="E331" s="74"/>
    </row>
    <row r="332">
      <c r="B332" s="74"/>
      <c r="C332" s="74"/>
      <c r="D332" s="74"/>
      <c r="E332" s="74"/>
    </row>
    <row r="333">
      <c r="B333" s="74"/>
      <c r="C333" s="74"/>
      <c r="D333" s="74"/>
      <c r="E333" s="74"/>
    </row>
    <row r="334">
      <c r="B334" s="74"/>
      <c r="C334" s="74"/>
      <c r="D334" s="74"/>
      <c r="E334" s="74"/>
    </row>
    <row r="335">
      <c r="B335" s="74"/>
      <c r="C335" s="74"/>
      <c r="D335" s="74"/>
      <c r="E335" s="74"/>
    </row>
    <row r="336">
      <c r="B336" s="74"/>
      <c r="C336" s="74"/>
      <c r="D336" s="74"/>
      <c r="E336" s="74"/>
    </row>
    <row r="337">
      <c r="B337" s="74"/>
      <c r="C337" s="74"/>
      <c r="D337" s="74"/>
      <c r="E337" s="74"/>
    </row>
    <row r="338">
      <c r="B338" s="74"/>
      <c r="C338" s="74"/>
      <c r="D338" s="74"/>
      <c r="E338" s="74"/>
    </row>
    <row r="339">
      <c r="B339" s="74"/>
      <c r="C339" s="74"/>
      <c r="D339" s="74"/>
      <c r="E339" s="74"/>
    </row>
    <row r="340">
      <c r="B340" s="74"/>
      <c r="C340" s="74"/>
      <c r="D340" s="74"/>
      <c r="E340" s="74"/>
    </row>
    <row r="341">
      <c r="B341" s="74"/>
      <c r="C341" s="74"/>
      <c r="D341" s="74"/>
      <c r="E341" s="74"/>
    </row>
    <row r="342">
      <c r="B342" s="74"/>
      <c r="C342" s="74"/>
      <c r="D342" s="74"/>
      <c r="E342" s="74"/>
    </row>
    <row r="343">
      <c r="B343" s="74"/>
      <c r="C343" s="74"/>
      <c r="D343" s="74"/>
      <c r="E343" s="74"/>
    </row>
    <row r="344">
      <c r="B344" s="74"/>
      <c r="C344" s="74"/>
      <c r="D344" s="74"/>
      <c r="E344" s="74"/>
    </row>
    <row r="345">
      <c r="B345" s="74"/>
      <c r="C345" s="74"/>
      <c r="D345" s="74"/>
      <c r="E345" s="74"/>
    </row>
    <row r="346">
      <c r="B346" s="74"/>
      <c r="C346" s="74"/>
      <c r="D346" s="74"/>
      <c r="E346" s="74"/>
    </row>
    <row r="347">
      <c r="B347" s="74"/>
      <c r="C347" s="74"/>
      <c r="D347" s="74"/>
      <c r="E347" s="74"/>
    </row>
    <row r="348">
      <c r="B348" s="74"/>
      <c r="C348" s="74"/>
      <c r="D348" s="74"/>
      <c r="E348" s="74"/>
    </row>
    <row r="349">
      <c r="B349" s="74"/>
      <c r="C349" s="74"/>
      <c r="D349" s="74"/>
      <c r="E349" s="74"/>
    </row>
    <row r="350">
      <c r="B350" s="74"/>
      <c r="C350" s="74"/>
      <c r="D350" s="74"/>
      <c r="E350" s="74"/>
    </row>
    <row r="351">
      <c r="B351" s="74"/>
      <c r="C351" s="74"/>
      <c r="D351" s="74"/>
      <c r="E351" s="74"/>
    </row>
    <row r="352">
      <c r="B352" s="74"/>
      <c r="C352" s="74"/>
      <c r="D352" s="74"/>
      <c r="E352" s="74"/>
    </row>
    <row r="353">
      <c r="B353" s="74"/>
      <c r="C353" s="74"/>
      <c r="D353" s="74"/>
      <c r="E353" s="74"/>
    </row>
    <row r="354">
      <c r="B354" s="74"/>
      <c r="C354" s="74"/>
      <c r="D354" s="74"/>
      <c r="E354" s="74"/>
    </row>
    <row r="355">
      <c r="B355" s="74"/>
      <c r="C355" s="74"/>
      <c r="D355" s="74"/>
      <c r="E355" s="74"/>
    </row>
    <row r="356">
      <c r="B356" s="74"/>
      <c r="C356" s="74"/>
      <c r="D356" s="74"/>
      <c r="E356" s="74"/>
    </row>
    <row r="357">
      <c r="B357" s="74"/>
      <c r="C357" s="74"/>
      <c r="D357" s="74"/>
      <c r="E357" s="74"/>
    </row>
    <row r="358">
      <c r="B358" s="74"/>
      <c r="C358" s="74"/>
      <c r="D358" s="74"/>
      <c r="E358" s="74"/>
    </row>
    <row r="359">
      <c r="B359" s="74"/>
      <c r="C359" s="74"/>
      <c r="D359" s="74"/>
      <c r="E359" s="74"/>
    </row>
    <row r="360">
      <c r="B360" s="74"/>
      <c r="C360" s="74"/>
      <c r="D360" s="74"/>
      <c r="E360" s="74"/>
    </row>
    <row r="361">
      <c r="B361" s="74"/>
      <c r="C361" s="74"/>
      <c r="D361" s="74"/>
      <c r="E361" s="74"/>
    </row>
    <row r="362">
      <c r="B362" s="74"/>
      <c r="C362" s="74"/>
      <c r="D362" s="74"/>
      <c r="E362" s="74"/>
    </row>
    <row r="363">
      <c r="B363" s="74"/>
      <c r="C363" s="74"/>
      <c r="D363" s="74"/>
      <c r="E363" s="74"/>
    </row>
    <row r="364">
      <c r="B364" s="74"/>
      <c r="C364" s="74"/>
      <c r="D364" s="74"/>
      <c r="E364" s="74"/>
    </row>
    <row r="365">
      <c r="B365" s="74"/>
      <c r="C365" s="74"/>
      <c r="D365" s="74"/>
      <c r="E365" s="74"/>
    </row>
    <row r="366">
      <c r="B366" s="74"/>
      <c r="C366" s="74"/>
      <c r="D366" s="74"/>
      <c r="E366" s="74"/>
    </row>
    <row r="367">
      <c r="B367" s="74"/>
      <c r="C367" s="74"/>
      <c r="D367" s="74"/>
      <c r="E367" s="74"/>
    </row>
    <row r="368">
      <c r="B368" s="74"/>
      <c r="C368" s="74"/>
      <c r="D368" s="74"/>
      <c r="E368" s="74"/>
    </row>
    <row r="369">
      <c r="B369" s="74"/>
      <c r="C369" s="74"/>
      <c r="D369" s="74"/>
      <c r="E369" s="74"/>
    </row>
    <row r="370">
      <c r="B370" s="74"/>
      <c r="C370" s="74"/>
      <c r="D370" s="74"/>
      <c r="E370" s="74"/>
    </row>
    <row r="371">
      <c r="B371" s="74"/>
      <c r="C371" s="74"/>
      <c r="D371" s="74"/>
      <c r="E371" s="74"/>
    </row>
    <row r="372">
      <c r="B372" s="74"/>
      <c r="C372" s="74"/>
      <c r="D372" s="74"/>
      <c r="E372" s="74"/>
    </row>
    <row r="373">
      <c r="B373" s="74"/>
      <c r="C373" s="74"/>
      <c r="D373" s="74"/>
      <c r="E373" s="74"/>
    </row>
    <row r="374">
      <c r="B374" s="74"/>
      <c r="C374" s="74"/>
      <c r="D374" s="74"/>
      <c r="E374" s="74"/>
    </row>
    <row r="375">
      <c r="B375" s="74"/>
      <c r="C375" s="74"/>
      <c r="D375" s="74"/>
      <c r="E375" s="74"/>
    </row>
    <row r="376">
      <c r="B376" s="74"/>
      <c r="C376" s="74"/>
      <c r="D376" s="74"/>
      <c r="E376" s="74"/>
    </row>
    <row r="377">
      <c r="B377" s="74"/>
      <c r="C377" s="74"/>
      <c r="D377" s="74"/>
      <c r="E377" s="74"/>
    </row>
    <row r="378">
      <c r="B378" s="74"/>
      <c r="C378" s="74"/>
      <c r="D378" s="74"/>
      <c r="E378" s="74"/>
    </row>
    <row r="379">
      <c r="B379" s="74"/>
      <c r="C379" s="74"/>
      <c r="D379" s="74"/>
      <c r="E379" s="74"/>
    </row>
    <row r="380">
      <c r="B380" s="74"/>
      <c r="C380" s="74"/>
      <c r="D380" s="74"/>
      <c r="E380" s="74"/>
    </row>
    <row r="381">
      <c r="B381" s="74"/>
      <c r="C381" s="74"/>
      <c r="D381" s="74"/>
      <c r="E381" s="74"/>
    </row>
    <row r="382">
      <c r="B382" s="74"/>
      <c r="C382" s="74"/>
      <c r="D382" s="74"/>
      <c r="E382" s="74"/>
    </row>
    <row r="383">
      <c r="B383" s="74"/>
      <c r="C383" s="74"/>
      <c r="D383" s="74"/>
      <c r="E383" s="74"/>
    </row>
    <row r="384">
      <c r="B384" s="74"/>
      <c r="C384" s="74"/>
      <c r="D384" s="74"/>
      <c r="E384" s="74"/>
    </row>
    <row r="385">
      <c r="B385" s="74"/>
      <c r="C385" s="74"/>
      <c r="D385" s="74"/>
      <c r="E385" s="74"/>
    </row>
    <row r="386">
      <c r="B386" s="74"/>
      <c r="C386" s="74"/>
      <c r="D386" s="74"/>
      <c r="E386" s="74"/>
    </row>
    <row r="387">
      <c r="B387" s="74"/>
      <c r="C387" s="74"/>
      <c r="D387" s="74"/>
      <c r="E387" s="74"/>
    </row>
    <row r="388">
      <c r="B388" s="74"/>
      <c r="C388" s="74"/>
      <c r="D388" s="74"/>
      <c r="E388" s="74"/>
    </row>
    <row r="389">
      <c r="B389" s="74"/>
      <c r="C389" s="74"/>
      <c r="D389" s="74"/>
      <c r="E389" s="74"/>
    </row>
    <row r="390">
      <c r="B390" s="74"/>
      <c r="C390" s="74"/>
      <c r="D390" s="74"/>
      <c r="E390" s="74"/>
    </row>
    <row r="391">
      <c r="B391" s="74"/>
      <c r="C391" s="74"/>
      <c r="D391" s="74"/>
      <c r="E391" s="74"/>
    </row>
    <row r="392">
      <c r="B392" s="74"/>
      <c r="C392" s="74"/>
      <c r="D392" s="74"/>
      <c r="E392" s="74"/>
    </row>
    <row r="393">
      <c r="B393" s="74"/>
      <c r="C393" s="74"/>
      <c r="D393" s="74"/>
      <c r="E393" s="74"/>
    </row>
    <row r="394">
      <c r="B394" s="74"/>
      <c r="C394" s="74"/>
      <c r="D394" s="74"/>
      <c r="E394" s="74"/>
    </row>
    <row r="395">
      <c r="B395" s="74"/>
      <c r="C395" s="74"/>
      <c r="D395" s="74"/>
      <c r="E395" s="74"/>
    </row>
    <row r="396">
      <c r="B396" s="74"/>
      <c r="C396" s="74"/>
      <c r="D396" s="74"/>
      <c r="E396" s="74"/>
    </row>
    <row r="397">
      <c r="B397" s="74"/>
      <c r="C397" s="74"/>
      <c r="D397" s="74"/>
      <c r="E397" s="74"/>
    </row>
    <row r="398">
      <c r="B398" s="74"/>
      <c r="C398" s="74"/>
      <c r="D398" s="74"/>
      <c r="E398" s="74"/>
    </row>
    <row r="399">
      <c r="B399" s="74"/>
      <c r="C399" s="74"/>
      <c r="D399" s="74"/>
      <c r="E399" s="74"/>
    </row>
    <row r="400">
      <c r="B400" s="74"/>
      <c r="C400" s="74"/>
      <c r="D400" s="74"/>
      <c r="E400" s="74"/>
    </row>
    <row r="401">
      <c r="B401" s="74"/>
      <c r="C401" s="74"/>
      <c r="D401" s="74"/>
      <c r="E401" s="74"/>
    </row>
    <row r="402">
      <c r="B402" s="74"/>
      <c r="C402" s="74"/>
      <c r="D402" s="74"/>
      <c r="E402" s="74"/>
    </row>
    <row r="403">
      <c r="B403" s="74"/>
      <c r="C403" s="74"/>
      <c r="D403" s="74"/>
      <c r="E403" s="74"/>
    </row>
    <row r="404">
      <c r="B404" s="74"/>
      <c r="C404" s="74"/>
      <c r="D404" s="74"/>
      <c r="E404" s="74"/>
    </row>
    <row r="405">
      <c r="B405" s="74"/>
      <c r="C405" s="74"/>
      <c r="D405" s="74"/>
      <c r="E405" s="74"/>
    </row>
    <row r="406">
      <c r="B406" s="74"/>
      <c r="C406" s="74"/>
      <c r="D406" s="74"/>
      <c r="E406" s="74"/>
    </row>
    <row r="407">
      <c r="B407" s="74"/>
      <c r="C407" s="74"/>
      <c r="D407" s="74"/>
      <c r="E407" s="74"/>
    </row>
    <row r="408">
      <c r="B408" s="74"/>
      <c r="C408" s="74"/>
      <c r="D408" s="74"/>
      <c r="E408" s="74"/>
    </row>
    <row r="409">
      <c r="B409" s="74"/>
      <c r="C409" s="74"/>
      <c r="D409" s="74"/>
      <c r="E409" s="74"/>
    </row>
    <row r="410">
      <c r="B410" s="74"/>
      <c r="C410" s="74"/>
      <c r="D410" s="74"/>
      <c r="E410" s="74"/>
    </row>
    <row r="411">
      <c r="B411" s="74"/>
      <c r="C411" s="74"/>
      <c r="D411" s="74"/>
      <c r="E411" s="74"/>
    </row>
    <row r="412">
      <c r="B412" s="74"/>
      <c r="C412" s="74"/>
      <c r="D412" s="74"/>
      <c r="E412" s="74"/>
    </row>
    <row r="413">
      <c r="B413" s="74"/>
      <c r="C413" s="74"/>
      <c r="D413" s="74"/>
      <c r="E413" s="74"/>
    </row>
    <row r="414">
      <c r="B414" s="74"/>
      <c r="C414" s="74"/>
      <c r="D414" s="74"/>
      <c r="E414" s="74"/>
    </row>
    <row r="415">
      <c r="B415" s="74"/>
      <c r="C415" s="74"/>
      <c r="D415" s="74"/>
      <c r="E415" s="74"/>
    </row>
    <row r="416">
      <c r="B416" s="74"/>
      <c r="C416" s="74"/>
      <c r="D416" s="74"/>
      <c r="E416" s="74"/>
    </row>
    <row r="417">
      <c r="B417" s="74"/>
      <c r="C417" s="74"/>
      <c r="D417" s="74"/>
      <c r="E417" s="74"/>
    </row>
    <row r="418">
      <c r="B418" s="74"/>
      <c r="C418" s="74"/>
      <c r="D418" s="74"/>
      <c r="E418" s="74"/>
    </row>
    <row r="419">
      <c r="B419" s="74"/>
      <c r="C419" s="74"/>
      <c r="D419" s="74"/>
      <c r="E419" s="74"/>
    </row>
    <row r="420">
      <c r="B420" s="74"/>
      <c r="C420" s="74"/>
      <c r="D420" s="74"/>
      <c r="E420" s="74"/>
    </row>
    <row r="421">
      <c r="B421" s="74"/>
      <c r="C421" s="74"/>
      <c r="D421" s="74"/>
      <c r="E421" s="74"/>
    </row>
    <row r="422">
      <c r="B422" s="74"/>
      <c r="C422" s="74"/>
      <c r="D422" s="74"/>
      <c r="E422" s="74"/>
    </row>
    <row r="423">
      <c r="B423" s="74"/>
      <c r="C423" s="74"/>
      <c r="D423" s="74"/>
      <c r="E423" s="74"/>
    </row>
    <row r="424">
      <c r="B424" s="74"/>
      <c r="C424" s="74"/>
      <c r="D424" s="74"/>
      <c r="E424" s="74"/>
    </row>
    <row r="425">
      <c r="B425" s="74"/>
      <c r="C425" s="74"/>
      <c r="D425" s="74"/>
      <c r="E425" s="74"/>
    </row>
    <row r="426">
      <c r="B426" s="74"/>
      <c r="C426" s="74"/>
      <c r="D426" s="74"/>
      <c r="E426" s="74"/>
    </row>
    <row r="427">
      <c r="B427" s="74"/>
      <c r="C427" s="74"/>
      <c r="D427" s="74"/>
      <c r="E427" s="74"/>
    </row>
    <row r="428">
      <c r="B428" s="74"/>
      <c r="C428" s="74"/>
      <c r="D428" s="74"/>
      <c r="E428" s="74"/>
    </row>
    <row r="429">
      <c r="B429" s="74"/>
      <c r="C429" s="74"/>
      <c r="D429" s="74"/>
      <c r="E429" s="74"/>
    </row>
    <row r="430">
      <c r="B430" s="74"/>
      <c r="C430" s="74"/>
      <c r="D430" s="74"/>
      <c r="E430" s="74"/>
    </row>
    <row r="431">
      <c r="B431" s="74"/>
      <c r="C431" s="74"/>
      <c r="D431" s="74"/>
      <c r="E431" s="74"/>
    </row>
    <row r="432">
      <c r="B432" s="74"/>
      <c r="C432" s="74"/>
      <c r="D432" s="74"/>
      <c r="E432" s="74"/>
    </row>
    <row r="433">
      <c r="B433" s="74"/>
      <c r="C433" s="74"/>
      <c r="D433" s="74"/>
      <c r="E433" s="74"/>
    </row>
    <row r="434">
      <c r="B434" s="74"/>
      <c r="C434" s="74"/>
      <c r="D434" s="74"/>
      <c r="E434" s="74"/>
    </row>
    <row r="435">
      <c r="B435" s="74"/>
      <c r="C435" s="74"/>
      <c r="D435" s="74"/>
      <c r="E435" s="74"/>
    </row>
    <row r="436">
      <c r="B436" s="74"/>
      <c r="C436" s="74"/>
      <c r="D436" s="74"/>
      <c r="E436" s="74"/>
    </row>
    <row r="437">
      <c r="B437" s="74"/>
      <c r="C437" s="74"/>
      <c r="D437" s="74"/>
      <c r="E437" s="74"/>
    </row>
    <row r="438">
      <c r="B438" s="74"/>
      <c r="C438" s="74"/>
      <c r="D438" s="74"/>
      <c r="E438" s="74"/>
    </row>
    <row r="439">
      <c r="B439" s="74"/>
      <c r="C439" s="74"/>
      <c r="D439" s="74"/>
      <c r="E439" s="74"/>
    </row>
    <row r="440">
      <c r="B440" s="74"/>
      <c r="C440" s="74"/>
      <c r="D440" s="74"/>
      <c r="E440" s="74"/>
    </row>
    <row r="441">
      <c r="B441" s="74"/>
      <c r="C441" s="74"/>
      <c r="D441" s="74"/>
      <c r="E441" s="74"/>
    </row>
    <row r="442">
      <c r="B442" s="74"/>
      <c r="C442" s="74"/>
      <c r="D442" s="74"/>
      <c r="E442" s="74"/>
    </row>
    <row r="443">
      <c r="B443" s="74"/>
      <c r="C443" s="74"/>
      <c r="D443" s="74"/>
      <c r="E443" s="74"/>
    </row>
    <row r="444">
      <c r="B444" s="74"/>
      <c r="C444" s="74"/>
      <c r="D444" s="74"/>
      <c r="E444" s="74"/>
    </row>
    <row r="445">
      <c r="B445" s="74"/>
      <c r="C445" s="74"/>
      <c r="D445" s="74"/>
      <c r="E445" s="74"/>
    </row>
    <row r="446">
      <c r="B446" s="74"/>
      <c r="C446" s="74"/>
      <c r="D446" s="74"/>
      <c r="E446" s="74"/>
    </row>
    <row r="447">
      <c r="B447" s="74"/>
      <c r="C447" s="74"/>
      <c r="D447" s="74"/>
      <c r="E447" s="74"/>
    </row>
    <row r="448">
      <c r="B448" s="74"/>
      <c r="C448" s="74"/>
      <c r="D448" s="74"/>
      <c r="E448" s="74"/>
    </row>
    <row r="449">
      <c r="B449" s="74"/>
      <c r="C449" s="74"/>
      <c r="D449" s="74"/>
      <c r="E449" s="74"/>
    </row>
    <row r="450">
      <c r="B450" s="74"/>
      <c r="C450" s="74"/>
      <c r="D450" s="74"/>
      <c r="E450" s="74"/>
    </row>
    <row r="451">
      <c r="B451" s="74"/>
      <c r="C451" s="74"/>
      <c r="D451" s="74"/>
      <c r="E451" s="74"/>
    </row>
    <row r="452">
      <c r="B452" s="74"/>
      <c r="C452" s="74"/>
      <c r="D452" s="74"/>
      <c r="E452" s="74"/>
    </row>
    <row r="453">
      <c r="B453" s="74"/>
      <c r="C453" s="74"/>
      <c r="D453" s="74"/>
      <c r="E453" s="74"/>
    </row>
    <row r="454">
      <c r="B454" s="74"/>
      <c r="C454" s="74"/>
      <c r="D454" s="74"/>
      <c r="E454" s="74"/>
    </row>
    <row r="455">
      <c r="B455" s="74"/>
      <c r="C455" s="74"/>
      <c r="D455" s="74"/>
      <c r="E455" s="74"/>
    </row>
    <row r="456">
      <c r="B456" s="74"/>
      <c r="C456" s="74"/>
      <c r="D456" s="74"/>
      <c r="E456" s="74"/>
    </row>
    <row r="457">
      <c r="B457" s="74"/>
      <c r="C457" s="74"/>
      <c r="D457" s="74"/>
      <c r="E457" s="74"/>
    </row>
    <row r="458">
      <c r="B458" s="74"/>
      <c r="C458" s="74"/>
      <c r="D458" s="74"/>
      <c r="E458" s="74"/>
    </row>
    <row r="459">
      <c r="B459" s="74"/>
      <c r="C459" s="74"/>
      <c r="D459" s="74"/>
      <c r="E459" s="74"/>
    </row>
    <row r="460">
      <c r="B460" s="74"/>
      <c r="C460" s="74"/>
      <c r="D460" s="74"/>
      <c r="E460" s="74"/>
    </row>
    <row r="461">
      <c r="B461" s="74"/>
      <c r="C461" s="74"/>
      <c r="D461" s="74"/>
      <c r="E461" s="74"/>
    </row>
    <row r="462">
      <c r="B462" s="74"/>
      <c r="C462" s="74"/>
      <c r="D462" s="74"/>
      <c r="E462" s="74"/>
    </row>
    <row r="463">
      <c r="B463" s="74"/>
      <c r="C463" s="74"/>
      <c r="D463" s="74"/>
      <c r="E463" s="74"/>
    </row>
    <row r="464">
      <c r="B464" s="74"/>
      <c r="C464" s="74"/>
      <c r="D464" s="74"/>
      <c r="E464" s="74"/>
    </row>
    <row r="465">
      <c r="B465" s="74"/>
      <c r="C465" s="74"/>
      <c r="D465" s="74"/>
      <c r="E465" s="74"/>
    </row>
    <row r="466">
      <c r="B466" s="74"/>
      <c r="C466" s="74"/>
      <c r="D466" s="74"/>
      <c r="E466" s="74"/>
    </row>
    <row r="467">
      <c r="B467" s="74"/>
      <c r="C467" s="74"/>
      <c r="D467" s="74"/>
      <c r="E467" s="74"/>
    </row>
    <row r="468">
      <c r="B468" s="74"/>
      <c r="C468" s="74"/>
      <c r="D468" s="74"/>
      <c r="E468" s="74"/>
    </row>
    <row r="469">
      <c r="B469" s="74"/>
      <c r="C469" s="74"/>
      <c r="D469" s="74"/>
      <c r="E469" s="74"/>
    </row>
    <row r="470">
      <c r="B470" s="74"/>
      <c r="C470" s="74"/>
      <c r="D470" s="74"/>
      <c r="E470" s="74"/>
    </row>
    <row r="471">
      <c r="B471" s="74"/>
      <c r="C471" s="74"/>
      <c r="D471" s="74"/>
      <c r="E471" s="74"/>
    </row>
    <row r="472">
      <c r="B472" s="74"/>
      <c r="C472" s="74"/>
      <c r="D472" s="74"/>
      <c r="E472" s="74"/>
    </row>
    <row r="473">
      <c r="B473" s="74"/>
      <c r="C473" s="74"/>
      <c r="D473" s="74"/>
      <c r="E473" s="74"/>
    </row>
    <row r="474">
      <c r="B474" s="74"/>
      <c r="C474" s="74"/>
      <c r="D474" s="74"/>
      <c r="E474" s="74"/>
    </row>
    <row r="475">
      <c r="B475" s="74"/>
      <c r="C475" s="74"/>
      <c r="D475" s="74"/>
      <c r="E475" s="74"/>
    </row>
    <row r="476">
      <c r="B476" s="74"/>
      <c r="C476" s="74"/>
      <c r="D476" s="74"/>
      <c r="E476" s="74"/>
    </row>
    <row r="477">
      <c r="B477" s="74"/>
      <c r="C477" s="74"/>
      <c r="D477" s="74"/>
      <c r="E477" s="74"/>
    </row>
    <row r="478">
      <c r="B478" s="74"/>
      <c r="C478" s="74"/>
      <c r="D478" s="74"/>
      <c r="E478" s="74"/>
    </row>
    <row r="479">
      <c r="B479" s="74"/>
      <c r="C479" s="74"/>
      <c r="D479" s="74"/>
      <c r="E479" s="74"/>
    </row>
    <row r="480">
      <c r="B480" s="74"/>
      <c r="C480" s="74"/>
      <c r="D480" s="74"/>
      <c r="E480" s="74"/>
    </row>
    <row r="481">
      <c r="B481" s="74"/>
      <c r="C481" s="74"/>
      <c r="D481" s="74"/>
      <c r="E481" s="74"/>
    </row>
    <row r="482">
      <c r="B482" s="74"/>
      <c r="C482" s="74"/>
      <c r="D482" s="74"/>
      <c r="E482" s="74"/>
    </row>
    <row r="483">
      <c r="B483" s="74"/>
      <c r="C483" s="74"/>
      <c r="D483" s="74"/>
      <c r="E483" s="74"/>
    </row>
    <row r="484">
      <c r="B484" s="74"/>
      <c r="C484" s="74"/>
      <c r="D484" s="74"/>
      <c r="E484" s="74"/>
    </row>
    <row r="485">
      <c r="B485" s="74"/>
      <c r="C485" s="74"/>
      <c r="D485" s="74"/>
      <c r="E485" s="74"/>
    </row>
    <row r="486">
      <c r="B486" s="74"/>
      <c r="C486" s="74"/>
      <c r="D486" s="74"/>
      <c r="E486" s="74"/>
    </row>
    <row r="487">
      <c r="B487" s="74"/>
      <c r="C487" s="74"/>
      <c r="D487" s="74"/>
      <c r="E487" s="74"/>
    </row>
    <row r="488">
      <c r="B488" s="74"/>
      <c r="C488" s="74"/>
      <c r="D488" s="74"/>
      <c r="E488" s="74"/>
    </row>
    <row r="489">
      <c r="B489" s="74"/>
      <c r="C489" s="74"/>
      <c r="D489" s="74"/>
      <c r="E489" s="74"/>
    </row>
    <row r="490">
      <c r="B490" s="74"/>
      <c r="C490" s="74"/>
      <c r="D490" s="74"/>
      <c r="E490" s="74"/>
    </row>
    <row r="491">
      <c r="B491" s="74"/>
      <c r="C491" s="74"/>
      <c r="D491" s="74"/>
      <c r="E491" s="74"/>
    </row>
    <row r="492">
      <c r="B492" s="74"/>
      <c r="C492" s="74"/>
      <c r="D492" s="74"/>
      <c r="E492" s="74"/>
    </row>
    <row r="493">
      <c r="B493" s="74"/>
      <c r="C493" s="74"/>
      <c r="D493" s="74"/>
      <c r="E493" s="74"/>
    </row>
    <row r="494">
      <c r="B494" s="74"/>
      <c r="C494" s="74"/>
      <c r="D494" s="74"/>
      <c r="E494" s="74"/>
    </row>
    <row r="495">
      <c r="B495" s="74"/>
      <c r="C495" s="74"/>
      <c r="D495" s="74"/>
      <c r="E495" s="74"/>
    </row>
    <row r="496">
      <c r="B496" s="74"/>
      <c r="C496" s="74"/>
      <c r="D496" s="74"/>
      <c r="E496" s="74"/>
    </row>
    <row r="497">
      <c r="B497" s="74"/>
      <c r="C497" s="74"/>
      <c r="D497" s="74"/>
      <c r="E497" s="74"/>
    </row>
    <row r="498">
      <c r="B498" s="74"/>
      <c r="C498" s="74"/>
      <c r="D498" s="74"/>
      <c r="E498" s="74"/>
    </row>
    <row r="499">
      <c r="B499" s="74"/>
      <c r="C499" s="74"/>
      <c r="D499" s="74"/>
      <c r="E499" s="74"/>
    </row>
    <row r="500">
      <c r="B500" s="74"/>
      <c r="C500" s="74"/>
      <c r="D500" s="74"/>
      <c r="E500" s="74"/>
    </row>
    <row r="501">
      <c r="B501" s="74"/>
      <c r="C501" s="74"/>
      <c r="D501" s="74"/>
      <c r="E501" s="74"/>
    </row>
    <row r="502">
      <c r="B502" s="74"/>
      <c r="C502" s="74"/>
      <c r="D502" s="74"/>
      <c r="E502" s="74"/>
    </row>
    <row r="503">
      <c r="B503" s="74"/>
      <c r="C503" s="74"/>
      <c r="D503" s="74"/>
      <c r="E503" s="74"/>
    </row>
    <row r="504">
      <c r="B504" s="74"/>
      <c r="C504" s="74"/>
      <c r="D504" s="74"/>
      <c r="E504" s="74"/>
    </row>
    <row r="505">
      <c r="B505" s="74"/>
      <c r="C505" s="74"/>
      <c r="D505" s="74"/>
      <c r="E505" s="74"/>
    </row>
    <row r="506">
      <c r="B506" s="74"/>
      <c r="C506" s="74"/>
      <c r="D506" s="74"/>
      <c r="E506" s="74"/>
    </row>
    <row r="507">
      <c r="B507" s="74"/>
      <c r="C507" s="74"/>
      <c r="D507" s="74"/>
      <c r="E507" s="74"/>
    </row>
    <row r="508">
      <c r="B508" s="74"/>
      <c r="C508" s="74"/>
      <c r="D508" s="74"/>
      <c r="E508" s="74"/>
    </row>
    <row r="509">
      <c r="B509" s="74"/>
      <c r="C509" s="74"/>
      <c r="D509" s="74"/>
      <c r="E509" s="74"/>
    </row>
    <row r="510">
      <c r="B510" s="74"/>
      <c r="C510" s="74"/>
      <c r="D510" s="74"/>
      <c r="E510" s="74"/>
    </row>
    <row r="511">
      <c r="B511" s="74"/>
      <c r="C511" s="74"/>
      <c r="D511" s="74"/>
      <c r="E511" s="74"/>
    </row>
    <row r="512">
      <c r="B512" s="74"/>
      <c r="C512" s="74"/>
      <c r="D512" s="74"/>
      <c r="E512" s="74"/>
    </row>
    <row r="513">
      <c r="B513" s="74"/>
      <c r="C513" s="74"/>
      <c r="D513" s="74"/>
      <c r="E513" s="74"/>
    </row>
    <row r="514">
      <c r="B514" s="74"/>
      <c r="C514" s="74"/>
      <c r="D514" s="74"/>
      <c r="E514" s="74"/>
    </row>
    <row r="515">
      <c r="B515" s="74"/>
      <c r="C515" s="74"/>
      <c r="D515" s="74"/>
      <c r="E515" s="74"/>
    </row>
    <row r="516">
      <c r="B516" s="74"/>
      <c r="C516" s="74"/>
      <c r="D516" s="74"/>
      <c r="E516" s="74"/>
    </row>
    <row r="517">
      <c r="B517" s="74"/>
      <c r="C517" s="74"/>
      <c r="D517" s="74"/>
      <c r="E517" s="74"/>
    </row>
    <row r="518">
      <c r="B518" s="74"/>
      <c r="C518" s="74"/>
      <c r="D518" s="74"/>
      <c r="E518" s="74"/>
    </row>
    <row r="519">
      <c r="B519" s="74"/>
      <c r="C519" s="74"/>
      <c r="D519" s="74"/>
      <c r="E519" s="74"/>
    </row>
    <row r="520">
      <c r="B520" s="74"/>
      <c r="C520" s="74"/>
      <c r="D520" s="74"/>
      <c r="E520" s="74"/>
    </row>
    <row r="521">
      <c r="B521" s="74"/>
      <c r="C521" s="74"/>
      <c r="D521" s="74"/>
      <c r="E521" s="74"/>
    </row>
    <row r="522">
      <c r="B522" s="74"/>
      <c r="C522" s="74"/>
      <c r="D522" s="74"/>
      <c r="E522" s="74"/>
    </row>
    <row r="523">
      <c r="B523" s="74"/>
      <c r="C523" s="74"/>
      <c r="D523" s="74"/>
      <c r="E523" s="74"/>
    </row>
    <row r="524">
      <c r="B524" s="74"/>
      <c r="C524" s="74"/>
      <c r="D524" s="74"/>
      <c r="E524" s="74"/>
    </row>
    <row r="525">
      <c r="B525" s="74"/>
      <c r="C525" s="74"/>
      <c r="D525" s="74"/>
      <c r="E525" s="74"/>
    </row>
    <row r="526">
      <c r="B526" s="74"/>
      <c r="C526" s="74"/>
      <c r="D526" s="74"/>
      <c r="E526" s="74"/>
    </row>
    <row r="527">
      <c r="B527" s="74"/>
      <c r="C527" s="74"/>
      <c r="D527" s="74"/>
      <c r="E527" s="74"/>
    </row>
    <row r="528">
      <c r="B528" s="74"/>
      <c r="C528" s="74"/>
      <c r="D528" s="74"/>
      <c r="E528" s="74"/>
    </row>
    <row r="529">
      <c r="B529" s="74"/>
      <c r="C529" s="74"/>
      <c r="D529" s="74"/>
      <c r="E529" s="74"/>
    </row>
    <row r="530">
      <c r="B530" s="74"/>
      <c r="C530" s="74"/>
      <c r="D530" s="74"/>
      <c r="E530" s="74"/>
    </row>
    <row r="531">
      <c r="B531" s="74"/>
      <c r="C531" s="74"/>
      <c r="D531" s="74"/>
      <c r="E531" s="74"/>
    </row>
    <row r="532">
      <c r="B532" s="74"/>
      <c r="C532" s="74"/>
      <c r="D532" s="74"/>
      <c r="E532" s="74"/>
    </row>
    <row r="533">
      <c r="B533" s="74"/>
      <c r="C533" s="74"/>
      <c r="D533" s="74"/>
      <c r="E533" s="74"/>
    </row>
    <row r="534">
      <c r="B534" s="74"/>
      <c r="C534" s="74"/>
      <c r="D534" s="74"/>
      <c r="E534" s="74"/>
    </row>
    <row r="535">
      <c r="B535" s="74"/>
      <c r="C535" s="74"/>
      <c r="D535" s="74"/>
      <c r="E535" s="74"/>
    </row>
    <row r="536">
      <c r="B536" s="74"/>
      <c r="C536" s="74"/>
      <c r="D536" s="74"/>
      <c r="E536" s="74"/>
    </row>
    <row r="537">
      <c r="B537" s="74"/>
      <c r="C537" s="74"/>
      <c r="D537" s="74"/>
      <c r="E537" s="74"/>
    </row>
    <row r="538">
      <c r="B538" s="74"/>
      <c r="C538" s="74"/>
      <c r="D538" s="74"/>
      <c r="E538" s="74"/>
    </row>
    <row r="539">
      <c r="B539" s="74"/>
      <c r="C539" s="74"/>
      <c r="D539" s="74"/>
      <c r="E539" s="74"/>
    </row>
    <row r="540">
      <c r="B540" s="74"/>
      <c r="C540" s="74"/>
      <c r="D540" s="74"/>
      <c r="E540" s="74"/>
    </row>
    <row r="541">
      <c r="B541" s="74"/>
      <c r="C541" s="74"/>
      <c r="D541" s="74"/>
      <c r="E541" s="74"/>
    </row>
    <row r="542">
      <c r="B542" s="74"/>
      <c r="C542" s="74"/>
      <c r="D542" s="74"/>
      <c r="E542" s="74"/>
    </row>
    <row r="543">
      <c r="B543" s="74"/>
      <c r="C543" s="74"/>
      <c r="D543" s="74"/>
      <c r="E543" s="74"/>
    </row>
    <row r="544">
      <c r="B544" s="74"/>
      <c r="C544" s="74"/>
      <c r="D544" s="74"/>
      <c r="E544" s="74"/>
    </row>
    <row r="545">
      <c r="B545" s="74"/>
      <c r="C545" s="74"/>
      <c r="D545" s="74"/>
      <c r="E545" s="74"/>
    </row>
    <row r="546">
      <c r="B546" s="74"/>
      <c r="C546" s="74"/>
      <c r="D546" s="74"/>
      <c r="E546" s="74"/>
    </row>
    <row r="547">
      <c r="B547" s="74"/>
      <c r="C547" s="74"/>
      <c r="D547" s="74"/>
      <c r="E547" s="74"/>
    </row>
    <row r="548">
      <c r="B548" s="74"/>
      <c r="C548" s="74"/>
      <c r="D548" s="74"/>
      <c r="E548" s="74"/>
    </row>
    <row r="549">
      <c r="B549" s="74"/>
      <c r="C549" s="74"/>
      <c r="D549" s="74"/>
      <c r="E549" s="74"/>
    </row>
    <row r="550">
      <c r="B550" s="74"/>
      <c r="C550" s="74"/>
      <c r="D550" s="74"/>
      <c r="E550" s="74"/>
    </row>
    <row r="551">
      <c r="B551" s="74"/>
      <c r="C551" s="74"/>
      <c r="D551" s="74"/>
      <c r="E551" s="74"/>
    </row>
    <row r="552">
      <c r="B552" s="74"/>
      <c r="C552" s="74"/>
      <c r="D552" s="74"/>
      <c r="E552" s="74"/>
    </row>
    <row r="553">
      <c r="B553" s="74"/>
      <c r="C553" s="74"/>
      <c r="D553" s="74"/>
      <c r="E553" s="74"/>
    </row>
    <row r="554">
      <c r="B554" s="74"/>
      <c r="C554" s="74"/>
      <c r="D554" s="74"/>
      <c r="E554" s="74"/>
    </row>
    <row r="555">
      <c r="B555" s="74"/>
      <c r="C555" s="74"/>
      <c r="D555" s="74"/>
      <c r="E555" s="74"/>
    </row>
    <row r="556">
      <c r="B556" s="74"/>
      <c r="C556" s="74"/>
      <c r="D556" s="74"/>
      <c r="E556" s="74"/>
    </row>
    <row r="557">
      <c r="B557" s="74"/>
      <c r="C557" s="74"/>
      <c r="D557" s="74"/>
      <c r="E557" s="74"/>
    </row>
    <row r="558">
      <c r="B558" s="74"/>
      <c r="C558" s="74"/>
      <c r="D558" s="74"/>
      <c r="E558" s="74"/>
    </row>
    <row r="559">
      <c r="B559" s="74"/>
      <c r="C559" s="74"/>
      <c r="D559" s="74"/>
      <c r="E559" s="74"/>
    </row>
    <row r="560">
      <c r="B560" s="74"/>
      <c r="C560" s="74"/>
      <c r="D560" s="74"/>
      <c r="E560" s="74"/>
    </row>
    <row r="561">
      <c r="B561" s="74"/>
      <c r="C561" s="74"/>
      <c r="D561" s="74"/>
      <c r="E561" s="74"/>
    </row>
    <row r="562">
      <c r="B562" s="74"/>
      <c r="C562" s="74"/>
      <c r="D562" s="74"/>
      <c r="E562" s="74"/>
    </row>
    <row r="563">
      <c r="B563" s="74"/>
      <c r="C563" s="74"/>
      <c r="D563" s="74"/>
      <c r="E563" s="74"/>
    </row>
    <row r="564">
      <c r="B564" s="74"/>
      <c r="C564" s="74"/>
      <c r="D564" s="74"/>
      <c r="E564" s="74"/>
    </row>
    <row r="565">
      <c r="B565" s="74"/>
      <c r="C565" s="74"/>
      <c r="D565" s="74"/>
      <c r="E565" s="74"/>
    </row>
    <row r="566">
      <c r="B566" s="74"/>
      <c r="C566" s="74"/>
      <c r="D566" s="74"/>
      <c r="E566" s="74"/>
    </row>
    <row r="567">
      <c r="B567" s="74"/>
      <c r="C567" s="74"/>
      <c r="D567" s="74"/>
      <c r="E567" s="74"/>
    </row>
    <row r="568">
      <c r="B568" s="74"/>
      <c r="C568" s="74"/>
      <c r="D568" s="74"/>
      <c r="E568" s="74"/>
    </row>
    <row r="569">
      <c r="B569" s="74"/>
      <c r="C569" s="74"/>
      <c r="D569" s="74"/>
      <c r="E569" s="74"/>
    </row>
    <row r="570">
      <c r="B570" s="74"/>
      <c r="C570" s="74"/>
      <c r="D570" s="74"/>
      <c r="E570" s="74"/>
    </row>
    <row r="571">
      <c r="B571" s="74"/>
      <c r="C571" s="74"/>
      <c r="D571" s="74"/>
      <c r="E571" s="74"/>
    </row>
    <row r="572">
      <c r="B572" s="74"/>
      <c r="C572" s="74"/>
      <c r="D572" s="74"/>
      <c r="E572" s="74"/>
    </row>
    <row r="573">
      <c r="B573" s="74"/>
      <c r="C573" s="74"/>
      <c r="D573" s="74"/>
      <c r="E573" s="74"/>
    </row>
    <row r="574">
      <c r="B574" s="74"/>
      <c r="C574" s="74"/>
      <c r="D574" s="74"/>
      <c r="E574" s="74"/>
    </row>
    <row r="575">
      <c r="B575" s="74"/>
      <c r="C575" s="74"/>
      <c r="D575" s="74"/>
      <c r="E575" s="74"/>
    </row>
    <row r="576">
      <c r="B576" s="74"/>
      <c r="C576" s="74"/>
      <c r="D576" s="74"/>
      <c r="E576" s="74"/>
    </row>
    <row r="577">
      <c r="B577" s="74"/>
      <c r="C577" s="74"/>
      <c r="D577" s="74"/>
      <c r="E577" s="74"/>
    </row>
    <row r="578">
      <c r="B578" s="74"/>
      <c r="C578" s="74"/>
      <c r="D578" s="74"/>
      <c r="E578" s="74"/>
    </row>
    <row r="579">
      <c r="B579" s="74"/>
      <c r="C579" s="74"/>
      <c r="D579" s="74"/>
      <c r="E579" s="74"/>
    </row>
    <row r="580">
      <c r="B580" s="74"/>
      <c r="C580" s="74"/>
      <c r="D580" s="74"/>
      <c r="E580" s="74"/>
    </row>
    <row r="581">
      <c r="B581" s="74"/>
      <c r="C581" s="74"/>
      <c r="D581" s="74"/>
      <c r="E581" s="74"/>
    </row>
    <row r="582">
      <c r="B582" s="74"/>
      <c r="C582" s="74"/>
      <c r="D582" s="74"/>
      <c r="E582" s="74"/>
    </row>
    <row r="583">
      <c r="B583" s="74"/>
      <c r="C583" s="74"/>
      <c r="D583" s="74"/>
      <c r="E583" s="74"/>
    </row>
    <row r="584">
      <c r="B584" s="74"/>
      <c r="C584" s="74"/>
      <c r="D584" s="74"/>
      <c r="E584" s="74"/>
    </row>
    <row r="585">
      <c r="B585" s="74"/>
      <c r="C585" s="74"/>
      <c r="D585" s="74"/>
      <c r="E585" s="74"/>
    </row>
    <row r="586">
      <c r="B586" s="74"/>
      <c r="C586" s="74"/>
      <c r="D586" s="74"/>
      <c r="E586" s="74"/>
    </row>
    <row r="587">
      <c r="B587" s="74"/>
      <c r="C587" s="74"/>
      <c r="D587" s="74"/>
      <c r="E587" s="74"/>
    </row>
    <row r="588">
      <c r="B588" s="74"/>
      <c r="C588" s="74"/>
      <c r="D588" s="74"/>
      <c r="E588" s="74"/>
    </row>
    <row r="589">
      <c r="B589" s="74"/>
      <c r="C589" s="74"/>
      <c r="D589" s="74"/>
      <c r="E589" s="74"/>
    </row>
    <row r="590">
      <c r="B590" s="74"/>
      <c r="C590" s="74"/>
      <c r="D590" s="74"/>
      <c r="E590" s="74"/>
    </row>
    <row r="591">
      <c r="B591" s="74"/>
      <c r="C591" s="74"/>
      <c r="D591" s="74"/>
      <c r="E591" s="74"/>
    </row>
    <row r="592">
      <c r="B592" s="74"/>
      <c r="C592" s="74"/>
      <c r="D592" s="74"/>
      <c r="E592" s="74"/>
    </row>
    <row r="593">
      <c r="B593" s="74"/>
      <c r="C593" s="74"/>
      <c r="D593" s="74"/>
      <c r="E593" s="74"/>
    </row>
    <row r="594">
      <c r="B594" s="74"/>
      <c r="C594" s="74"/>
      <c r="D594" s="74"/>
      <c r="E594" s="74"/>
    </row>
    <row r="595">
      <c r="B595" s="74"/>
      <c r="C595" s="74"/>
      <c r="D595" s="74"/>
      <c r="E595" s="74"/>
    </row>
    <row r="596">
      <c r="B596" s="74"/>
      <c r="C596" s="74"/>
      <c r="D596" s="74"/>
      <c r="E596" s="74"/>
    </row>
    <row r="597">
      <c r="B597" s="74"/>
      <c r="C597" s="74"/>
      <c r="D597" s="74"/>
      <c r="E597" s="74"/>
    </row>
    <row r="598">
      <c r="B598" s="74"/>
      <c r="C598" s="74"/>
      <c r="D598" s="74"/>
      <c r="E598" s="74"/>
    </row>
    <row r="599">
      <c r="B599" s="74"/>
      <c r="C599" s="74"/>
      <c r="D599" s="74"/>
      <c r="E599" s="74"/>
    </row>
    <row r="600">
      <c r="B600" s="74"/>
      <c r="C600" s="74"/>
      <c r="D600" s="74"/>
      <c r="E600" s="74"/>
    </row>
    <row r="601">
      <c r="B601" s="74"/>
      <c r="C601" s="74"/>
      <c r="D601" s="74"/>
      <c r="E601" s="74"/>
    </row>
    <row r="602">
      <c r="B602" s="74"/>
      <c r="C602" s="74"/>
      <c r="D602" s="74"/>
      <c r="E602" s="74"/>
    </row>
    <row r="603">
      <c r="B603" s="74"/>
      <c r="C603" s="74"/>
      <c r="D603" s="74"/>
      <c r="E603" s="74"/>
    </row>
    <row r="604">
      <c r="B604" s="74"/>
      <c r="C604" s="74"/>
      <c r="D604" s="74"/>
      <c r="E604" s="74"/>
    </row>
    <row r="605">
      <c r="B605" s="74"/>
      <c r="C605" s="74"/>
      <c r="D605" s="74"/>
      <c r="E605" s="74"/>
    </row>
    <row r="606">
      <c r="B606" s="74"/>
      <c r="C606" s="74"/>
      <c r="D606" s="74"/>
      <c r="E606" s="74"/>
    </row>
    <row r="607">
      <c r="B607" s="74"/>
      <c r="C607" s="74"/>
      <c r="D607" s="74"/>
      <c r="E607" s="74"/>
    </row>
    <row r="608">
      <c r="B608" s="74"/>
      <c r="C608" s="74"/>
      <c r="D608" s="74"/>
      <c r="E608" s="74"/>
    </row>
    <row r="609">
      <c r="B609" s="74"/>
      <c r="C609" s="74"/>
      <c r="D609" s="74"/>
      <c r="E609" s="74"/>
    </row>
    <row r="610">
      <c r="B610" s="74"/>
      <c r="C610" s="74"/>
      <c r="D610" s="74"/>
      <c r="E610" s="74"/>
    </row>
    <row r="611">
      <c r="B611" s="74"/>
      <c r="C611" s="74"/>
      <c r="D611" s="74"/>
      <c r="E611" s="74"/>
    </row>
    <row r="612">
      <c r="B612" s="74"/>
      <c r="C612" s="74"/>
      <c r="D612" s="74"/>
      <c r="E612" s="74"/>
    </row>
    <row r="613">
      <c r="B613" s="74"/>
      <c r="C613" s="74"/>
      <c r="D613" s="74"/>
      <c r="E613" s="74"/>
    </row>
    <row r="614">
      <c r="B614" s="74"/>
      <c r="C614" s="74"/>
      <c r="D614" s="74"/>
      <c r="E614" s="74"/>
    </row>
    <row r="615">
      <c r="B615" s="74"/>
      <c r="C615" s="74"/>
      <c r="D615" s="74"/>
      <c r="E615" s="74"/>
    </row>
    <row r="616">
      <c r="B616" s="74"/>
      <c r="C616" s="74"/>
      <c r="D616" s="74"/>
      <c r="E616" s="74"/>
    </row>
    <row r="617">
      <c r="B617" s="74"/>
      <c r="C617" s="74"/>
      <c r="D617" s="74"/>
      <c r="E617" s="74"/>
    </row>
    <row r="618">
      <c r="B618" s="74"/>
      <c r="C618" s="74"/>
      <c r="D618" s="74"/>
      <c r="E618" s="74"/>
    </row>
    <row r="619">
      <c r="B619" s="74"/>
      <c r="C619" s="74"/>
      <c r="D619" s="74"/>
      <c r="E619" s="74"/>
    </row>
    <row r="620">
      <c r="B620" s="74"/>
      <c r="C620" s="74"/>
      <c r="D620" s="74"/>
      <c r="E620" s="74"/>
    </row>
    <row r="621">
      <c r="B621" s="74"/>
      <c r="C621" s="74"/>
      <c r="D621" s="74"/>
      <c r="E621" s="74"/>
    </row>
    <row r="622">
      <c r="B622" s="74"/>
      <c r="C622" s="74"/>
      <c r="D622" s="74"/>
      <c r="E622" s="74"/>
    </row>
    <row r="623">
      <c r="B623" s="74"/>
      <c r="C623" s="74"/>
      <c r="D623" s="74"/>
      <c r="E623" s="74"/>
    </row>
    <row r="624">
      <c r="B624" s="74"/>
      <c r="C624" s="74"/>
      <c r="D624" s="74"/>
      <c r="E624" s="74"/>
    </row>
    <row r="625">
      <c r="B625" s="74"/>
      <c r="C625" s="74"/>
      <c r="D625" s="74"/>
      <c r="E625" s="74"/>
    </row>
    <row r="626">
      <c r="B626" s="74"/>
      <c r="C626" s="74"/>
      <c r="D626" s="74"/>
      <c r="E626" s="74"/>
    </row>
    <row r="627">
      <c r="B627" s="74"/>
      <c r="C627" s="74"/>
      <c r="D627" s="74"/>
      <c r="E627" s="74"/>
    </row>
    <row r="628">
      <c r="B628" s="74"/>
      <c r="C628" s="74"/>
      <c r="D628" s="74"/>
      <c r="E628" s="74"/>
    </row>
    <row r="629">
      <c r="B629" s="74"/>
      <c r="C629" s="74"/>
      <c r="D629" s="74"/>
      <c r="E629" s="74"/>
    </row>
    <row r="630">
      <c r="B630" s="74"/>
      <c r="C630" s="74"/>
      <c r="D630" s="74"/>
      <c r="E630" s="74"/>
    </row>
    <row r="631">
      <c r="B631" s="74"/>
      <c r="C631" s="74"/>
      <c r="D631" s="74"/>
      <c r="E631" s="74"/>
    </row>
    <row r="632">
      <c r="B632" s="74"/>
      <c r="C632" s="74"/>
      <c r="D632" s="74"/>
      <c r="E632" s="74"/>
    </row>
    <row r="633">
      <c r="B633" s="74"/>
      <c r="C633" s="74"/>
      <c r="D633" s="74"/>
      <c r="E633" s="74"/>
    </row>
    <row r="634">
      <c r="B634" s="74"/>
      <c r="C634" s="74"/>
      <c r="D634" s="74"/>
      <c r="E634" s="74"/>
    </row>
    <row r="635">
      <c r="B635" s="74"/>
      <c r="C635" s="74"/>
      <c r="D635" s="74"/>
      <c r="E635" s="74"/>
    </row>
    <row r="636">
      <c r="B636" s="74"/>
      <c r="C636" s="74"/>
      <c r="D636" s="74"/>
      <c r="E636" s="74"/>
    </row>
    <row r="637">
      <c r="B637" s="74"/>
      <c r="C637" s="74"/>
      <c r="D637" s="74"/>
      <c r="E637" s="74"/>
    </row>
    <row r="638">
      <c r="B638" s="74"/>
      <c r="C638" s="74"/>
      <c r="D638" s="74"/>
      <c r="E638" s="74"/>
    </row>
    <row r="639">
      <c r="B639" s="74"/>
      <c r="C639" s="74"/>
      <c r="D639" s="74"/>
      <c r="E639" s="74"/>
    </row>
    <row r="640">
      <c r="B640" s="74"/>
      <c r="C640" s="74"/>
      <c r="D640" s="74"/>
      <c r="E640" s="74"/>
    </row>
    <row r="641">
      <c r="B641" s="74"/>
      <c r="C641" s="74"/>
      <c r="D641" s="74"/>
      <c r="E641" s="74"/>
    </row>
    <row r="642">
      <c r="B642" s="74"/>
      <c r="C642" s="74"/>
      <c r="D642" s="74"/>
      <c r="E642" s="74"/>
    </row>
    <row r="643">
      <c r="B643" s="74"/>
      <c r="C643" s="74"/>
      <c r="D643" s="74"/>
      <c r="E643" s="74"/>
    </row>
    <row r="644">
      <c r="B644" s="74"/>
      <c r="C644" s="74"/>
      <c r="D644" s="74"/>
      <c r="E644" s="74"/>
    </row>
    <row r="645">
      <c r="B645" s="74"/>
      <c r="C645" s="74"/>
      <c r="D645" s="74"/>
      <c r="E645" s="74"/>
    </row>
    <row r="646">
      <c r="B646" s="74"/>
      <c r="C646" s="74"/>
      <c r="D646" s="74"/>
      <c r="E646" s="74"/>
    </row>
    <row r="647">
      <c r="B647" s="74"/>
      <c r="C647" s="74"/>
      <c r="D647" s="74"/>
      <c r="E647" s="74"/>
    </row>
    <row r="648">
      <c r="B648" s="74"/>
      <c r="C648" s="74"/>
      <c r="D648" s="74"/>
      <c r="E648" s="74"/>
    </row>
    <row r="649">
      <c r="B649" s="74"/>
      <c r="C649" s="74"/>
      <c r="D649" s="74"/>
      <c r="E649" s="74"/>
    </row>
    <row r="650">
      <c r="B650" s="74"/>
      <c r="C650" s="74"/>
      <c r="D650" s="74"/>
      <c r="E650" s="74"/>
    </row>
    <row r="651">
      <c r="B651" s="74"/>
      <c r="C651" s="74"/>
      <c r="D651" s="74"/>
      <c r="E651" s="74"/>
    </row>
    <row r="652">
      <c r="B652" s="74"/>
      <c r="C652" s="74"/>
      <c r="D652" s="74"/>
      <c r="E652" s="74"/>
    </row>
    <row r="653">
      <c r="B653" s="74"/>
      <c r="C653" s="74"/>
      <c r="D653" s="74"/>
      <c r="E653" s="74"/>
    </row>
    <row r="654">
      <c r="B654" s="74"/>
      <c r="C654" s="74"/>
      <c r="D654" s="74"/>
      <c r="E654" s="74"/>
    </row>
    <row r="655">
      <c r="B655" s="74"/>
      <c r="C655" s="74"/>
      <c r="D655" s="74"/>
      <c r="E655" s="74"/>
    </row>
    <row r="656">
      <c r="B656" s="74"/>
      <c r="C656" s="74"/>
      <c r="D656" s="74"/>
      <c r="E656" s="74"/>
    </row>
    <row r="657">
      <c r="B657" s="74"/>
      <c r="C657" s="74"/>
      <c r="D657" s="74"/>
      <c r="E657" s="74"/>
    </row>
    <row r="658">
      <c r="B658" s="74"/>
      <c r="C658" s="74"/>
      <c r="D658" s="74"/>
      <c r="E658" s="74"/>
    </row>
    <row r="659">
      <c r="B659" s="74"/>
      <c r="C659" s="74"/>
      <c r="D659" s="74"/>
      <c r="E659" s="74"/>
    </row>
    <row r="660">
      <c r="B660" s="74"/>
      <c r="C660" s="74"/>
      <c r="D660" s="74"/>
      <c r="E660" s="74"/>
    </row>
    <row r="661">
      <c r="B661" s="74"/>
      <c r="C661" s="74"/>
      <c r="D661" s="74"/>
      <c r="E661" s="74"/>
    </row>
    <row r="662">
      <c r="B662" s="74"/>
      <c r="C662" s="74"/>
      <c r="D662" s="74"/>
      <c r="E662" s="74"/>
    </row>
    <row r="663">
      <c r="B663" s="74"/>
      <c r="C663" s="74"/>
      <c r="D663" s="74"/>
      <c r="E663" s="74"/>
    </row>
    <row r="664">
      <c r="B664" s="74"/>
      <c r="C664" s="74"/>
      <c r="D664" s="74"/>
      <c r="E664" s="74"/>
    </row>
    <row r="665">
      <c r="B665" s="74"/>
      <c r="C665" s="74"/>
      <c r="D665" s="74"/>
      <c r="E665" s="74"/>
    </row>
    <row r="666">
      <c r="B666" s="74"/>
      <c r="C666" s="74"/>
      <c r="D666" s="74"/>
      <c r="E666" s="74"/>
    </row>
    <row r="667">
      <c r="B667" s="74"/>
      <c r="C667" s="74"/>
      <c r="D667" s="74"/>
      <c r="E667" s="74"/>
    </row>
    <row r="668">
      <c r="B668" s="74"/>
      <c r="C668" s="74"/>
      <c r="D668" s="74"/>
      <c r="E668" s="74"/>
    </row>
    <row r="669">
      <c r="B669" s="74"/>
      <c r="C669" s="74"/>
      <c r="D669" s="74"/>
      <c r="E669" s="74"/>
    </row>
    <row r="670">
      <c r="B670" s="74"/>
      <c r="C670" s="74"/>
      <c r="D670" s="74"/>
      <c r="E670" s="74"/>
    </row>
    <row r="671">
      <c r="B671" s="74"/>
      <c r="C671" s="74"/>
      <c r="D671" s="74"/>
      <c r="E671" s="74"/>
    </row>
    <row r="672">
      <c r="B672" s="74"/>
      <c r="C672" s="74"/>
      <c r="D672" s="74"/>
      <c r="E672" s="74"/>
    </row>
    <row r="673">
      <c r="B673" s="74"/>
      <c r="C673" s="74"/>
      <c r="D673" s="74"/>
      <c r="E673" s="74"/>
    </row>
    <row r="674">
      <c r="B674" s="74"/>
      <c r="C674" s="74"/>
      <c r="D674" s="74"/>
      <c r="E674" s="74"/>
    </row>
    <row r="675">
      <c r="B675" s="74"/>
      <c r="C675" s="74"/>
      <c r="D675" s="74"/>
      <c r="E675" s="74"/>
    </row>
    <row r="676">
      <c r="B676" s="74"/>
      <c r="C676" s="74"/>
      <c r="D676" s="74"/>
      <c r="E676" s="74"/>
    </row>
    <row r="677">
      <c r="B677" s="74"/>
      <c r="C677" s="74"/>
      <c r="D677" s="74"/>
      <c r="E677" s="74"/>
    </row>
    <row r="678">
      <c r="B678" s="74"/>
      <c r="C678" s="74"/>
      <c r="D678" s="74"/>
      <c r="E678" s="74"/>
    </row>
    <row r="679">
      <c r="B679" s="74"/>
      <c r="C679" s="74"/>
      <c r="D679" s="74"/>
      <c r="E679" s="74"/>
    </row>
    <row r="680">
      <c r="B680" s="74"/>
      <c r="C680" s="74"/>
      <c r="D680" s="74"/>
      <c r="E680" s="74"/>
    </row>
    <row r="681">
      <c r="B681" s="74"/>
      <c r="C681" s="74"/>
      <c r="D681" s="74"/>
      <c r="E681" s="74"/>
    </row>
    <row r="682">
      <c r="B682" s="74"/>
      <c r="C682" s="74"/>
      <c r="D682" s="74"/>
      <c r="E682" s="74"/>
    </row>
    <row r="683">
      <c r="B683" s="74"/>
      <c r="C683" s="74"/>
      <c r="D683" s="74"/>
      <c r="E683" s="74"/>
    </row>
    <row r="684">
      <c r="B684" s="74"/>
      <c r="C684" s="74"/>
      <c r="D684" s="74"/>
      <c r="E684" s="74"/>
    </row>
    <row r="685">
      <c r="B685" s="74"/>
      <c r="C685" s="74"/>
      <c r="D685" s="74"/>
      <c r="E685" s="74"/>
    </row>
    <row r="686">
      <c r="B686" s="74"/>
      <c r="C686" s="74"/>
      <c r="D686" s="74"/>
      <c r="E686" s="74"/>
    </row>
    <row r="687">
      <c r="B687" s="74"/>
      <c r="C687" s="74"/>
      <c r="D687" s="74"/>
      <c r="E687" s="74"/>
    </row>
    <row r="688">
      <c r="B688" s="74"/>
      <c r="C688" s="74"/>
      <c r="D688" s="74"/>
      <c r="E688" s="74"/>
    </row>
    <row r="689">
      <c r="B689" s="74"/>
      <c r="C689" s="74"/>
      <c r="D689" s="74"/>
      <c r="E689" s="74"/>
    </row>
    <row r="690">
      <c r="B690" s="74"/>
      <c r="C690" s="74"/>
      <c r="D690" s="74"/>
      <c r="E690" s="74"/>
    </row>
    <row r="691">
      <c r="B691" s="74"/>
      <c r="C691" s="74"/>
      <c r="D691" s="74"/>
      <c r="E691" s="74"/>
    </row>
    <row r="692">
      <c r="B692" s="74"/>
      <c r="C692" s="74"/>
      <c r="D692" s="74"/>
      <c r="E692" s="74"/>
    </row>
    <row r="693">
      <c r="B693" s="74"/>
      <c r="C693" s="74"/>
      <c r="D693" s="74"/>
      <c r="E693" s="74"/>
    </row>
    <row r="694">
      <c r="B694" s="74"/>
      <c r="C694" s="74"/>
      <c r="D694" s="74"/>
      <c r="E694" s="74"/>
    </row>
    <row r="695">
      <c r="B695" s="74"/>
      <c r="C695" s="74"/>
      <c r="D695" s="74"/>
      <c r="E695" s="74"/>
    </row>
    <row r="696">
      <c r="B696" s="74"/>
      <c r="C696" s="74"/>
      <c r="D696" s="74"/>
      <c r="E696" s="74"/>
    </row>
    <row r="697">
      <c r="B697" s="74"/>
      <c r="C697" s="74"/>
      <c r="D697" s="74"/>
      <c r="E697" s="74"/>
    </row>
    <row r="698">
      <c r="B698" s="74"/>
      <c r="C698" s="74"/>
      <c r="D698" s="74"/>
      <c r="E698" s="74"/>
    </row>
    <row r="699">
      <c r="B699" s="74"/>
      <c r="C699" s="74"/>
      <c r="D699" s="74"/>
      <c r="E699" s="74"/>
    </row>
    <row r="700">
      <c r="B700" s="74"/>
      <c r="C700" s="74"/>
      <c r="D700" s="74"/>
      <c r="E700" s="74"/>
    </row>
    <row r="701">
      <c r="B701" s="74"/>
      <c r="C701" s="74"/>
      <c r="D701" s="74"/>
      <c r="E701" s="74"/>
    </row>
    <row r="702">
      <c r="B702" s="74"/>
      <c r="C702" s="74"/>
      <c r="D702" s="74"/>
      <c r="E702" s="74"/>
    </row>
    <row r="703">
      <c r="B703" s="74"/>
      <c r="C703" s="74"/>
      <c r="D703" s="74"/>
      <c r="E703" s="74"/>
    </row>
    <row r="704">
      <c r="B704" s="74"/>
      <c r="C704" s="74"/>
      <c r="D704" s="74"/>
      <c r="E704" s="74"/>
    </row>
    <row r="705">
      <c r="B705" s="74"/>
      <c r="C705" s="74"/>
      <c r="D705" s="74"/>
      <c r="E705" s="74"/>
    </row>
    <row r="706">
      <c r="B706" s="74"/>
      <c r="C706" s="74"/>
      <c r="D706" s="74"/>
      <c r="E706" s="74"/>
    </row>
    <row r="707">
      <c r="B707" s="74"/>
      <c r="C707" s="74"/>
      <c r="D707" s="74"/>
      <c r="E707" s="74"/>
    </row>
    <row r="708">
      <c r="B708" s="74"/>
      <c r="C708" s="74"/>
      <c r="D708" s="74"/>
      <c r="E708" s="74"/>
    </row>
    <row r="709">
      <c r="B709" s="74"/>
      <c r="C709" s="74"/>
      <c r="D709" s="74"/>
      <c r="E709" s="74"/>
    </row>
    <row r="710">
      <c r="B710" s="74"/>
      <c r="C710" s="74"/>
      <c r="D710" s="74"/>
      <c r="E710" s="74"/>
    </row>
    <row r="711">
      <c r="B711" s="74"/>
      <c r="C711" s="74"/>
      <c r="D711" s="74"/>
      <c r="E711" s="74"/>
    </row>
    <row r="712">
      <c r="B712" s="74"/>
      <c r="C712" s="74"/>
      <c r="D712" s="74"/>
      <c r="E712" s="74"/>
    </row>
    <row r="713">
      <c r="B713" s="74"/>
      <c r="C713" s="74"/>
      <c r="D713" s="74"/>
      <c r="E713" s="74"/>
    </row>
    <row r="714">
      <c r="B714" s="74"/>
      <c r="C714" s="74"/>
      <c r="D714" s="74"/>
      <c r="E714" s="74"/>
    </row>
    <row r="715">
      <c r="B715" s="74"/>
      <c r="C715" s="74"/>
      <c r="D715" s="74"/>
      <c r="E715" s="74"/>
    </row>
    <row r="716">
      <c r="B716" s="74"/>
      <c r="C716" s="74"/>
      <c r="D716" s="74"/>
      <c r="E716" s="74"/>
    </row>
    <row r="717">
      <c r="B717" s="74"/>
      <c r="C717" s="74"/>
      <c r="D717" s="74"/>
      <c r="E717" s="74"/>
    </row>
    <row r="718">
      <c r="B718" s="74"/>
      <c r="C718" s="74"/>
      <c r="D718" s="74"/>
      <c r="E718" s="74"/>
    </row>
    <row r="719">
      <c r="B719" s="74"/>
      <c r="C719" s="74"/>
      <c r="D719" s="74"/>
      <c r="E719" s="74"/>
    </row>
    <row r="720">
      <c r="B720" s="74"/>
      <c r="C720" s="74"/>
      <c r="D720" s="74"/>
      <c r="E720" s="74"/>
    </row>
    <row r="721">
      <c r="B721" s="74"/>
      <c r="C721" s="74"/>
      <c r="D721" s="74"/>
      <c r="E721" s="74"/>
    </row>
    <row r="722">
      <c r="B722" s="74"/>
      <c r="C722" s="74"/>
      <c r="D722" s="74"/>
      <c r="E722" s="74"/>
    </row>
    <row r="723">
      <c r="B723" s="74"/>
      <c r="C723" s="74"/>
      <c r="D723" s="74"/>
      <c r="E723" s="74"/>
    </row>
    <row r="724">
      <c r="B724" s="74"/>
      <c r="C724" s="74"/>
      <c r="D724" s="74"/>
      <c r="E724" s="74"/>
    </row>
    <row r="725">
      <c r="B725" s="74"/>
      <c r="C725" s="74"/>
      <c r="D725" s="74"/>
      <c r="E725" s="74"/>
    </row>
    <row r="726">
      <c r="B726" s="74"/>
      <c r="C726" s="74"/>
      <c r="D726" s="74"/>
      <c r="E726" s="74"/>
    </row>
    <row r="727">
      <c r="B727" s="74"/>
      <c r="C727" s="74"/>
      <c r="D727" s="74"/>
      <c r="E727" s="74"/>
    </row>
    <row r="728">
      <c r="B728" s="74"/>
      <c r="C728" s="74"/>
      <c r="D728" s="74"/>
      <c r="E728" s="74"/>
    </row>
    <row r="729">
      <c r="B729" s="74"/>
      <c r="C729" s="74"/>
      <c r="D729" s="74"/>
      <c r="E729" s="74"/>
    </row>
    <row r="730">
      <c r="B730" s="74"/>
      <c r="C730" s="74"/>
      <c r="D730" s="74"/>
      <c r="E730" s="74"/>
    </row>
    <row r="731">
      <c r="B731" s="74"/>
      <c r="C731" s="74"/>
      <c r="D731" s="74"/>
      <c r="E731" s="74"/>
    </row>
    <row r="732">
      <c r="B732" s="74"/>
      <c r="C732" s="74"/>
      <c r="D732" s="74"/>
      <c r="E732" s="74"/>
    </row>
    <row r="733">
      <c r="B733" s="74"/>
      <c r="C733" s="74"/>
      <c r="D733" s="74"/>
      <c r="E733" s="74"/>
    </row>
    <row r="734">
      <c r="B734" s="74"/>
      <c r="C734" s="74"/>
      <c r="D734" s="74"/>
      <c r="E734" s="74"/>
    </row>
    <row r="735">
      <c r="B735" s="74"/>
      <c r="C735" s="74"/>
      <c r="D735" s="74"/>
      <c r="E735" s="74"/>
    </row>
    <row r="736">
      <c r="B736" s="74"/>
      <c r="C736" s="74"/>
      <c r="D736" s="74"/>
      <c r="E736" s="74"/>
    </row>
    <row r="737">
      <c r="B737" s="74"/>
      <c r="C737" s="74"/>
      <c r="D737" s="74"/>
      <c r="E737" s="74"/>
    </row>
    <row r="738">
      <c r="B738" s="74"/>
      <c r="C738" s="74"/>
      <c r="D738" s="74"/>
      <c r="E738" s="74"/>
    </row>
    <row r="739">
      <c r="B739" s="74"/>
      <c r="C739" s="74"/>
      <c r="D739" s="74"/>
      <c r="E739" s="74"/>
    </row>
    <row r="740">
      <c r="B740" s="74"/>
      <c r="C740" s="74"/>
      <c r="D740" s="74"/>
      <c r="E740" s="74"/>
    </row>
    <row r="741">
      <c r="B741" s="74"/>
      <c r="C741" s="74"/>
      <c r="D741" s="74"/>
      <c r="E741" s="74"/>
    </row>
    <row r="742">
      <c r="B742" s="74"/>
      <c r="C742" s="74"/>
      <c r="D742" s="74"/>
      <c r="E742" s="74"/>
    </row>
    <row r="743">
      <c r="B743" s="74"/>
      <c r="C743" s="74"/>
      <c r="D743" s="74"/>
      <c r="E743" s="74"/>
    </row>
    <row r="744">
      <c r="B744" s="74"/>
      <c r="C744" s="74"/>
      <c r="D744" s="74"/>
      <c r="E744" s="74"/>
    </row>
    <row r="745">
      <c r="B745" s="74"/>
      <c r="C745" s="74"/>
      <c r="D745" s="74"/>
      <c r="E745" s="74"/>
    </row>
    <row r="746">
      <c r="B746" s="74"/>
      <c r="C746" s="74"/>
      <c r="D746" s="74"/>
      <c r="E746" s="74"/>
    </row>
    <row r="747">
      <c r="B747" s="74"/>
      <c r="C747" s="74"/>
      <c r="D747" s="74"/>
      <c r="E747" s="74"/>
    </row>
    <row r="748">
      <c r="B748" s="74"/>
      <c r="C748" s="74"/>
      <c r="D748" s="74"/>
      <c r="E748" s="74"/>
    </row>
    <row r="749">
      <c r="B749" s="74"/>
      <c r="C749" s="74"/>
      <c r="D749" s="74"/>
      <c r="E749" s="74"/>
    </row>
    <row r="750">
      <c r="B750" s="74"/>
      <c r="C750" s="74"/>
      <c r="D750" s="74"/>
      <c r="E750" s="74"/>
    </row>
    <row r="751">
      <c r="B751" s="74"/>
      <c r="C751" s="74"/>
      <c r="D751" s="74"/>
      <c r="E751" s="74"/>
    </row>
    <row r="752">
      <c r="B752" s="74"/>
      <c r="C752" s="74"/>
      <c r="D752" s="74"/>
      <c r="E752" s="74"/>
    </row>
    <row r="753">
      <c r="B753" s="74"/>
      <c r="C753" s="74"/>
      <c r="D753" s="74"/>
      <c r="E753" s="74"/>
    </row>
    <row r="754">
      <c r="B754" s="74"/>
      <c r="C754" s="74"/>
      <c r="D754" s="74"/>
      <c r="E754" s="74"/>
    </row>
    <row r="755">
      <c r="B755" s="74"/>
      <c r="C755" s="74"/>
      <c r="D755" s="74"/>
      <c r="E755" s="74"/>
    </row>
    <row r="756">
      <c r="B756" s="74"/>
      <c r="C756" s="74"/>
      <c r="D756" s="74"/>
      <c r="E756" s="74"/>
    </row>
    <row r="757">
      <c r="B757" s="74"/>
      <c r="C757" s="74"/>
      <c r="D757" s="74"/>
      <c r="E757" s="74"/>
    </row>
    <row r="758">
      <c r="B758" s="74"/>
      <c r="C758" s="74"/>
      <c r="D758" s="74"/>
      <c r="E758" s="74"/>
    </row>
    <row r="759">
      <c r="B759" s="74"/>
      <c r="C759" s="74"/>
      <c r="D759" s="74"/>
      <c r="E759" s="74"/>
    </row>
    <row r="760">
      <c r="B760" s="74"/>
      <c r="C760" s="74"/>
      <c r="D760" s="74"/>
      <c r="E760" s="74"/>
    </row>
    <row r="761">
      <c r="B761" s="74"/>
      <c r="C761" s="74"/>
      <c r="D761" s="74"/>
      <c r="E761" s="74"/>
    </row>
    <row r="762">
      <c r="B762" s="74"/>
      <c r="C762" s="74"/>
      <c r="D762" s="74"/>
      <c r="E762" s="74"/>
    </row>
    <row r="763">
      <c r="B763" s="74"/>
      <c r="C763" s="74"/>
      <c r="D763" s="74"/>
      <c r="E763" s="74"/>
    </row>
    <row r="764">
      <c r="B764" s="74"/>
      <c r="C764" s="74"/>
      <c r="D764" s="74"/>
      <c r="E764" s="74"/>
    </row>
    <row r="765">
      <c r="B765" s="74"/>
      <c r="C765" s="74"/>
      <c r="D765" s="74"/>
      <c r="E765" s="74"/>
    </row>
    <row r="766">
      <c r="B766" s="74"/>
      <c r="C766" s="74"/>
      <c r="D766" s="74"/>
      <c r="E766" s="74"/>
    </row>
    <row r="767">
      <c r="B767" s="74"/>
      <c r="C767" s="74"/>
      <c r="D767" s="74"/>
      <c r="E767" s="74"/>
    </row>
    <row r="768">
      <c r="B768" s="74"/>
      <c r="C768" s="74"/>
      <c r="D768" s="74"/>
      <c r="E768" s="74"/>
    </row>
    <row r="769">
      <c r="B769" s="74"/>
      <c r="C769" s="74"/>
      <c r="D769" s="74"/>
      <c r="E769" s="74"/>
    </row>
    <row r="770">
      <c r="B770" s="74"/>
      <c r="C770" s="74"/>
      <c r="D770" s="74"/>
      <c r="E770" s="74"/>
    </row>
    <row r="771">
      <c r="B771" s="74"/>
      <c r="C771" s="74"/>
      <c r="D771" s="74"/>
      <c r="E771" s="74"/>
    </row>
    <row r="772">
      <c r="B772" s="74"/>
      <c r="C772" s="74"/>
      <c r="D772" s="74"/>
      <c r="E772" s="74"/>
    </row>
    <row r="773">
      <c r="B773" s="74"/>
      <c r="C773" s="74"/>
      <c r="D773" s="74"/>
      <c r="E773" s="74"/>
    </row>
    <row r="774">
      <c r="B774" s="74"/>
      <c r="C774" s="74"/>
      <c r="D774" s="74"/>
      <c r="E774" s="74"/>
    </row>
    <row r="775">
      <c r="B775" s="74"/>
      <c r="C775" s="74"/>
      <c r="D775" s="74"/>
      <c r="E775" s="74"/>
    </row>
    <row r="776">
      <c r="B776" s="74"/>
      <c r="C776" s="74"/>
      <c r="D776" s="74"/>
      <c r="E776" s="74"/>
    </row>
    <row r="777">
      <c r="B777" s="74"/>
      <c r="C777" s="74"/>
      <c r="D777" s="74"/>
      <c r="E777" s="74"/>
    </row>
    <row r="778">
      <c r="B778" s="74"/>
      <c r="C778" s="74"/>
      <c r="D778" s="74"/>
      <c r="E778" s="74"/>
    </row>
    <row r="779">
      <c r="B779" s="74"/>
      <c r="C779" s="74"/>
      <c r="D779" s="74"/>
      <c r="E779" s="74"/>
    </row>
    <row r="780">
      <c r="B780" s="74"/>
      <c r="C780" s="74"/>
      <c r="D780" s="74"/>
      <c r="E780" s="74"/>
    </row>
    <row r="781">
      <c r="B781" s="74"/>
      <c r="C781" s="74"/>
      <c r="D781" s="74"/>
      <c r="E781" s="74"/>
    </row>
    <row r="782">
      <c r="B782" s="74"/>
      <c r="C782" s="74"/>
      <c r="D782" s="74"/>
      <c r="E782" s="74"/>
    </row>
    <row r="783">
      <c r="B783" s="74"/>
      <c r="C783" s="74"/>
      <c r="D783" s="74"/>
      <c r="E783" s="74"/>
    </row>
    <row r="784">
      <c r="B784" s="74"/>
      <c r="C784" s="74"/>
      <c r="D784" s="74"/>
      <c r="E784" s="74"/>
    </row>
    <row r="785">
      <c r="B785" s="74"/>
      <c r="C785" s="74"/>
      <c r="D785" s="74"/>
      <c r="E785" s="74"/>
    </row>
    <row r="786">
      <c r="B786" s="74"/>
      <c r="C786" s="74"/>
      <c r="D786" s="74"/>
      <c r="E786" s="74"/>
    </row>
    <row r="787">
      <c r="B787" s="74"/>
      <c r="C787" s="74"/>
      <c r="D787" s="74"/>
      <c r="E787" s="74"/>
    </row>
    <row r="788">
      <c r="B788" s="74"/>
      <c r="C788" s="74"/>
      <c r="D788" s="74"/>
      <c r="E788" s="74"/>
    </row>
    <row r="789">
      <c r="B789" s="74"/>
      <c r="C789" s="74"/>
      <c r="D789" s="74"/>
      <c r="E789" s="74"/>
    </row>
    <row r="790">
      <c r="B790" s="74"/>
      <c r="C790" s="74"/>
      <c r="D790" s="74"/>
      <c r="E790" s="74"/>
    </row>
    <row r="791">
      <c r="B791" s="74"/>
      <c r="C791" s="74"/>
      <c r="D791" s="74"/>
      <c r="E791" s="74"/>
    </row>
    <row r="792">
      <c r="B792" s="74"/>
      <c r="C792" s="74"/>
      <c r="D792" s="74"/>
      <c r="E792" s="74"/>
    </row>
    <row r="793">
      <c r="B793" s="74"/>
      <c r="C793" s="74"/>
      <c r="D793" s="74"/>
      <c r="E793" s="74"/>
    </row>
    <row r="794">
      <c r="B794" s="74"/>
      <c r="C794" s="74"/>
      <c r="D794" s="74"/>
      <c r="E794" s="74"/>
    </row>
    <row r="795">
      <c r="B795" s="74"/>
      <c r="C795" s="74"/>
      <c r="D795" s="74"/>
      <c r="E795" s="74"/>
    </row>
    <row r="796">
      <c r="B796" s="74"/>
      <c r="C796" s="74"/>
      <c r="D796" s="74"/>
      <c r="E796" s="74"/>
    </row>
    <row r="797">
      <c r="B797" s="74"/>
      <c r="C797" s="74"/>
      <c r="D797" s="74"/>
      <c r="E797" s="74"/>
    </row>
    <row r="798">
      <c r="B798" s="74"/>
      <c r="C798" s="74"/>
      <c r="D798" s="74"/>
      <c r="E798" s="74"/>
    </row>
    <row r="799">
      <c r="B799" s="74"/>
      <c r="C799" s="74"/>
      <c r="D799" s="74"/>
      <c r="E799" s="74"/>
    </row>
    <row r="800">
      <c r="B800" s="74"/>
      <c r="C800" s="74"/>
      <c r="D800" s="74"/>
      <c r="E800" s="74"/>
    </row>
    <row r="801">
      <c r="B801" s="74"/>
      <c r="C801" s="74"/>
      <c r="D801" s="74"/>
      <c r="E801" s="74"/>
    </row>
    <row r="802">
      <c r="B802" s="74"/>
      <c r="C802" s="74"/>
      <c r="D802" s="74"/>
      <c r="E802" s="74"/>
    </row>
    <row r="803">
      <c r="B803" s="74"/>
      <c r="C803" s="74"/>
      <c r="D803" s="74"/>
      <c r="E803" s="74"/>
    </row>
    <row r="804">
      <c r="B804" s="74"/>
      <c r="C804" s="74"/>
      <c r="D804" s="74"/>
      <c r="E804" s="74"/>
    </row>
    <row r="805">
      <c r="B805" s="74"/>
      <c r="C805" s="74"/>
      <c r="D805" s="74"/>
      <c r="E805" s="74"/>
    </row>
    <row r="806">
      <c r="B806" s="74"/>
      <c r="C806" s="74"/>
      <c r="D806" s="74"/>
      <c r="E806" s="74"/>
    </row>
    <row r="807">
      <c r="B807" s="74"/>
      <c r="C807" s="74"/>
      <c r="D807" s="74"/>
      <c r="E807" s="74"/>
    </row>
    <row r="808">
      <c r="B808" s="74"/>
      <c r="C808" s="74"/>
      <c r="D808" s="74"/>
      <c r="E808" s="74"/>
    </row>
    <row r="809">
      <c r="B809" s="74"/>
      <c r="C809" s="74"/>
      <c r="D809" s="74"/>
      <c r="E809" s="74"/>
    </row>
    <row r="810">
      <c r="B810" s="74"/>
      <c r="C810" s="74"/>
      <c r="D810" s="74"/>
      <c r="E810" s="74"/>
    </row>
    <row r="811">
      <c r="B811" s="74"/>
      <c r="C811" s="74"/>
      <c r="D811" s="74"/>
      <c r="E811" s="74"/>
    </row>
    <row r="812">
      <c r="B812" s="74"/>
      <c r="C812" s="74"/>
      <c r="D812" s="74"/>
      <c r="E812" s="74"/>
    </row>
    <row r="813">
      <c r="B813" s="74"/>
      <c r="C813" s="74"/>
      <c r="D813" s="74"/>
      <c r="E813" s="74"/>
    </row>
    <row r="814">
      <c r="B814" s="74"/>
      <c r="C814" s="74"/>
      <c r="D814" s="74"/>
      <c r="E814" s="74"/>
    </row>
    <row r="815">
      <c r="B815" s="74"/>
      <c r="C815" s="74"/>
      <c r="D815" s="74"/>
      <c r="E815" s="74"/>
    </row>
    <row r="816">
      <c r="B816" s="74"/>
      <c r="C816" s="74"/>
      <c r="D816" s="74"/>
      <c r="E816" s="74"/>
    </row>
    <row r="817">
      <c r="B817" s="74"/>
      <c r="C817" s="74"/>
      <c r="D817" s="74"/>
      <c r="E817" s="74"/>
    </row>
    <row r="818">
      <c r="B818" s="74"/>
      <c r="C818" s="74"/>
      <c r="D818" s="74"/>
      <c r="E818" s="74"/>
    </row>
    <row r="819">
      <c r="B819" s="74"/>
      <c r="C819" s="74"/>
      <c r="D819" s="74"/>
      <c r="E819" s="74"/>
    </row>
    <row r="820">
      <c r="B820" s="74"/>
      <c r="C820" s="74"/>
      <c r="D820" s="74"/>
      <c r="E820" s="74"/>
    </row>
    <row r="821">
      <c r="B821" s="74"/>
      <c r="C821" s="74"/>
      <c r="D821" s="74"/>
      <c r="E821" s="74"/>
    </row>
    <row r="822">
      <c r="B822" s="74"/>
      <c r="C822" s="74"/>
      <c r="D822" s="74"/>
      <c r="E822" s="74"/>
    </row>
    <row r="823">
      <c r="B823" s="74"/>
      <c r="C823" s="74"/>
      <c r="D823" s="74"/>
      <c r="E823" s="74"/>
    </row>
    <row r="824">
      <c r="B824" s="74"/>
      <c r="C824" s="74"/>
      <c r="D824" s="74"/>
      <c r="E824" s="74"/>
    </row>
    <row r="825">
      <c r="B825" s="74"/>
      <c r="C825" s="74"/>
      <c r="D825" s="74"/>
      <c r="E825" s="74"/>
    </row>
    <row r="826">
      <c r="B826" s="74"/>
      <c r="C826" s="74"/>
      <c r="D826" s="74"/>
      <c r="E826" s="74"/>
    </row>
    <row r="827">
      <c r="B827" s="74"/>
      <c r="C827" s="74"/>
      <c r="D827" s="74"/>
      <c r="E827" s="74"/>
    </row>
    <row r="828">
      <c r="B828" s="74"/>
      <c r="C828" s="74"/>
      <c r="D828" s="74"/>
      <c r="E828" s="74"/>
    </row>
    <row r="829">
      <c r="B829" s="74"/>
      <c r="C829" s="74"/>
      <c r="D829" s="74"/>
      <c r="E829" s="74"/>
    </row>
    <row r="830">
      <c r="B830" s="74"/>
      <c r="C830" s="74"/>
      <c r="D830" s="74"/>
      <c r="E830" s="74"/>
    </row>
    <row r="831">
      <c r="B831" s="74"/>
      <c r="C831" s="74"/>
      <c r="D831" s="74"/>
      <c r="E831" s="74"/>
    </row>
    <row r="832">
      <c r="B832" s="74"/>
      <c r="C832" s="74"/>
      <c r="D832" s="74"/>
      <c r="E832" s="74"/>
    </row>
    <row r="833">
      <c r="B833" s="74"/>
      <c r="C833" s="74"/>
      <c r="D833" s="74"/>
      <c r="E833" s="74"/>
    </row>
    <row r="834">
      <c r="B834" s="74"/>
      <c r="C834" s="74"/>
      <c r="D834" s="74"/>
      <c r="E834" s="74"/>
    </row>
    <row r="835">
      <c r="B835" s="74"/>
      <c r="C835" s="74"/>
      <c r="D835" s="74"/>
      <c r="E835" s="74"/>
    </row>
    <row r="836">
      <c r="B836" s="74"/>
      <c r="C836" s="74"/>
      <c r="D836" s="74"/>
      <c r="E836" s="74"/>
    </row>
    <row r="837">
      <c r="B837" s="74"/>
      <c r="C837" s="74"/>
      <c r="D837" s="74"/>
      <c r="E837" s="74"/>
    </row>
    <row r="838">
      <c r="B838" s="74"/>
      <c r="C838" s="74"/>
      <c r="D838" s="74"/>
      <c r="E838" s="74"/>
    </row>
    <row r="839">
      <c r="B839" s="74"/>
      <c r="C839" s="74"/>
      <c r="D839" s="74"/>
      <c r="E839" s="74"/>
    </row>
    <row r="840">
      <c r="B840" s="74"/>
      <c r="C840" s="74"/>
      <c r="D840" s="74"/>
      <c r="E840" s="74"/>
    </row>
    <row r="841">
      <c r="B841" s="74"/>
      <c r="C841" s="74"/>
      <c r="D841" s="74"/>
      <c r="E841" s="74"/>
    </row>
    <row r="842">
      <c r="B842" s="74"/>
      <c r="C842" s="74"/>
      <c r="D842" s="74"/>
      <c r="E842" s="74"/>
    </row>
    <row r="843">
      <c r="B843" s="74"/>
      <c r="C843" s="74"/>
      <c r="D843" s="74"/>
      <c r="E843" s="74"/>
    </row>
    <row r="844">
      <c r="B844" s="74"/>
      <c r="C844" s="74"/>
      <c r="D844" s="74"/>
      <c r="E844" s="74"/>
    </row>
    <row r="845">
      <c r="B845" s="74"/>
      <c r="C845" s="74"/>
      <c r="D845" s="74"/>
      <c r="E845" s="74"/>
    </row>
    <row r="846">
      <c r="B846" s="74"/>
      <c r="C846" s="74"/>
      <c r="D846" s="74"/>
      <c r="E846" s="74"/>
    </row>
    <row r="847">
      <c r="B847" s="74"/>
      <c r="C847" s="74"/>
      <c r="D847" s="74"/>
      <c r="E847" s="74"/>
    </row>
    <row r="848">
      <c r="B848" s="74"/>
      <c r="C848" s="74"/>
      <c r="D848" s="74"/>
      <c r="E848" s="74"/>
    </row>
    <row r="849">
      <c r="B849" s="74"/>
      <c r="C849" s="74"/>
      <c r="D849" s="74"/>
      <c r="E849" s="74"/>
    </row>
    <row r="850">
      <c r="B850" s="74"/>
      <c r="C850" s="74"/>
      <c r="D850" s="74"/>
      <c r="E850" s="74"/>
    </row>
    <row r="851">
      <c r="B851" s="74"/>
      <c r="C851" s="74"/>
      <c r="D851" s="74"/>
      <c r="E851" s="74"/>
    </row>
    <row r="852">
      <c r="B852" s="74"/>
      <c r="C852" s="74"/>
      <c r="D852" s="74"/>
      <c r="E852" s="74"/>
    </row>
    <row r="853">
      <c r="B853" s="74"/>
      <c r="C853" s="74"/>
      <c r="D853" s="74"/>
      <c r="E853" s="74"/>
    </row>
    <row r="854">
      <c r="B854" s="74"/>
      <c r="C854" s="74"/>
      <c r="D854" s="74"/>
      <c r="E854" s="74"/>
    </row>
    <row r="855">
      <c r="B855" s="74"/>
      <c r="C855" s="74"/>
      <c r="D855" s="74"/>
      <c r="E855" s="74"/>
    </row>
    <row r="856">
      <c r="B856" s="74"/>
      <c r="C856" s="74"/>
      <c r="D856" s="74"/>
      <c r="E856" s="74"/>
    </row>
    <row r="857">
      <c r="B857" s="74"/>
      <c r="C857" s="74"/>
      <c r="D857" s="74"/>
      <c r="E857" s="74"/>
    </row>
    <row r="858">
      <c r="B858" s="74"/>
      <c r="C858" s="74"/>
      <c r="D858" s="74"/>
      <c r="E858" s="74"/>
    </row>
    <row r="859">
      <c r="B859" s="74"/>
      <c r="C859" s="74"/>
      <c r="D859" s="74"/>
      <c r="E859" s="74"/>
    </row>
    <row r="860">
      <c r="B860" s="74"/>
      <c r="C860" s="74"/>
      <c r="D860" s="74"/>
      <c r="E860" s="74"/>
    </row>
    <row r="861">
      <c r="B861" s="74"/>
      <c r="C861" s="74"/>
      <c r="D861" s="74"/>
      <c r="E861" s="74"/>
    </row>
    <row r="862">
      <c r="B862" s="74"/>
      <c r="C862" s="74"/>
      <c r="D862" s="74"/>
      <c r="E862" s="74"/>
    </row>
    <row r="863">
      <c r="B863" s="74"/>
      <c r="C863" s="74"/>
      <c r="D863" s="74"/>
      <c r="E863" s="74"/>
    </row>
    <row r="864">
      <c r="B864" s="74"/>
      <c r="C864" s="74"/>
      <c r="D864" s="74"/>
      <c r="E864" s="74"/>
    </row>
    <row r="865">
      <c r="B865" s="74"/>
      <c r="C865" s="74"/>
      <c r="D865" s="74"/>
      <c r="E865" s="74"/>
    </row>
    <row r="866">
      <c r="B866" s="74"/>
      <c r="C866" s="74"/>
      <c r="D866" s="74"/>
      <c r="E866" s="74"/>
    </row>
    <row r="867">
      <c r="B867" s="74"/>
      <c r="C867" s="74"/>
      <c r="D867" s="74"/>
      <c r="E867" s="74"/>
    </row>
    <row r="868">
      <c r="B868" s="74"/>
      <c r="C868" s="74"/>
      <c r="D868" s="74"/>
      <c r="E868" s="74"/>
    </row>
    <row r="869">
      <c r="B869" s="74"/>
      <c r="C869" s="74"/>
      <c r="D869" s="74"/>
      <c r="E869" s="74"/>
    </row>
    <row r="870">
      <c r="B870" s="74"/>
      <c r="C870" s="74"/>
      <c r="D870" s="74"/>
      <c r="E870" s="74"/>
    </row>
    <row r="871">
      <c r="B871" s="74"/>
      <c r="C871" s="74"/>
      <c r="D871" s="74"/>
      <c r="E871" s="74"/>
    </row>
    <row r="872">
      <c r="B872" s="74"/>
      <c r="C872" s="74"/>
      <c r="D872" s="74"/>
      <c r="E872" s="74"/>
    </row>
    <row r="873">
      <c r="B873" s="74"/>
      <c r="C873" s="74"/>
      <c r="D873" s="74"/>
      <c r="E873" s="74"/>
    </row>
    <row r="874">
      <c r="B874" s="74"/>
      <c r="C874" s="74"/>
      <c r="D874" s="74"/>
      <c r="E874" s="74"/>
    </row>
    <row r="875">
      <c r="B875" s="74"/>
      <c r="C875" s="74"/>
      <c r="D875" s="74"/>
      <c r="E875" s="74"/>
    </row>
    <row r="876">
      <c r="B876" s="74"/>
      <c r="C876" s="74"/>
      <c r="D876" s="74"/>
      <c r="E876" s="74"/>
    </row>
    <row r="877">
      <c r="B877" s="74"/>
      <c r="C877" s="74"/>
      <c r="D877" s="74"/>
      <c r="E877" s="74"/>
    </row>
    <row r="878">
      <c r="B878" s="74"/>
      <c r="C878" s="74"/>
      <c r="D878" s="74"/>
      <c r="E878" s="74"/>
    </row>
    <row r="879">
      <c r="B879" s="74"/>
      <c r="C879" s="74"/>
      <c r="D879" s="74"/>
      <c r="E879" s="74"/>
    </row>
    <row r="880">
      <c r="B880" s="74"/>
      <c r="C880" s="74"/>
      <c r="D880" s="74"/>
      <c r="E880" s="74"/>
    </row>
    <row r="881">
      <c r="B881" s="74"/>
      <c r="C881" s="74"/>
      <c r="D881" s="74"/>
      <c r="E881" s="74"/>
    </row>
    <row r="882">
      <c r="B882" s="74"/>
      <c r="C882" s="74"/>
      <c r="D882" s="74"/>
      <c r="E882" s="74"/>
    </row>
    <row r="883">
      <c r="B883" s="74"/>
      <c r="C883" s="74"/>
      <c r="D883" s="74"/>
      <c r="E883" s="74"/>
    </row>
    <row r="884">
      <c r="B884" s="74"/>
      <c r="C884" s="74"/>
      <c r="D884" s="74"/>
      <c r="E884" s="74"/>
    </row>
    <row r="885">
      <c r="B885" s="74"/>
      <c r="C885" s="74"/>
      <c r="D885" s="74"/>
      <c r="E885" s="74"/>
    </row>
    <row r="886">
      <c r="B886" s="74"/>
      <c r="C886" s="74"/>
      <c r="D886" s="74"/>
      <c r="E886" s="74"/>
    </row>
    <row r="887">
      <c r="B887" s="74"/>
      <c r="C887" s="74"/>
      <c r="D887" s="74"/>
      <c r="E887" s="74"/>
    </row>
    <row r="888">
      <c r="B888" s="74"/>
      <c r="C888" s="74"/>
      <c r="D888" s="74"/>
      <c r="E888" s="74"/>
    </row>
    <row r="889">
      <c r="B889" s="74"/>
      <c r="C889" s="74"/>
      <c r="D889" s="74"/>
      <c r="E889" s="74"/>
    </row>
    <row r="890">
      <c r="B890" s="74"/>
      <c r="C890" s="74"/>
      <c r="D890" s="74"/>
      <c r="E890" s="74"/>
    </row>
    <row r="891">
      <c r="B891" s="74"/>
      <c r="C891" s="74"/>
      <c r="D891" s="74"/>
      <c r="E891" s="74"/>
    </row>
    <row r="892">
      <c r="B892" s="74"/>
      <c r="C892" s="74"/>
      <c r="D892" s="74"/>
      <c r="E892" s="74"/>
    </row>
    <row r="893">
      <c r="B893" s="74"/>
      <c r="C893" s="74"/>
      <c r="D893" s="74"/>
      <c r="E893" s="74"/>
    </row>
    <row r="894">
      <c r="B894" s="74"/>
      <c r="C894" s="74"/>
      <c r="D894" s="74"/>
      <c r="E894" s="74"/>
    </row>
    <row r="895">
      <c r="B895" s="74"/>
      <c r="C895" s="74"/>
      <c r="D895" s="74"/>
      <c r="E895" s="74"/>
    </row>
    <row r="896">
      <c r="B896" s="74"/>
      <c r="C896" s="74"/>
      <c r="D896" s="74"/>
      <c r="E896" s="74"/>
    </row>
    <row r="897">
      <c r="B897" s="74"/>
      <c r="C897" s="74"/>
      <c r="D897" s="74"/>
      <c r="E897" s="74"/>
    </row>
    <row r="898">
      <c r="B898" s="74"/>
      <c r="C898" s="74"/>
      <c r="D898" s="74"/>
      <c r="E898" s="74"/>
    </row>
    <row r="899">
      <c r="B899" s="74"/>
      <c r="C899" s="74"/>
      <c r="D899" s="74"/>
      <c r="E899" s="74"/>
    </row>
    <row r="900">
      <c r="B900" s="74"/>
      <c r="C900" s="74"/>
      <c r="D900" s="74"/>
      <c r="E900" s="74"/>
    </row>
    <row r="901">
      <c r="B901" s="74"/>
      <c r="C901" s="74"/>
      <c r="D901" s="74"/>
      <c r="E901" s="74"/>
    </row>
    <row r="902">
      <c r="B902" s="74"/>
      <c r="C902" s="74"/>
      <c r="D902" s="74"/>
      <c r="E902" s="74"/>
    </row>
    <row r="903">
      <c r="B903" s="74"/>
      <c r="C903" s="74"/>
      <c r="D903" s="74"/>
      <c r="E903" s="74"/>
    </row>
    <row r="904">
      <c r="B904" s="74"/>
      <c r="C904" s="74"/>
      <c r="D904" s="74"/>
      <c r="E904" s="74"/>
    </row>
    <row r="905">
      <c r="B905" s="74"/>
      <c r="C905" s="74"/>
      <c r="D905" s="74"/>
      <c r="E905" s="74"/>
    </row>
    <row r="906">
      <c r="B906" s="74"/>
      <c r="C906" s="74"/>
      <c r="D906" s="74"/>
      <c r="E906" s="74"/>
    </row>
    <row r="907">
      <c r="B907" s="74"/>
      <c r="C907" s="74"/>
      <c r="D907" s="74"/>
      <c r="E907" s="74"/>
    </row>
    <row r="908">
      <c r="B908" s="74"/>
      <c r="C908" s="74"/>
      <c r="D908" s="74"/>
      <c r="E908" s="74"/>
    </row>
    <row r="909">
      <c r="B909" s="74"/>
      <c r="C909" s="74"/>
      <c r="D909" s="74"/>
      <c r="E909" s="74"/>
    </row>
    <row r="910">
      <c r="B910" s="74"/>
      <c r="C910" s="74"/>
      <c r="D910" s="74"/>
      <c r="E910" s="74"/>
    </row>
    <row r="911">
      <c r="B911" s="74"/>
      <c r="C911" s="74"/>
      <c r="D911" s="74"/>
      <c r="E911" s="74"/>
    </row>
    <row r="912">
      <c r="B912" s="74"/>
      <c r="C912" s="74"/>
      <c r="D912" s="74"/>
      <c r="E912" s="74"/>
    </row>
    <row r="913">
      <c r="B913" s="74"/>
      <c r="C913" s="74"/>
      <c r="D913" s="74"/>
      <c r="E913" s="74"/>
    </row>
    <row r="914">
      <c r="B914" s="74"/>
      <c r="C914" s="74"/>
      <c r="D914" s="74"/>
      <c r="E914" s="74"/>
    </row>
    <row r="915">
      <c r="B915" s="74"/>
      <c r="C915" s="74"/>
      <c r="D915" s="74"/>
      <c r="E915" s="74"/>
    </row>
    <row r="916">
      <c r="B916" s="74"/>
      <c r="C916" s="74"/>
      <c r="D916" s="74"/>
      <c r="E916" s="74"/>
    </row>
    <row r="917">
      <c r="B917" s="74"/>
      <c r="C917" s="74"/>
      <c r="D917" s="74"/>
      <c r="E917" s="74"/>
    </row>
    <row r="918">
      <c r="B918" s="74"/>
      <c r="C918" s="74"/>
      <c r="D918" s="74"/>
      <c r="E918" s="74"/>
    </row>
    <row r="919">
      <c r="B919" s="74"/>
      <c r="C919" s="74"/>
      <c r="D919" s="74"/>
      <c r="E919" s="74"/>
    </row>
    <row r="920">
      <c r="B920" s="74"/>
      <c r="C920" s="74"/>
      <c r="D920" s="74"/>
      <c r="E920" s="74"/>
    </row>
    <row r="921">
      <c r="B921" s="74"/>
      <c r="C921" s="74"/>
      <c r="D921" s="74"/>
      <c r="E921" s="74"/>
    </row>
    <row r="922">
      <c r="B922" s="74"/>
      <c r="C922" s="74"/>
      <c r="D922" s="74"/>
      <c r="E922" s="74"/>
    </row>
    <row r="923">
      <c r="B923" s="74"/>
      <c r="C923" s="74"/>
      <c r="D923" s="74"/>
      <c r="E923" s="74"/>
    </row>
    <row r="924">
      <c r="B924" s="74"/>
      <c r="C924" s="74"/>
      <c r="D924" s="74"/>
      <c r="E924" s="74"/>
    </row>
    <row r="925">
      <c r="B925" s="74"/>
      <c r="C925" s="74"/>
      <c r="D925" s="74"/>
      <c r="E925" s="74"/>
    </row>
    <row r="926">
      <c r="B926" s="74"/>
      <c r="C926" s="74"/>
      <c r="D926" s="74"/>
      <c r="E926" s="74"/>
    </row>
    <row r="927">
      <c r="B927" s="74"/>
      <c r="C927" s="74"/>
      <c r="D927" s="74"/>
      <c r="E927" s="74"/>
    </row>
    <row r="928">
      <c r="B928" s="74"/>
      <c r="C928" s="74"/>
      <c r="D928" s="74"/>
      <c r="E928" s="74"/>
    </row>
    <row r="929">
      <c r="B929" s="74"/>
      <c r="C929" s="74"/>
      <c r="D929" s="74"/>
      <c r="E929" s="74"/>
    </row>
    <row r="930">
      <c r="B930" s="74"/>
      <c r="C930" s="74"/>
      <c r="D930" s="74"/>
      <c r="E930" s="74"/>
    </row>
    <row r="931">
      <c r="B931" s="74"/>
      <c r="C931" s="74"/>
      <c r="D931" s="74"/>
      <c r="E931" s="74"/>
    </row>
    <row r="932">
      <c r="B932" s="74"/>
      <c r="C932" s="74"/>
      <c r="D932" s="74"/>
      <c r="E932" s="74"/>
    </row>
    <row r="933">
      <c r="B933" s="74"/>
      <c r="C933" s="74"/>
      <c r="D933" s="74"/>
      <c r="E933" s="74"/>
    </row>
    <row r="934">
      <c r="B934" s="74"/>
      <c r="C934" s="74"/>
      <c r="D934" s="74"/>
      <c r="E934" s="74"/>
    </row>
    <row r="935">
      <c r="B935" s="74"/>
      <c r="C935" s="74"/>
      <c r="D935" s="74"/>
      <c r="E935" s="74"/>
    </row>
    <row r="936">
      <c r="B936" s="74"/>
      <c r="C936" s="74"/>
      <c r="D936" s="74"/>
      <c r="E936" s="74"/>
    </row>
    <row r="937">
      <c r="B937" s="74"/>
      <c r="C937" s="74"/>
      <c r="D937" s="74"/>
      <c r="E937" s="74"/>
    </row>
    <row r="938">
      <c r="B938" s="74"/>
      <c r="C938" s="74"/>
      <c r="D938" s="74"/>
      <c r="E938" s="74"/>
    </row>
    <row r="939">
      <c r="B939" s="74"/>
      <c r="C939" s="74"/>
      <c r="D939" s="74"/>
      <c r="E939" s="74"/>
    </row>
    <row r="940">
      <c r="B940" s="74"/>
      <c r="C940" s="74"/>
      <c r="D940" s="74"/>
      <c r="E940" s="74"/>
    </row>
    <row r="941">
      <c r="B941" s="74"/>
      <c r="C941" s="74"/>
      <c r="D941" s="74"/>
      <c r="E941" s="74"/>
    </row>
    <row r="942">
      <c r="B942" s="74"/>
      <c r="C942" s="74"/>
      <c r="D942" s="74"/>
      <c r="E942" s="74"/>
    </row>
    <row r="943">
      <c r="B943" s="74"/>
      <c r="C943" s="74"/>
      <c r="D943" s="74"/>
      <c r="E943" s="74"/>
    </row>
    <row r="944">
      <c r="B944" s="74"/>
      <c r="C944" s="74"/>
      <c r="D944" s="74"/>
      <c r="E944" s="74"/>
    </row>
    <row r="945">
      <c r="B945" s="74"/>
      <c r="C945" s="74"/>
      <c r="D945" s="74"/>
      <c r="E945" s="74"/>
    </row>
    <row r="946">
      <c r="B946" s="74"/>
      <c r="C946" s="74"/>
      <c r="D946" s="74"/>
      <c r="E946" s="74"/>
    </row>
    <row r="947">
      <c r="B947" s="74"/>
      <c r="C947" s="74"/>
      <c r="D947" s="74"/>
      <c r="E947" s="74"/>
    </row>
    <row r="948">
      <c r="B948" s="74"/>
      <c r="C948" s="74"/>
      <c r="D948" s="74"/>
      <c r="E948" s="74"/>
    </row>
    <row r="949">
      <c r="B949" s="74"/>
      <c r="C949" s="74"/>
      <c r="D949" s="74"/>
      <c r="E949" s="74"/>
    </row>
    <row r="950">
      <c r="B950" s="74"/>
      <c r="C950" s="74"/>
      <c r="D950" s="74"/>
      <c r="E950" s="74"/>
    </row>
    <row r="951">
      <c r="B951" s="74"/>
      <c r="C951" s="74"/>
      <c r="D951" s="74"/>
      <c r="E951" s="74"/>
    </row>
    <row r="952">
      <c r="B952" s="74"/>
      <c r="C952" s="74"/>
      <c r="D952" s="74"/>
      <c r="E952" s="74"/>
    </row>
    <row r="953">
      <c r="B953" s="74"/>
      <c r="C953" s="74"/>
      <c r="D953" s="74"/>
      <c r="E953" s="74"/>
    </row>
    <row r="954">
      <c r="B954" s="74"/>
      <c r="C954" s="74"/>
      <c r="D954" s="74"/>
      <c r="E954" s="74"/>
    </row>
    <row r="955">
      <c r="B955" s="74"/>
      <c r="C955" s="74"/>
      <c r="D955" s="74"/>
      <c r="E955" s="74"/>
    </row>
    <row r="956">
      <c r="B956" s="74"/>
      <c r="C956" s="74"/>
      <c r="D956" s="74"/>
      <c r="E956" s="74"/>
    </row>
    <row r="957">
      <c r="B957" s="74"/>
      <c r="C957" s="74"/>
      <c r="D957" s="74"/>
      <c r="E957" s="74"/>
    </row>
    <row r="958">
      <c r="B958" s="74"/>
      <c r="C958" s="74"/>
      <c r="D958" s="74"/>
      <c r="E958" s="74"/>
    </row>
    <row r="959">
      <c r="B959" s="74"/>
      <c r="C959" s="74"/>
      <c r="D959" s="74"/>
      <c r="E959" s="74"/>
    </row>
    <row r="960">
      <c r="B960" s="74"/>
      <c r="C960" s="74"/>
      <c r="D960" s="74"/>
      <c r="E960" s="74"/>
    </row>
    <row r="961">
      <c r="B961" s="74"/>
      <c r="C961" s="74"/>
      <c r="D961" s="74"/>
      <c r="E961" s="74"/>
    </row>
    <row r="962">
      <c r="B962" s="74"/>
      <c r="C962" s="74"/>
      <c r="D962" s="74"/>
      <c r="E962" s="74"/>
    </row>
    <row r="963">
      <c r="B963" s="74"/>
      <c r="C963" s="74"/>
      <c r="D963" s="74"/>
      <c r="E963" s="74"/>
    </row>
    <row r="964">
      <c r="B964" s="74"/>
      <c r="C964" s="74"/>
      <c r="D964" s="74"/>
      <c r="E964" s="74"/>
    </row>
    <row r="965">
      <c r="B965" s="74"/>
      <c r="C965" s="74"/>
      <c r="D965" s="74"/>
      <c r="E965" s="74"/>
    </row>
    <row r="966">
      <c r="B966" s="74"/>
      <c r="C966" s="74"/>
      <c r="D966" s="74"/>
      <c r="E966" s="74"/>
    </row>
    <row r="967">
      <c r="B967" s="74"/>
      <c r="C967" s="74"/>
      <c r="D967" s="74"/>
      <c r="E967" s="74"/>
    </row>
    <row r="968">
      <c r="B968" s="74"/>
      <c r="C968" s="74"/>
      <c r="D968" s="74"/>
      <c r="E968" s="74"/>
    </row>
    <row r="969">
      <c r="B969" s="74"/>
      <c r="C969" s="74"/>
      <c r="D969" s="74"/>
      <c r="E969" s="74"/>
    </row>
    <row r="970">
      <c r="B970" s="74"/>
      <c r="C970" s="74"/>
      <c r="D970" s="74"/>
      <c r="E970" s="74"/>
    </row>
    <row r="971">
      <c r="B971" s="74"/>
      <c r="C971" s="74"/>
      <c r="D971" s="74"/>
      <c r="E971" s="74"/>
    </row>
    <row r="972">
      <c r="B972" s="74"/>
      <c r="C972" s="74"/>
      <c r="D972" s="74"/>
      <c r="E972" s="74"/>
    </row>
    <row r="973">
      <c r="B973" s="74"/>
      <c r="C973" s="74"/>
      <c r="D973" s="74"/>
      <c r="E973" s="74"/>
    </row>
    <row r="974">
      <c r="B974" s="74"/>
      <c r="C974" s="74"/>
      <c r="D974" s="74"/>
      <c r="E974" s="74"/>
    </row>
    <row r="975">
      <c r="B975" s="74"/>
      <c r="C975" s="74"/>
      <c r="D975" s="74"/>
      <c r="E975" s="74"/>
    </row>
    <row r="976">
      <c r="B976" s="74"/>
      <c r="C976" s="74"/>
      <c r="D976" s="74"/>
      <c r="E976" s="74"/>
    </row>
    <row r="977">
      <c r="B977" s="74"/>
      <c r="C977" s="74"/>
      <c r="D977" s="74"/>
      <c r="E977" s="74"/>
    </row>
    <row r="978">
      <c r="B978" s="74"/>
      <c r="C978" s="74"/>
      <c r="D978" s="74"/>
      <c r="E978" s="74"/>
    </row>
    <row r="979">
      <c r="B979" s="74"/>
      <c r="C979" s="74"/>
      <c r="D979" s="74"/>
      <c r="E979" s="74"/>
    </row>
    <row r="980">
      <c r="B980" s="74"/>
      <c r="C980" s="74"/>
      <c r="D980" s="74"/>
      <c r="E980" s="74"/>
    </row>
    <row r="981">
      <c r="B981" s="74"/>
      <c r="C981" s="74"/>
      <c r="D981" s="74"/>
      <c r="E981" s="74"/>
    </row>
    <row r="982">
      <c r="B982" s="74"/>
      <c r="C982" s="74"/>
      <c r="D982" s="74"/>
      <c r="E982" s="74"/>
    </row>
    <row r="983">
      <c r="B983" s="74"/>
      <c r="C983" s="74"/>
      <c r="D983" s="74"/>
      <c r="E983" s="74"/>
    </row>
    <row r="984">
      <c r="B984" s="74"/>
      <c r="C984" s="74"/>
      <c r="D984" s="74"/>
      <c r="E984" s="74"/>
    </row>
    <row r="985">
      <c r="B985" s="74"/>
      <c r="C985" s="74"/>
      <c r="D985" s="74"/>
      <c r="E985" s="74"/>
    </row>
    <row r="986">
      <c r="B986" s="74"/>
      <c r="C986" s="74"/>
      <c r="D986" s="74"/>
      <c r="E986" s="74"/>
    </row>
    <row r="987">
      <c r="B987" s="74"/>
      <c r="C987" s="74"/>
      <c r="D987" s="74"/>
      <c r="E987" s="74"/>
    </row>
    <row r="988">
      <c r="B988" s="74"/>
      <c r="C988" s="74"/>
      <c r="D988" s="74"/>
      <c r="E988" s="74"/>
    </row>
    <row r="989">
      <c r="B989" s="74"/>
      <c r="C989" s="74"/>
      <c r="D989" s="74"/>
      <c r="E989" s="74"/>
    </row>
    <row r="990">
      <c r="B990" s="74"/>
      <c r="C990" s="74"/>
      <c r="D990" s="74"/>
      <c r="E990" s="74"/>
    </row>
    <row r="991">
      <c r="B991" s="74"/>
      <c r="C991" s="74"/>
      <c r="D991" s="74"/>
      <c r="E991" s="74"/>
    </row>
    <row r="992">
      <c r="B992" s="74"/>
      <c r="C992" s="74"/>
      <c r="D992" s="74"/>
      <c r="E992" s="74"/>
    </row>
    <row r="993">
      <c r="B993" s="74"/>
      <c r="C993" s="74"/>
      <c r="D993" s="74"/>
      <c r="E993" s="74"/>
    </row>
    <row r="994">
      <c r="B994" s="74"/>
      <c r="C994" s="74"/>
      <c r="D994" s="74"/>
      <c r="E994" s="74"/>
    </row>
    <row r="995">
      <c r="B995" s="74"/>
      <c r="C995" s="74"/>
      <c r="D995" s="74"/>
      <c r="E995" s="74"/>
    </row>
    <row r="996">
      <c r="B996" s="74"/>
      <c r="C996" s="74"/>
      <c r="D996" s="74"/>
      <c r="E996" s="74"/>
    </row>
    <row r="997">
      <c r="B997" s="74"/>
      <c r="C997" s="74"/>
      <c r="D997" s="74"/>
      <c r="E997" s="74"/>
    </row>
    <row r="998">
      <c r="B998" s="74"/>
      <c r="C998" s="74"/>
      <c r="D998" s="74"/>
      <c r="E998" s="74"/>
    </row>
    <row r="999">
      <c r="B999" s="74"/>
      <c r="C999" s="74"/>
      <c r="D999" s="74"/>
      <c r="E999" s="74"/>
    </row>
    <row r="1000">
      <c r="B1000" s="74"/>
      <c r="C1000" s="74"/>
      <c r="D1000" s="74"/>
      <c r="E1000" s="74"/>
    </row>
  </sheetData>
  <mergeCells count="1">
    <mergeCell ref="A5:G6"/>
  </mergeCells>
  <drawing r:id="rId1"/>
</worksheet>
</file>