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2.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oluoy\Downloads\Data Analysis\Ratio Analysis - British Petroleum\"/>
    </mc:Choice>
  </mc:AlternateContent>
  <xr:revisionPtr revIDLastSave="0" documentId="13_ncr:1_{27B578AE-5566-4C7F-BECF-D86880CA2BEC}" xr6:coauthVersionLast="47" xr6:coauthVersionMax="47" xr10:uidLastSave="{00000000-0000-0000-0000-000000000000}"/>
  <bookViews>
    <workbookView xWindow="3348" yWindow="3348" windowWidth="17280" windowHeight="9372" tabRatio="1000" firstSheet="9" activeTab="13" xr2:uid="{23A93027-3859-D640-A473-00CBBA428170}"/>
  </bookViews>
  <sheets>
    <sheet name="Summary Requirement" sheetId="1" r:id="rId1"/>
    <sheet name="Income Statement BP" sheetId="4" r:id="rId2"/>
    <sheet name="BP Balance Sheet" sheetId="19" r:id="rId3"/>
    <sheet name="Shell Income Statement" sheetId="20" r:id="rId4"/>
    <sheet name="Shell Balance Sheet" sheetId="22" r:id="rId5"/>
    <sheet name="BP Ratio Analysis " sheetId="18" r:id="rId6"/>
    <sheet name="Shell Ratio Analysis" sheetId="5" r:id="rId7"/>
    <sheet name="Ratio Requirements" sheetId="9" state="hidden" r:id="rId8"/>
    <sheet name="Industry Ratio Analysis" sheetId="8" r:id="rId9"/>
    <sheet name="Ratios Calculation" sheetId="2" r:id="rId10"/>
    <sheet name="Comparison Charts and Graphs" sheetId="13" r:id="rId11"/>
    <sheet name="Company Valuation" sheetId="15" r:id="rId12"/>
    <sheet name="Initiatives Impact" sheetId="23" r:id="rId13"/>
    <sheet name="Data Sources &amp; Links" sheetId="17"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8" i="2" l="1"/>
  <c r="N68" i="2"/>
  <c r="M68" i="2"/>
  <c r="K68" i="2"/>
  <c r="J68" i="2"/>
  <c r="I68" i="2"/>
  <c r="I62" i="2"/>
  <c r="O62" i="2" l="1"/>
  <c r="N62" i="2"/>
  <c r="M62" i="2"/>
  <c r="K62" i="2"/>
  <c r="J62" i="2"/>
  <c r="D11" i="15"/>
  <c r="E11" i="15"/>
  <c r="F11" i="15"/>
  <c r="G71" i="4"/>
  <c r="E71" i="4"/>
  <c r="C71" i="4"/>
  <c r="D10" i="15" l="1"/>
  <c r="C19" i="4"/>
  <c r="D6" i="15"/>
  <c r="F6" i="15"/>
  <c r="E6" i="15"/>
  <c r="F18" i="4" l="1"/>
  <c r="D18" i="4"/>
  <c r="F64" i="19" l="1"/>
  <c r="F55" i="4"/>
  <c r="F10" i="15"/>
  <c r="E10" i="15"/>
  <c r="F33" i="4"/>
  <c r="D33" i="4"/>
  <c r="D7" i="15" l="1"/>
  <c r="F7" i="15"/>
  <c r="E7" i="15"/>
  <c r="L20" i="15" l="1"/>
  <c r="C237" i="13"/>
  <c r="C236" i="13"/>
  <c r="C201" i="13"/>
  <c r="C200" i="13"/>
  <c r="C186" i="13"/>
  <c r="C185" i="13"/>
  <c r="C171" i="13"/>
  <c r="C170" i="13"/>
  <c r="C126" i="13"/>
  <c r="C125" i="13"/>
  <c r="C108" i="13"/>
  <c r="C107" i="13"/>
  <c r="C55" i="13"/>
  <c r="C54" i="13"/>
  <c r="K20" i="15"/>
  <c r="J20" i="15"/>
  <c r="F14" i="15"/>
  <c r="E12" i="15"/>
  <c r="D14" i="15"/>
  <c r="F8" i="15"/>
  <c r="E8" i="15"/>
  <c r="D8" i="15"/>
  <c r="C20" i="13"/>
  <c r="C19" i="13"/>
  <c r="O28" i="8"/>
  <c r="C301" i="13" s="1"/>
  <c r="F27" i="5"/>
  <c r="M28" i="8"/>
  <c r="E301" i="13" s="1"/>
  <c r="G27" i="18"/>
  <c r="J28" i="8"/>
  <c r="D300" i="13" s="1"/>
  <c r="I28" i="8"/>
  <c r="E300" i="13" s="1"/>
  <c r="O59" i="2"/>
  <c r="O25" i="8" s="1"/>
  <c r="C254" i="13" s="1"/>
  <c r="N59" i="2"/>
  <c r="F24" i="5" s="1"/>
  <c r="M59" i="2"/>
  <c r="M25" i="8" s="1"/>
  <c r="E254" i="13" s="1"/>
  <c r="K59" i="2"/>
  <c r="K25" i="8" s="1"/>
  <c r="C253" i="13" s="1"/>
  <c r="J59" i="2"/>
  <c r="I59" i="2"/>
  <c r="K50" i="2"/>
  <c r="G21" i="18" s="1"/>
  <c r="J50" i="2"/>
  <c r="F21" i="18" s="1"/>
  <c r="I50" i="2"/>
  <c r="E21" i="18" s="1"/>
  <c r="K47" i="2"/>
  <c r="K21" i="8" s="1"/>
  <c r="D200" i="13" s="1"/>
  <c r="J47" i="2"/>
  <c r="J21" i="8" s="1"/>
  <c r="D201" i="13" s="1"/>
  <c r="I47" i="2"/>
  <c r="I21" i="8" s="1"/>
  <c r="D202" i="13" s="1"/>
  <c r="O28" i="2"/>
  <c r="O14" i="8" s="1"/>
  <c r="E125" i="13" s="1"/>
  <c r="N28" i="2"/>
  <c r="F13" i="5" s="1"/>
  <c r="M28" i="2"/>
  <c r="M14" i="8" s="1"/>
  <c r="E127" i="13" s="1"/>
  <c r="K28" i="2"/>
  <c r="K14" i="8" s="1"/>
  <c r="D125" i="13" s="1"/>
  <c r="J28" i="2"/>
  <c r="J14" i="8" s="1"/>
  <c r="D126" i="13" s="1"/>
  <c r="I28" i="2"/>
  <c r="I14" i="8" s="1"/>
  <c r="D127" i="13" s="1"/>
  <c r="N11" i="2"/>
  <c r="N8" i="8" s="1"/>
  <c r="D36" i="13" s="1"/>
  <c r="K11" i="2"/>
  <c r="K8" i="8" s="1"/>
  <c r="C35" i="13" s="1"/>
  <c r="J11" i="2"/>
  <c r="F7" i="18" s="1"/>
  <c r="I11" i="2"/>
  <c r="I8" i="8" s="1"/>
  <c r="E35" i="13" s="1"/>
  <c r="N6" i="8"/>
  <c r="G59" i="22"/>
  <c r="O5" i="2" s="1"/>
  <c r="C5" i="13" s="1"/>
  <c r="E59" i="22"/>
  <c r="N5" i="2" s="1"/>
  <c r="D5" i="13" s="1"/>
  <c r="C59" i="22"/>
  <c r="M5" i="2" s="1"/>
  <c r="E5" i="13" s="1"/>
  <c r="F58" i="22"/>
  <c r="D58" i="22"/>
  <c r="F57" i="22"/>
  <c r="D57" i="22"/>
  <c r="F55" i="22"/>
  <c r="D55" i="22"/>
  <c r="F54" i="22"/>
  <c r="D54" i="22"/>
  <c r="F53" i="22"/>
  <c r="D53" i="22"/>
  <c r="F52" i="22"/>
  <c r="D52" i="22"/>
  <c r="G45" i="22"/>
  <c r="C45" i="22"/>
  <c r="F44" i="22"/>
  <c r="D44" i="22"/>
  <c r="G43" i="22"/>
  <c r="E43" i="22"/>
  <c r="F43" i="22" s="1"/>
  <c r="C43" i="22"/>
  <c r="F42" i="22"/>
  <c r="D42" i="22"/>
  <c r="F41" i="22"/>
  <c r="D41" i="22"/>
  <c r="F40" i="22"/>
  <c r="D40" i="22"/>
  <c r="F39" i="22"/>
  <c r="D39" i="22"/>
  <c r="F38" i="22"/>
  <c r="D38" i="22"/>
  <c r="G36" i="22"/>
  <c r="G47" i="22" s="1"/>
  <c r="E36" i="22"/>
  <c r="C36" i="22"/>
  <c r="F35" i="22"/>
  <c r="D35" i="22"/>
  <c r="F34" i="22"/>
  <c r="D34" i="22"/>
  <c r="F33" i="22"/>
  <c r="D33" i="22"/>
  <c r="F32" i="22"/>
  <c r="D32" i="22"/>
  <c r="F31" i="22"/>
  <c r="D31" i="22"/>
  <c r="F30" i="22"/>
  <c r="D30" i="22"/>
  <c r="F25" i="22"/>
  <c r="D25" i="22"/>
  <c r="G24" i="22"/>
  <c r="O39" i="2" s="1"/>
  <c r="O18" i="8" s="1"/>
  <c r="E170" i="13" s="1"/>
  <c r="E24" i="22"/>
  <c r="F24" i="22" s="1"/>
  <c r="C24" i="22"/>
  <c r="M39" i="2" s="1"/>
  <c r="E17" i="5" s="1"/>
  <c r="F23" i="22"/>
  <c r="D23" i="22"/>
  <c r="F22" i="22"/>
  <c r="D22" i="22"/>
  <c r="F21" i="22"/>
  <c r="D21" i="22"/>
  <c r="F20" i="22"/>
  <c r="D20" i="22"/>
  <c r="G18" i="22"/>
  <c r="G27" i="22" s="1"/>
  <c r="E18" i="22"/>
  <c r="F18" i="22" s="1"/>
  <c r="C18" i="22"/>
  <c r="F17" i="22"/>
  <c r="D17" i="22"/>
  <c r="F16" i="22"/>
  <c r="D16" i="22"/>
  <c r="F15" i="22"/>
  <c r="D15" i="22"/>
  <c r="F14" i="22"/>
  <c r="D14" i="22"/>
  <c r="D13" i="22"/>
  <c r="D12" i="22"/>
  <c r="D11" i="22"/>
  <c r="F10" i="22"/>
  <c r="D10" i="22"/>
  <c r="F9" i="22"/>
  <c r="D9" i="22"/>
  <c r="F48" i="20"/>
  <c r="D48" i="20"/>
  <c r="G44" i="20"/>
  <c r="E44" i="20"/>
  <c r="C44" i="20"/>
  <c r="F43" i="20"/>
  <c r="D43" i="20"/>
  <c r="D42" i="20"/>
  <c r="F41" i="20"/>
  <c r="D41" i="20"/>
  <c r="G38" i="20"/>
  <c r="E38" i="20"/>
  <c r="C38" i="20"/>
  <c r="F37" i="20"/>
  <c r="D37" i="20"/>
  <c r="F36" i="20"/>
  <c r="D36" i="20"/>
  <c r="F35" i="20"/>
  <c r="D35" i="20"/>
  <c r="F34" i="20"/>
  <c r="D34" i="20"/>
  <c r="F33" i="20"/>
  <c r="D33" i="20"/>
  <c r="F32" i="20"/>
  <c r="D32" i="20"/>
  <c r="F57" i="20"/>
  <c r="D57" i="20"/>
  <c r="F56" i="20"/>
  <c r="D56" i="20"/>
  <c r="F26" i="20"/>
  <c r="D26" i="20"/>
  <c r="F23" i="20"/>
  <c r="D23" i="20"/>
  <c r="F22" i="20"/>
  <c r="D22" i="20"/>
  <c r="F14" i="20"/>
  <c r="D14" i="20"/>
  <c r="F15" i="20"/>
  <c r="D15" i="20"/>
  <c r="F17" i="20"/>
  <c r="D17" i="20"/>
  <c r="F18" i="20"/>
  <c r="D18" i="20"/>
  <c r="F13" i="20"/>
  <c r="D13" i="20"/>
  <c r="F12" i="20"/>
  <c r="D12" i="20"/>
  <c r="G10" i="20"/>
  <c r="G20" i="20" s="1"/>
  <c r="G24" i="20" s="1"/>
  <c r="E10" i="20"/>
  <c r="E20" i="20" s="1"/>
  <c r="E24" i="20" s="1"/>
  <c r="C10" i="20"/>
  <c r="C20" i="20" s="1"/>
  <c r="C24" i="20" s="1"/>
  <c r="F9" i="20"/>
  <c r="D9" i="20"/>
  <c r="F8" i="20"/>
  <c r="D8" i="20"/>
  <c r="F7" i="20"/>
  <c r="D7" i="20"/>
  <c r="D64" i="19"/>
  <c r="F63" i="19"/>
  <c r="D63" i="19"/>
  <c r="F62" i="19"/>
  <c r="D62" i="19"/>
  <c r="G56" i="19"/>
  <c r="E56" i="19"/>
  <c r="F56" i="19" s="1"/>
  <c r="C56" i="19"/>
  <c r="F55" i="19"/>
  <c r="D55" i="19"/>
  <c r="F54" i="19"/>
  <c r="D54" i="19"/>
  <c r="F53" i="19"/>
  <c r="D53" i="19"/>
  <c r="F52" i="19"/>
  <c r="D52" i="19"/>
  <c r="F51" i="19"/>
  <c r="D51" i="19"/>
  <c r="F50" i="19"/>
  <c r="D50" i="19"/>
  <c r="F49" i="19"/>
  <c r="D49" i="19"/>
  <c r="F48" i="19"/>
  <c r="D48" i="19"/>
  <c r="F45" i="19"/>
  <c r="D45" i="19"/>
  <c r="G44" i="19"/>
  <c r="G46" i="19" s="1"/>
  <c r="E44" i="19"/>
  <c r="F44" i="19" s="1"/>
  <c r="D44" i="19"/>
  <c r="C44" i="19"/>
  <c r="C46" i="19" s="1"/>
  <c r="F43" i="19"/>
  <c r="D43" i="19"/>
  <c r="F42" i="19"/>
  <c r="D42" i="19"/>
  <c r="F41" i="19"/>
  <c r="D41" i="19"/>
  <c r="F40" i="19"/>
  <c r="D40" i="19"/>
  <c r="F39" i="19"/>
  <c r="D39" i="19"/>
  <c r="F38" i="19"/>
  <c r="D38" i="19"/>
  <c r="F37" i="19"/>
  <c r="D37" i="19"/>
  <c r="G34" i="19"/>
  <c r="K34" i="2" s="1"/>
  <c r="K16" i="8" s="1"/>
  <c r="C155" i="13" s="1"/>
  <c r="F32" i="19"/>
  <c r="D32" i="19"/>
  <c r="G31" i="19"/>
  <c r="E31" i="19"/>
  <c r="C31" i="19"/>
  <c r="F30" i="19"/>
  <c r="D30" i="19"/>
  <c r="F29" i="19"/>
  <c r="D29" i="19"/>
  <c r="F28" i="19"/>
  <c r="D28" i="19"/>
  <c r="F27" i="19"/>
  <c r="D27" i="19"/>
  <c r="F26" i="19"/>
  <c r="D26" i="19"/>
  <c r="F25" i="19"/>
  <c r="D25" i="19"/>
  <c r="F24" i="19"/>
  <c r="D24" i="19"/>
  <c r="F23" i="19"/>
  <c r="D23" i="19"/>
  <c r="G21" i="19"/>
  <c r="D21" i="19"/>
  <c r="F20" i="19"/>
  <c r="D20" i="19"/>
  <c r="F19" i="19"/>
  <c r="D19" i="19"/>
  <c r="F18" i="19"/>
  <c r="D18" i="19"/>
  <c r="F17" i="19"/>
  <c r="D17" i="19"/>
  <c r="F16" i="19"/>
  <c r="D16" i="19"/>
  <c r="F15" i="19"/>
  <c r="D15" i="19"/>
  <c r="G14" i="19"/>
  <c r="E14" i="19"/>
  <c r="F14" i="19" s="1"/>
  <c r="C14" i="19"/>
  <c r="D14" i="19" s="1"/>
  <c r="F13" i="19"/>
  <c r="D13" i="19"/>
  <c r="F12" i="19"/>
  <c r="D12" i="19"/>
  <c r="F11" i="19"/>
  <c r="D11" i="19"/>
  <c r="F10" i="19"/>
  <c r="D10" i="19"/>
  <c r="F9" i="19"/>
  <c r="D9" i="19"/>
  <c r="F8" i="19"/>
  <c r="D8" i="19"/>
  <c r="F65" i="4"/>
  <c r="D65" i="4"/>
  <c r="F64" i="4"/>
  <c r="D64" i="4"/>
  <c r="G57" i="4"/>
  <c r="E57" i="4"/>
  <c r="C57" i="4"/>
  <c r="F56" i="4"/>
  <c r="D56" i="4"/>
  <c r="D55" i="4"/>
  <c r="F54" i="4"/>
  <c r="D54" i="4"/>
  <c r="F52" i="4"/>
  <c r="D52" i="4"/>
  <c r="F51" i="4"/>
  <c r="D51" i="4"/>
  <c r="D50" i="4"/>
  <c r="F49" i="4"/>
  <c r="D49" i="4"/>
  <c r="F46" i="4"/>
  <c r="D46" i="4"/>
  <c r="F45" i="4"/>
  <c r="D45" i="4"/>
  <c r="F44" i="4"/>
  <c r="D44" i="4"/>
  <c r="F43" i="4"/>
  <c r="D43" i="4"/>
  <c r="F42" i="4"/>
  <c r="D42" i="4"/>
  <c r="F41" i="4"/>
  <c r="D41" i="4"/>
  <c r="F40" i="4"/>
  <c r="D40" i="4"/>
  <c r="F39" i="4"/>
  <c r="D39" i="4"/>
  <c r="F32" i="4"/>
  <c r="D32" i="4"/>
  <c r="F29" i="4"/>
  <c r="D29" i="4"/>
  <c r="F26" i="4"/>
  <c r="D26" i="4"/>
  <c r="F25" i="4"/>
  <c r="D25" i="4"/>
  <c r="F21" i="4"/>
  <c r="D21" i="4"/>
  <c r="F20" i="4"/>
  <c r="D20" i="4"/>
  <c r="F16" i="4"/>
  <c r="D16" i="4"/>
  <c r="G19" i="4"/>
  <c r="E19" i="4"/>
  <c r="F17" i="4"/>
  <c r="D17" i="4"/>
  <c r="F15" i="4"/>
  <c r="D15" i="4"/>
  <c r="F14" i="4"/>
  <c r="D14" i="4"/>
  <c r="G12" i="4"/>
  <c r="E12" i="4"/>
  <c r="E23" i="4" s="1"/>
  <c r="C12" i="4"/>
  <c r="C23" i="4" s="1"/>
  <c r="F11" i="4"/>
  <c r="D11" i="4"/>
  <c r="F10" i="4"/>
  <c r="D10" i="4"/>
  <c r="F9" i="4"/>
  <c r="D9" i="4"/>
  <c r="F8" i="4"/>
  <c r="D8" i="4"/>
  <c r="F7" i="4"/>
  <c r="D7" i="4"/>
  <c r="G58" i="19" l="1"/>
  <c r="G59" i="19" s="1"/>
  <c r="J3" i="15" s="1"/>
  <c r="D24" i="22"/>
  <c r="K42" i="2"/>
  <c r="K19" i="8" s="1"/>
  <c r="D185" i="13" s="1"/>
  <c r="E46" i="19"/>
  <c r="E58" i="19" s="1"/>
  <c r="C47" i="22"/>
  <c r="C61" i="22" s="1"/>
  <c r="O42" i="2"/>
  <c r="O19" i="8" s="1"/>
  <c r="E185" i="13" s="1"/>
  <c r="D36" i="22"/>
  <c r="O11" i="2"/>
  <c r="O8" i="8" s="1"/>
  <c r="C36" i="13" s="1"/>
  <c r="E27" i="22"/>
  <c r="N34" i="2" s="1"/>
  <c r="F15" i="5" s="1"/>
  <c r="M42" i="2"/>
  <c r="M19" i="8" s="1"/>
  <c r="E187" i="13" s="1"/>
  <c r="F31" i="19"/>
  <c r="C21" i="19"/>
  <c r="C34" i="19" s="1"/>
  <c r="I34" i="2" s="1"/>
  <c r="D18" i="22"/>
  <c r="F36" i="22"/>
  <c r="O34" i="2"/>
  <c r="G15" i="5" s="1"/>
  <c r="G49" i="22"/>
  <c r="D46" i="19"/>
  <c r="C58" i="19"/>
  <c r="D58" i="19" s="1"/>
  <c r="D45" i="22"/>
  <c r="I39" i="2"/>
  <c r="E17" i="18" s="1"/>
  <c r="F46" i="19"/>
  <c r="C27" i="22"/>
  <c r="M11" i="2"/>
  <c r="E7" i="5" s="1"/>
  <c r="O47" i="2"/>
  <c r="O21" i="8" s="1"/>
  <c r="E200" i="13" s="1"/>
  <c r="E21" i="19"/>
  <c r="F21" i="19" s="1"/>
  <c r="D31" i="19"/>
  <c r="E34" i="19"/>
  <c r="D43" i="22"/>
  <c r="E45" i="22"/>
  <c r="G61" i="22"/>
  <c r="K39" i="2"/>
  <c r="G17" i="18" s="1"/>
  <c r="E5" i="5"/>
  <c r="D59" i="22"/>
  <c r="N39" i="2"/>
  <c r="N18" i="8" s="1"/>
  <c r="E171" i="13" s="1"/>
  <c r="O6" i="8"/>
  <c r="M50" i="2"/>
  <c r="F59" i="22"/>
  <c r="I42" i="2"/>
  <c r="I19" i="8" s="1"/>
  <c r="D187" i="13" s="1"/>
  <c r="N50" i="2"/>
  <c r="G23" i="4"/>
  <c r="F23" i="4" s="1"/>
  <c r="D56" i="19"/>
  <c r="M47" i="2"/>
  <c r="E20" i="5" s="1"/>
  <c r="O50" i="2"/>
  <c r="N47" i="2"/>
  <c r="F20" i="5" s="1"/>
  <c r="K31" i="2"/>
  <c r="K25" i="2"/>
  <c r="K20" i="2"/>
  <c r="C22" i="4"/>
  <c r="I20" i="2"/>
  <c r="I11" i="8" s="1"/>
  <c r="E89" i="13" s="1"/>
  <c r="I31" i="2"/>
  <c r="I25" i="2"/>
  <c r="J31" i="2"/>
  <c r="J15" i="8" s="1"/>
  <c r="D140" i="13" s="1"/>
  <c r="J25" i="2"/>
  <c r="F12" i="18" s="1"/>
  <c r="J20" i="2"/>
  <c r="E22" i="4"/>
  <c r="G22" i="4"/>
  <c r="I14" i="2"/>
  <c r="E8" i="18" s="1"/>
  <c r="I5" i="2"/>
  <c r="E5" i="18" s="1"/>
  <c r="J5" i="2"/>
  <c r="F5" i="18" s="1"/>
  <c r="K28" i="8"/>
  <c r="C300" i="13" s="1"/>
  <c r="E27" i="5"/>
  <c r="G27" i="5"/>
  <c r="M18" i="8"/>
  <c r="E172" i="13" s="1"/>
  <c r="G18" i="18"/>
  <c r="N21" i="8"/>
  <c r="E201" i="13" s="1"/>
  <c r="G17" i="5"/>
  <c r="N28" i="8"/>
  <c r="D301" i="13" s="1"/>
  <c r="E27" i="18"/>
  <c r="G18" i="5"/>
  <c r="F27" i="18"/>
  <c r="F12" i="4"/>
  <c r="J14" i="2"/>
  <c r="J9" i="8" s="1"/>
  <c r="D55" i="13" s="1"/>
  <c r="F57" i="4"/>
  <c r="K14" i="2"/>
  <c r="O26" i="8"/>
  <c r="C268" i="13" s="1"/>
  <c r="O65" i="2"/>
  <c r="G26" i="5" s="1"/>
  <c r="D10" i="20"/>
  <c r="E46" i="20"/>
  <c r="C46" i="20"/>
  <c r="E20" i="18"/>
  <c r="F20" i="18"/>
  <c r="G20" i="18"/>
  <c r="I22" i="8"/>
  <c r="E217" i="13" s="1"/>
  <c r="J22" i="8"/>
  <c r="D217" i="13" s="1"/>
  <c r="K22" i="8"/>
  <c r="C217" i="13" s="1"/>
  <c r="D57" i="4"/>
  <c r="K26" i="8"/>
  <c r="C267" i="13" s="1"/>
  <c r="M6" i="8"/>
  <c r="K65" i="2"/>
  <c r="K27" i="8" s="1"/>
  <c r="C284" i="13" s="1"/>
  <c r="D12" i="4"/>
  <c r="F12" i="15"/>
  <c r="E14" i="15"/>
  <c r="E13" i="18"/>
  <c r="D12" i="15"/>
  <c r="G7" i="18"/>
  <c r="J53" i="2"/>
  <c r="J23" i="8" s="1"/>
  <c r="D237" i="13" s="1"/>
  <c r="F13" i="18"/>
  <c r="J8" i="8"/>
  <c r="D35" i="13" s="1"/>
  <c r="F14" i="18"/>
  <c r="I26" i="8"/>
  <c r="E267" i="13" s="1"/>
  <c r="E25" i="18"/>
  <c r="G14" i="18"/>
  <c r="K15" i="8"/>
  <c r="C140" i="13" s="1"/>
  <c r="J26" i="8"/>
  <c r="D267" i="13" s="1"/>
  <c r="F25" i="18"/>
  <c r="I9" i="8"/>
  <c r="D56" i="13" s="1"/>
  <c r="G15" i="18"/>
  <c r="E24" i="18"/>
  <c r="I25" i="8"/>
  <c r="E253" i="13" s="1"/>
  <c r="I65" i="2"/>
  <c r="E7" i="18"/>
  <c r="F24" i="18"/>
  <c r="J25" i="8"/>
  <c r="D253" i="13" s="1"/>
  <c r="J65" i="2"/>
  <c r="G13" i="18"/>
  <c r="G24" i="18"/>
  <c r="F5" i="5"/>
  <c r="G5" i="5"/>
  <c r="G24" i="5"/>
  <c r="M8" i="8"/>
  <c r="E36" i="13" s="1"/>
  <c r="N65" i="2"/>
  <c r="F26" i="5" s="1"/>
  <c r="N25" i="8"/>
  <c r="D254" i="13" s="1"/>
  <c r="G46" i="20"/>
  <c r="G13" i="5"/>
  <c r="N14" i="8"/>
  <c r="E126" i="13" s="1"/>
  <c r="M26" i="8"/>
  <c r="E268" i="13" s="1"/>
  <c r="F7" i="5"/>
  <c r="F10" i="20"/>
  <c r="E13" i="5"/>
  <c r="E24" i="5"/>
  <c r="M65" i="2"/>
  <c r="E15" i="18" l="1"/>
  <c r="I16" i="8"/>
  <c r="E155" i="13" s="1"/>
  <c r="G7" i="5"/>
  <c r="F27" i="22"/>
  <c r="F58" i="19"/>
  <c r="O16" i="8"/>
  <c r="C156" i="13" s="1"/>
  <c r="F17" i="5"/>
  <c r="J39" i="2"/>
  <c r="D34" i="19"/>
  <c r="N16" i="8"/>
  <c r="D156" i="13" s="1"/>
  <c r="E18" i="18"/>
  <c r="I18" i="8"/>
  <c r="D172" i="13" s="1"/>
  <c r="E18" i="5"/>
  <c r="J42" i="2"/>
  <c r="O22" i="8"/>
  <c r="C218" i="13" s="1"/>
  <c r="G21" i="5"/>
  <c r="E21" i="5"/>
  <c r="M22" i="8"/>
  <c r="E218" i="13" s="1"/>
  <c r="K53" i="2"/>
  <c r="G22" i="18" s="1"/>
  <c r="G20" i="5"/>
  <c r="E47" i="22"/>
  <c r="F45" i="22"/>
  <c r="K5" i="2"/>
  <c r="K6" i="8" s="1"/>
  <c r="C4" i="13" s="1"/>
  <c r="E59" i="19"/>
  <c r="J34" i="2"/>
  <c r="F34" i="19"/>
  <c r="M34" i="2"/>
  <c r="C49" i="22"/>
  <c r="D27" i="22"/>
  <c r="M21" i="8"/>
  <c r="E202" i="13" s="1"/>
  <c r="F21" i="5"/>
  <c r="N22" i="8"/>
  <c r="D218" i="13" s="1"/>
  <c r="C59" i="19"/>
  <c r="K18" i="8"/>
  <c r="D170" i="13" s="1"/>
  <c r="N42" i="2"/>
  <c r="I53" i="2"/>
  <c r="E22" i="18" s="1"/>
  <c r="F22" i="4"/>
  <c r="D22" i="4"/>
  <c r="F8" i="18"/>
  <c r="G25" i="18"/>
  <c r="I6" i="8"/>
  <c r="E4" i="13" s="1"/>
  <c r="G25" i="5"/>
  <c r="O27" i="8"/>
  <c r="C285" i="13" s="1"/>
  <c r="F46" i="20"/>
  <c r="G27" i="4"/>
  <c r="G30" i="4" s="1"/>
  <c r="G35" i="4" s="1"/>
  <c r="G26" i="18"/>
  <c r="D46" i="20"/>
  <c r="N27" i="8"/>
  <c r="D285" i="13" s="1"/>
  <c r="J13" i="8"/>
  <c r="D108" i="13" s="1"/>
  <c r="J6" i="8"/>
  <c r="D4" i="13" s="1"/>
  <c r="E10" i="18"/>
  <c r="F22" i="18"/>
  <c r="C27" i="4"/>
  <c r="C30" i="4" s="1"/>
  <c r="G8" i="18"/>
  <c r="K9" i="8"/>
  <c r="D54" i="13" s="1"/>
  <c r="G12" i="18"/>
  <c r="K13" i="8"/>
  <c r="D107" i="13" s="1"/>
  <c r="F10" i="18"/>
  <c r="J11" i="8"/>
  <c r="D89" i="13" s="1"/>
  <c r="D23" i="4"/>
  <c r="E27" i="4"/>
  <c r="G10" i="18"/>
  <c r="K11" i="8"/>
  <c r="C89" i="13" s="1"/>
  <c r="E12" i="18"/>
  <c r="I13" i="8"/>
  <c r="D109" i="13" s="1"/>
  <c r="I27" i="8"/>
  <c r="E284" i="13" s="1"/>
  <c r="E26" i="18"/>
  <c r="E14" i="18"/>
  <c r="I15" i="8"/>
  <c r="E140" i="13" s="1"/>
  <c r="J27" i="8"/>
  <c r="D284" i="13" s="1"/>
  <c r="F26" i="18"/>
  <c r="G5" i="18"/>
  <c r="K23" i="8"/>
  <c r="D236" i="13" s="1"/>
  <c r="E25" i="5"/>
  <c r="N26" i="8"/>
  <c r="D268" i="13" s="1"/>
  <c r="F25" i="5"/>
  <c r="E26" i="5"/>
  <c r="M27" i="8"/>
  <c r="E285" i="13" s="1"/>
  <c r="J18" i="8" l="1"/>
  <c r="D171" i="13" s="1"/>
  <c r="F17" i="18"/>
  <c r="F18" i="18"/>
  <c r="J19" i="8"/>
  <c r="D186" i="13" s="1"/>
  <c r="F47" i="22"/>
  <c r="D47" i="22"/>
  <c r="E49" i="22"/>
  <c r="F49" i="22" s="1"/>
  <c r="E61" i="22"/>
  <c r="N19" i="8"/>
  <c r="E186" i="13" s="1"/>
  <c r="F18" i="5"/>
  <c r="E15" i="5"/>
  <c r="M16" i="8"/>
  <c r="E156" i="13" s="1"/>
  <c r="L3" i="15"/>
  <c r="D59" i="19"/>
  <c r="J16" i="8"/>
  <c r="D155" i="13" s="1"/>
  <c r="F15" i="18"/>
  <c r="K3" i="15"/>
  <c r="F59" i="19"/>
  <c r="I23" i="8"/>
  <c r="D238" i="13" s="1"/>
  <c r="C35" i="4"/>
  <c r="K8" i="2"/>
  <c r="K7" i="8" s="1"/>
  <c r="D19" i="13" s="1"/>
  <c r="E30" i="4"/>
  <c r="J17" i="2" s="1"/>
  <c r="F27" i="4"/>
  <c r="K17" i="2"/>
  <c r="K10" i="8" s="1"/>
  <c r="C71" i="13" s="1"/>
  <c r="D27" i="4"/>
  <c r="I8" i="2"/>
  <c r="I17" i="2"/>
  <c r="D49" i="22" l="1"/>
  <c r="J8" i="2"/>
  <c r="D30" i="4"/>
  <c r="G6" i="18"/>
  <c r="G9" i="18"/>
  <c r="E35" i="4"/>
  <c r="F35" i="4" s="1"/>
  <c r="F30" i="4"/>
  <c r="J10" i="8"/>
  <c r="D71" i="13" s="1"/>
  <c r="F9" i="18"/>
  <c r="E9" i="18"/>
  <c r="I10" i="8"/>
  <c r="E71" i="13" s="1"/>
  <c r="F6" i="18"/>
  <c r="J7" i="8"/>
  <c r="D20" i="13" s="1"/>
  <c r="E6" i="18"/>
  <c r="I7" i="8"/>
  <c r="D21" i="13" s="1"/>
  <c r="C27" i="20"/>
  <c r="M8" i="2"/>
  <c r="E6" i="5" s="1"/>
  <c r="M53" i="2"/>
  <c r="E22" i="5" s="1"/>
  <c r="C47" i="20"/>
  <c r="M23" i="8" l="1"/>
  <c r="E238" i="13" s="1"/>
  <c r="D35" i="4"/>
  <c r="M7" i="8"/>
  <c r="E21" i="13" s="1"/>
  <c r="C49" i="20"/>
  <c r="M17" i="2"/>
  <c r="E9" i="5" l="1"/>
  <c r="M10" i="8"/>
  <c r="C72" i="13" s="1"/>
  <c r="E47" i="20"/>
  <c r="E49" i="20" s="1"/>
  <c r="D20" i="20"/>
  <c r="N17" i="2"/>
  <c r="N10" i="8" s="1"/>
  <c r="D72" i="13" s="1"/>
  <c r="N53" i="2"/>
  <c r="F22" i="5" s="1"/>
  <c r="N23" i="8"/>
  <c r="E237" i="13" s="1"/>
  <c r="N8" i="2"/>
  <c r="F6" i="5" l="1"/>
  <c r="N7" i="8"/>
  <c r="E20" i="13" s="1"/>
  <c r="D49" i="20"/>
  <c r="F9" i="5"/>
  <c r="E27" i="20"/>
  <c r="D47" i="20"/>
  <c r="D24" i="20"/>
  <c r="D27" i="20" l="1"/>
  <c r="F20" i="20"/>
  <c r="O53" i="2"/>
  <c r="O23" i="8" s="1"/>
  <c r="E236" i="13" s="1"/>
  <c r="G27" i="20"/>
  <c r="F27" i="20" s="1"/>
  <c r="O8" i="2"/>
  <c r="O7" i="8" s="1"/>
  <c r="E19" i="13" s="1"/>
  <c r="G6" i="5" l="1"/>
  <c r="G22" i="5"/>
  <c r="G47" i="20"/>
  <c r="O17" i="2"/>
  <c r="F24" i="20"/>
  <c r="O10" i="8" l="1"/>
  <c r="E72" i="13" s="1"/>
  <c r="G9" i="5"/>
  <c r="G49" i="20"/>
  <c r="F49" i="20" s="1"/>
  <c r="F47" i="20"/>
  <c r="D141" i="13" l="1"/>
  <c r="N15" i="8"/>
  <c r="F10" i="5"/>
  <c r="N20" i="2"/>
  <c r="N11" i="8"/>
  <c r="D90" i="13"/>
  <c r="E54" i="13"/>
  <c r="O9" i="8"/>
  <c r="D19" i="20"/>
  <c r="C19" i="20"/>
  <c r="C90" i="13"/>
  <c r="O11" i="8"/>
  <c r="C141" i="13"/>
  <c r="M15" i="8"/>
  <c r="E108" i="13"/>
  <c r="N13" i="8"/>
  <c r="E12" i="5"/>
  <c r="O14" i="2"/>
  <c r="G8" i="5"/>
  <c r="N25" i="2"/>
  <c r="F12" i="5"/>
  <c r="E141" i="13"/>
  <c r="O15" i="8"/>
  <c r="O20" i="2"/>
  <c r="G10" i="5"/>
  <c r="M25" i="2"/>
  <c r="M13" i="8"/>
  <c r="E109" i="13"/>
  <c r="G12" i="5"/>
  <c r="M31" i="2"/>
  <c r="E14" i="5"/>
  <c r="E56" i="13"/>
  <c r="M9" i="8"/>
  <c r="E55" i="13"/>
  <c r="N9" i="8"/>
  <c r="O25" i="2"/>
  <c r="O13" i="8"/>
  <c r="E107" i="13"/>
  <c r="N31" i="2"/>
  <c r="F14" i="5"/>
  <c r="M14" i="2"/>
  <c r="E8" i="5"/>
  <c r="N14" i="2"/>
  <c r="F8" i="5"/>
  <c r="G19" i="20"/>
  <c r="G16" i="20"/>
  <c r="O31" i="2"/>
  <c r="G14" i="5"/>
  <c r="E90" i="13"/>
  <c r="M11" i="8"/>
  <c r="E16" i="20"/>
  <c r="E19" i="20"/>
  <c r="F19" i="20"/>
  <c r="C16" i="20"/>
  <c r="M20" i="2"/>
  <c r="E10" i="5"/>
</calcChain>
</file>

<file path=xl/sharedStrings.xml><?xml version="1.0" encoding="utf-8"?>
<sst xmlns="http://schemas.openxmlformats.org/spreadsheetml/2006/main" count="648" uniqueCount="337">
  <si>
    <t>Sr. No</t>
  </si>
  <si>
    <t>Category</t>
  </si>
  <si>
    <t>Profitability Ratios</t>
  </si>
  <si>
    <t>ROCE - Return on Capital Employed</t>
  </si>
  <si>
    <t>ROE - Return on Equity / Shareholders Funds</t>
  </si>
  <si>
    <t>Capital Turnover</t>
  </si>
  <si>
    <t>Net and Gross Margins</t>
  </si>
  <si>
    <t>=</t>
  </si>
  <si>
    <t>Operating Profit</t>
  </si>
  <si>
    <t>Total Equity + Long-Term Debt (Outside borrowings)</t>
  </si>
  <si>
    <t>x 100</t>
  </si>
  <si>
    <t>Return on Equity</t>
  </si>
  <si>
    <t>Net Profit after Interest and Tax</t>
  </si>
  <si>
    <t>Total Equity</t>
  </si>
  <si>
    <t>Sales</t>
  </si>
  <si>
    <t>x times : 1</t>
  </si>
  <si>
    <t>Gross Margin</t>
  </si>
  <si>
    <t>Gross Profit</t>
  </si>
  <si>
    <t>Net Margin</t>
  </si>
  <si>
    <t>Net Profit</t>
  </si>
  <si>
    <t>Ratios</t>
  </si>
  <si>
    <t>Efficiency Ratios</t>
  </si>
  <si>
    <t>Inventory Days</t>
  </si>
  <si>
    <t>Trade Receivable Days</t>
  </si>
  <si>
    <t>Trade Payable Days</t>
  </si>
  <si>
    <t>Asset Turnover</t>
  </si>
  <si>
    <t>Inventory (Closing or Average)</t>
  </si>
  <si>
    <t xml:space="preserve">Trade Receivables </t>
  </si>
  <si>
    <t>Trade Payables</t>
  </si>
  <si>
    <t>Total Assets</t>
  </si>
  <si>
    <t>CURRENT ASSETS</t>
  </si>
  <si>
    <t>Cash and cash equivalents</t>
  </si>
  <si>
    <t>TOTAL ASSETS</t>
  </si>
  <si>
    <t>CURRENT LIABILITIES</t>
  </si>
  <si>
    <t>TOTAL EQUITY</t>
  </si>
  <si>
    <t>USD ($) in Millions</t>
  </si>
  <si>
    <t>NON-CURRENT ASSETS</t>
  </si>
  <si>
    <t>NON-CURRENT LIABILITIES</t>
  </si>
  <si>
    <t>TOTAL LIABILITIES</t>
  </si>
  <si>
    <t>Tax</t>
  </si>
  <si>
    <t>Other comprehensive income</t>
  </si>
  <si>
    <t>Less: Comprehensive income / (loss) attributable to noncontrolling interests</t>
  </si>
  <si>
    <t>Total Comprehensive Income / (Loss), Net of Tax</t>
  </si>
  <si>
    <t>Capital Employed ( Total Equity + Long-Term Debt ( Outside borrowings))</t>
  </si>
  <si>
    <t>x 365</t>
  </si>
  <si>
    <t>Ideal Ratio</t>
  </si>
  <si>
    <t>&gt; 15 %</t>
  </si>
  <si>
    <t>&gt; 15 % - 20 %</t>
  </si>
  <si>
    <t>0.25 - 5</t>
  </si>
  <si>
    <t>&gt; Receivable Days</t>
  </si>
  <si>
    <t>&lt; Payable Days</t>
  </si>
  <si>
    <t>Ratio</t>
  </si>
  <si>
    <t>Gross Margins</t>
  </si>
  <si>
    <t>&gt; 20 % is High</t>
  </si>
  <si>
    <t>&gt; 10 % is High</t>
  </si>
  <si>
    <t>Industry</t>
  </si>
  <si>
    <t>Profitability Ratio</t>
  </si>
  <si>
    <r>
      <t>•</t>
    </r>
    <r>
      <rPr>
        <b/>
        <sz val="12"/>
        <color rgb="FF3F3F3F"/>
        <rFont val="Calibri"/>
        <family val="2"/>
        <scheme val="minor"/>
      </rPr>
      <t>Identify trends over last 3 years (increase/decrease?)</t>
    </r>
  </si>
  <si>
    <r>
      <t>•</t>
    </r>
    <r>
      <rPr>
        <b/>
        <sz val="12"/>
        <color rgb="FF3F3F3F"/>
        <rFont val="Calibri"/>
        <family val="2"/>
        <scheme val="minor"/>
      </rPr>
      <t>Look at Chairpersons Report or CFO Report to identify reasons for increase/decrease in profit ratios</t>
    </r>
  </si>
  <si>
    <r>
      <t>•</t>
    </r>
    <r>
      <rPr>
        <b/>
        <sz val="12"/>
        <color rgb="FF3F3F3F"/>
        <rFont val="Calibri"/>
        <family val="2"/>
        <scheme val="minor"/>
      </rPr>
      <t>Compare to competitors</t>
    </r>
  </si>
  <si>
    <r>
      <t>•</t>
    </r>
    <r>
      <rPr>
        <b/>
        <sz val="12"/>
        <color rgb="FF3F3F3F"/>
        <rFont val="Calibri"/>
        <family val="2"/>
        <scheme val="minor"/>
      </rPr>
      <t xml:space="preserve">What was happening in that industry sector (Google it!) </t>
    </r>
  </si>
  <si>
    <r>
      <t>•</t>
    </r>
    <r>
      <rPr>
        <b/>
        <sz val="12"/>
        <color rgb="FF3F3F3F"/>
        <rFont val="Calibri"/>
        <family val="2"/>
        <scheme val="minor"/>
      </rPr>
      <t>Look at the ratio of cost of sales to sales - increasing or decreasing over the period you are analysing? (increase could suggest increase in cost of raw materials)?</t>
    </r>
  </si>
  <si>
    <r>
      <t>•</t>
    </r>
    <r>
      <rPr>
        <b/>
        <sz val="12"/>
        <color rgb="FF3F3F3F"/>
        <rFont val="Calibri"/>
        <family val="2"/>
        <scheme val="minor"/>
      </rPr>
      <t>Compare to Rules of Thumb</t>
    </r>
  </si>
  <si>
    <t>Reference for Industry Standard</t>
  </si>
  <si>
    <t>Cost of Sales to Sales</t>
  </si>
  <si>
    <t>Cost of Sales</t>
  </si>
  <si>
    <t>-</t>
  </si>
  <si>
    <t>Less: Net Income attributable to noncontrolling interests</t>
  </si>
  <si>
    <t>Current Liabilities</t>
  </si>
  <si>
    <t>Non-controlling interest</t>
  </si>
  <si>
    <t>Identify trends over last 3 years (increase/decrease?)</t>
  </si>
  <si>
    <t>Inventory days look very high – keeping stock for half a year – quite long but need to see what competitors/industry norm is</t>
  </si>
  <si>
    <t xml:space="preserve">Trade receivable much lower than payable – good for cashflow </t>
  </si>
  <si>
    <t xml:space="preserve">However 136 days to pay looks long – need to see what norm is for this industry and check contracts </t>
  </si>
  <si>
    <t xml:space="preserve">Asset turnover – looks reasonable – again compare to competitors and industry norm </t>
  </si>
  <si>
    <t>Efficiency Ratio</t>
  </si>
  <si>
    <t>Liquidity Ratios</t>
  </si>
  <si>
    <t>Current Ratio</t>
  </si>
  <si>
    <t>Acid Test Ratio/ Quick Ratio</t>
  </si>
  <si>
    <t>Current Assets</t>
  </si>
  <si>
    <t>2:1</t>
  </si>
  <si>
    <t>Acid Test Ratio / Quick Ratio</t>
  </si>
  <si>
    <t>Current Asset - Inventory</t>
  </si>
  <si>
    <t>1:1</t>
  </si>
  <si>
    <t>Financial Ratios</t>
  </si>
  <si>
    <t>Debt to Equity</t>
  </si>
  <si>
    <t>Gearing</t>
  </si>
  <si>
    <t>Interest coverage</t>
  </si>
  <si>
    <t>Debt to Equity Ratio</t>
  </si>
  <si>
    <t>Equity</t>
  </si>
  <si>
    <t>Non-Current Outside Liability</t>
  </si>
  <si>
    <t>Gearing Ratio</t>
  </si>
  <si>
    <t>Non-Current Outside Liability + Equity</t>
  </si>
  <si>
    <t>25%-50%</t>
  </si>
  <si>
    <t>Interest Coverate Ratio</t>
  </si>
  <si>
    <t>Net Profit before Interest and Tax</t>
  </si>
  <si>
    <t>Interest Payable</t>
  </si>
  <si>
    <t>3-5</t>
  </si>
  <si>
    <t>Interest Coverage</t>
  </si>
  <si>
    <t>Investment Ratios</t>
  </si>
  <si>
    <t>EPS</t>
  </si>
  <si>
    <t>PE</t>
  </si>
  <si>
    <t>Dividend Coverage</t>
  </si>
  <si>
    <t>Dividend Yield</t>
  </si>
  <si>
    <t>Earnings per share</t>
  </si>
  <si>
    <t>Investment Ratio</t>
  </si>
  <si>
    <t>Price earning ratio</t>
  </si>
  <si>
    <t>Dividend Cover ratio</t>
  </si>
  <si>
    <t>Divident yeild ratio</t>
  </si>
  <si>
    <t>Price Earning Ratio</t>
  </si>
  <si>
    <t>Market Price per Share</t>
  </si>
  <si>
    <t>Divident Cover Ratio</t>
  </si>
  <si>
    <t>Dividend per share</t>
  </si>
  <si>
    <t>Dividend Yield Ratio</t>
  </si>
  <si>
    <t>Net profit after interest and tax attributable to shareholders</t>
  </si>
  <si>
    <t>s</t>
  </si>
  <si>
    <t>Year</t>
  </si>
  <si>
    <t>ROE</t>
  </si>
  <si>
    <t>ROCE</t>
  </si>
  <si>
    <t>Quick Ratio</t>
  </si>
  <si>
    <t>Interest Coverage Ratio</t>
  </si>
  <si>
    <t>Dividend Cover Ratio</t>
  </si>
  <si>
    <t>Change</t>
  </si>
  <si>
    <t>%</t>
  </si>
  <si>
    <t>Industry and Competitor Ratio Analysis</t>
  </si>
  <si>
    <t>Book Value</t>
  </si>
  <si>
    <t>Market Value</t>
  </si>
  <si>
    <t>Times</t>
  </si>
  <si>
    <t>Company Valuation - Book Value and Market Value</t>
  </si>
  <si>
    <t>Method</t>
  </si>
  <si>
    <t>Sr.No</t>
  </si>
  <si>
    <t>Book Value / per share</t>
  </si>
  <si>
    <t>Part 3</t>
  </si>
  <si>
    <t>Market Value / per share</t>
  </si>
  <si>
    <t>INCOME STATEMENT</t>
  </si>
  <si>
    <t>Oil &amp; Gas Industry</t>
  </si>
  <si>
    <t>Sales and other operating revenues</t>
  </si>
  <si>
    <t>Earnings from joint ventures – after interest and tax</t>
  </si>
  <si>
    <t>Earnings from associates – after interest and tax</t>
  </si>
  <si>
    <t>Interest and other income</t>
  </si>
  <si>
    <t>Gains on sale of businesses and fixed assets</t>
  </si>
  <si>
    <t>TOTAL REVENUES AND OTHER INCOMES</t>
  </si>
  <si>
    <t>Purchases</t>
  </si>
  <si>
    <t>Production and manufacturing expenses</t>
  </si>
  <si>
    <t>Production and similar taxes</t>
  </si>
  <si>
    <t>Depreciation, depletion and amortization</t>
  </si>
  <si>
    <t>Net impairment and losses on sale of businesses and fixed assets</t>
  </si>
  <si>
    <t>Exploration expense</t>
  </si>
  <si>
    <t xml:space="preserve">Distribution and administration expenses  </t>
  </si>
  <si>
    <t>Finance costs</t>
  </si>
  <si>
    <t xml:space="preserve">Net finance (income) expense relating to pensions and other post-employment benefits </t>
  </si>
  <si>
    <t>Profit/Loss for the Year</t>
  </si>
  <si>
    <t>Profit/Loss Before Tax</t>
  </si>
  <si>
    <t>Profit/Loss Before Interest &amp; Taxation</t>
  </si>
  <si>
    <t>Items that may be reclassified subsequently to profit or loss:</t>
  </si>
  <si>
    <t>Currency translation differences</t>
  </si>
  <si>
    <t>Exchange (gains) losses on translation of foreign operations reclassified to gain or loss on sale of businesses and fixed assets</t>
  </si>
  <si>
    <t xml:space="preserve">Cash flow hedges marked to market </t>
  </si>
  <si>
    <t xml:space="preserve">Cash flow hedges reclassified to the income statement </t>
  </si>
  <si>
    <t xml:space="preserve">Costs of hedging marked to market </t>
  </si>
  <si>
    <t xml:space="preserve">Costs of hedging reclassified to the income statement </t>
  </si>
  <si>
    <t>Share of items relating to equity-accounted entities, net of tax</t>
  </si>
  <si>
    <t>Income tax relating to items that may be reclassified</t>
  </si>
  <si>
    <t>OTHER COMPREHENSIVE INCOME</t>
  </si>
  <si>
    <t>Items that will not be reclassified to profit or loss</t>
  </si>
  <si>
    <t>OPERATING EXPENSES:</t>
  </si>
  <si>
    <t xml:space="preserve">Remeasurements of the net pension and other post-employment benefit liability or asset </t>
  </si>
  <si>
    <t>Remeasurements of equity investments</t>
  </si>
  <si>
    <t xml:space="preserve">Cash flow hedges that will subsequently be transferred to the balance sheet </t>
  </si>
  <si>
    <t>Income tax relating to items that will not be reclassified</t>
  </si>
  <si>
    <t>$M</t>
  </si>
  <si>
    <t>TOTAL COMPREHENSIVE INCOME (LOSS) ATTRIBUTABLE TO BP SHAREHOLDERS</t>
  </si>
  <si>
    <t>TOTAL INCOME (LOSS) ATTRIBUTABLE TO BP SHAREHOLDERS</t>
  </si>
  <si>
    <t>BP INCOME STATEMENT - FY ended Dec 31st. 2022, 2023 and 2024</t>
  </si>
  <si>
    <t>BASIC NET INCOME PER SHARE (cents)</t>
  </si>
  <si>
    <t>DILUTED NET INCOME PER SHARE (cents)</t>
  </si>
  <si>
    <t>EARNINGS PER SHARE</t>
  </si>
  <si>
    <t>PROFIT/LOSS FOR THE YEAR ATTRIBUTABLE TO BP SHAREHOLDERS</t>
  </si>
  <si>
    <t>Per Ordinary Shares</t>
  </si>
  <si>
    <t>BASIC NET INCOME PER SHARE (dollars)</t>
  </si>
  <si>
    <t>DILUTED NET INCOME PER SHARE (dollars)</t>
  </si>
  <si>
    <t>BP BALANCE SHEET - FY ended Dec 31st. 2022, 2023 and 2024</t>
  </si>
  <si>
    <t xml:space="preserve">BALANCE SHEET </t>
  </si>
  <si>
    <t xml:space="preserve">Property, plant and equipment </t>
  </si>
  <si>
    <t xml:space="preserve">Goodwill </t>
  </si>
  <si>
    <t xml:space="preserve">Intangible assets </t>
  </si>
  <si>
    <t xml:space="preserve">Investments in joint ventures </t>
  </si>
  <si>
    <t xml:space="preserve">Investments in associates </t>
  </si>
  <si>
    <t xml:space="preserve">Other investments </t>
  </si>
  <si>
    <t xml:space="preserve">Loans </t>
  </si>
  <si>
    <t xml:space="preserve">Trade and other receivables </t>
  </si>
  <si>
    <t xml:space="preserve">Derivative financial instruments </t>
  </si>
  <si>
    <t xml:space="preserve">Prepayments </t>
  </si>
  <si>
    <t xml:space="preserve">Deferred tax assets </t>
  </si>
  <si>
    <t xml:space="preserve">Defined benefit pension plan surpluses </t>
  </si>
  <si>
    <t xml:space="preserve">Inventories </t>
  </si>
  <si>
    <t xml:space="preserve">Current tax receivable </t>
  </si>
  <si>
    <t xml:space="preserve">Assets classified as held for sale </t>
  </si>
  <si>
    <t xml:space="preserve">Trade and other payables </t>
  </si>
  <si>
    <t xml:space="preserve">Accruals </t>
  </si>
  <si>
    <t xml:space="preserve">Lease liabilities </t>
  </si>
  <si>
    <t xml:space="preserve">Finance debt </t>
  </si>
  <si>
    <t>Current tax payable</t>
  </si>
  <si>
    <t>Provisions</t>
  </si>
  <si>
    <t xml:space="preserve">Liabilities directly associated with assets classified as held for sale </t>
  </si>
  <si>
    <t xml:space="preserve">Other payables </t>
  </si>
  <si>
    <t xml:space="preserve">Deferred tax liabilities </t>
  </si>
  <si>
    <t xml:space="preserve">Provisions </t>
  </si>
  <si>
    <t xml:space="preserve">Defined benefit pension plan and other post-employment benefit plan deficits </t>
  </si>
  <si>
    <t>Fixed Assets Total</t>
  </si>
  <si>
    <t xml:space="preserve">Non-controlling interests </t>
  </si>
  <si>
    <t>EQUITY</t>
  </si>
  <si>
    <t xml:space="preserve">BP shareholders’ equity </t>
  </si>
  <si>
    <t>NET ASSETS</t>
  </si>
  <si>
    <t>SHELL INCOME STATEMENT - FY ended Dec 31st. 2022, 2023 and 2024</t>
  </si>
  <si>
    <t xml:space="preserve">Revenue </t>
  </si>
  <si>
    <t xml:space="preserve">Share of profit of joint ventures and associates </t>
  </si>
  <si>
    <t xml:space="preserve">Interest and other income </t>
  </si>
  <si>
    <t>TOTAL EXPENDITURE</t>
  </si>
  <si>
    <t xml:space="preserve">Purchases </t>
  </si>
  <si>
    <t xml:space="preserve">Production and manufacturing expenses  </t>
  </si>
  <si>
    <t xml:space="preserve">Selling, distribution and administrative expenses </t>
  </si>
  <si>
    <t xml:space="preserve">Research and development </t>
  </si>
  <si>
    <t xml:space="preserve">Exploration  </t>
  </si>
  <si>
    <t xml:space="preserve">Depreciation, depletion and amortisation  </t>
  </si>
  <si>
    <t xml:space="preserve">Interest expense </t>
  </si>
  <si>
    <t>Profit/Loss for the Year Period</t>
  </si>
  <si>
    <t>TOTAL INCOME ATTRIBUTABLE TO SHELL SHAREHOLDERS</t>
  </si>
  <si>
    <t xml:space="preserve">Basic earnings per share ($)  </t>
  </si>
  <si>
    <t xml:space="preserve">Diluted earnings per share ($) </t>
  </si>
  <si>
    <t>OTHER COMPREHENSIVE INCOME (LOSS) NET OF TAX</t>
  </si>
  <si>
    <t xml:space="preserve">Currency translation differences </t>
  </si>
  <si>
    <t xml:space="preserve">Debt instruments remeasurements </t>
  </si>
  <si>
    <t xml:space="preserve">Cash flow hedging gains/(losses) </t>
  </si>
  <si>
    <t xml:space="preserve">Net investment hedging (losses)/gains  </t>
  </si>
  <si>
    <t xml:space="preserve">Deferred cost of hedging  </t>
  </si>
  <si>
    <t xml:space="preserve">Share of other comprehensive (loss)/income of joint ventures and associates </t>
  </si>
  <si>
    <t>Total</t>
  </si>
  <si>
    <t xml:space="preserve">Retirement benefits remeasurements </t>
  </si>
  <si>
    <t xml:space="preserve">Equity instruments remeasurements </t>
  </si>
  <si>
    <t xml:space="preserve">Share of other comprehensive income/(loss) of joint ventures and associates  </t>
  </si>
  <si>
    <t>Other comprehensive income/loss for the period</t>
  </si>
  <si>
    <t>SHELL BALANCE SHEET - FY ended Dec 31st. 2022, 2023 and 2024</t>
  </si>
  <si>
    <t xml:space="preserve">Other intangible assets </t>
  </si>
  <si>
    <t xml:space="preserve">Joint ventures and associates </t>
  </si>
  <si>
    <t xml:space="preserve">Investments in securities </t>
  </si>
  <si>
    <t xml:space="preserve">Deferred tax </t>
  </si>
  <si>
    <t>Retirement benefits</t>
  </si>
  <si>
    <t xml:space="preserve">Inventories  </t>
  </si>
  <si>
    <t xml:space="preserve">Cash and cash equivalents  </t>
  </si>
  <si>
    <t xml:space="preserve">Debt </t>
  </si>
  <si>
    <t xml:space="preserve">Retirement benefits </t>
  </si>
  <si>
    <t xml:space="preserve">Decommissioning and other provisions </t>
  </si>
  <si>
    <t xml:space="preserve">Derivative financial instruments  </t>
  </si>
  <si>
    <t xml:space="preserve">Income taxes payable </t>
  </si>
  <si>
    <t>Decommissioning and other provisions</t>
  </si>
  <si>
    <t xml:space="preserve">Share capital </t>
  </si>
  <si>
    <t xml:space="preserve">Shares held in trust </t>
  </si>
  <si>
    <t xml:space="preserve">Other reserves </t>
  </si>
  <si>
    <t xml:space="preserve">Retained earnings  </t>
  </si>
  <si>
    <t xml:space="preserve">Equity attributable to Shell plc shareholders </t>
  </si>
  <si>
    <t xml:space="preserve">Total Liabilities and Equity </t>
  </si>
  <si>
    <t>BRITISH PETROLEUM</t>
  </si>
  <si>
    <t xml:space="preserve">SHELL </t>
  </si>
  <si>
    <t>COST OF SALES</t>
  </si>
  <si>
    <t xml:space="preserve">Weighted average number of ordinary shares </t>
  </si>
  <si>
    <t>Per American Depositary Share ADS (dollars)</t>
  </si>
  <si>
    <t>Ratio analysis - British Petroleum</t>
  </si>
  <si>
    <t>Ratio analysis - Shell</t>
  </si>
  <si>
    <t>British Petroleum (BP)</t>
  </si>
  <si>
    <t>Shell</t>
  </si>
  <si>
    <t>Shell Share Market Price</t>
  </si>
  <si>
    <t>https://www.londonstockexchange.com/stock/SHEL/shell-plc/company-page</t>
  </si>
  <si>
    <t>BP Share Market Price</t>
  </si>
  <si>
    <t>https://www.londonstockexchange.com/stock/BP./bp-plc/company-page</t>
  </si>
  <si>
    <t>British Petroleum</t>
  </si>
  <si>
    <t>BP</t>
  </si>
  <si>
    <t>Divident yield ratio</t>
  </si>
  <si>
    <t>https://www.readyratios.com/sec/industry/13/?measure=average</t>
  </si>
  <si>
    <t>Earning Per Share</t>
  </si>
  <si>
    <t xml:space="preserve">Less: dividend requirements on preference shares </t>
  </si>
  <si>
    <t>Less: (gain) loss on redemption of perpetual hybrid bonds</t>
  </si>
  <si>
    <t>Basic Weighted Average Number of Ordinary Shares</t>
  </si>
  <si>
    <t>Annual Report BP - 2022</t>
  </si>
  <si>
    <t>Annual Report BP - 2023</t>
  </si>
  <si>
    <t>Annual Report BP - 2024</t>
  </si>
  <si>
    <t>Annual Report Shell - 2022</t>
  </si>
  <si>
    <t>Annual Report Shell - 2023</t>
  </si>
  <si>
    <t>Annual Report Shell - 2024</t>
  </si>
  <si>
    <t>Industry Standard Ratios Link</t>
  </si>
  <si>
    <t>https://www.shell.com/investors/results-and-reporting/annual-report/_jcr_content/root/main/section_2113846431/link_list/links/item0.stream/1742873115632/6c20b8111738b9a590ba145f0d1c4fa0e530dae0/shell-annual-report-2024.pdf</t>
  </si>
  <si>
    <t>https://www.shell.com/investors/results-and-reporting/annual-report-archive/_jcr_content/root/main/section_812377294/tabs/tab/text.multi.stream/1742905301176/ce28b952e201476287788cfcf35406e464f9785c/shell-annual-report-2023.pdf</t>
  </si>
  <si>
    <t>https://www.shell.com/investors/results-and-reporting/annual-report-archive/_jcr_content/root/main/section_812377294/tabs/tab_1219767661/text.multi.stream/1742905354181/24ff673614687df7a13f18ce0cbd126cd73bc788/shell-annual-report-2022.pdf</t>
  </si>
  <si>
    <t>https://www.bp.com/content/dam/bp/business-sites/en/global/corporate/pdfs/investors/bp-annual-report-and-form-20f-2024.pdf</t>
  </si>
  <si>
    <t>https://www.bp.com/content/dam/bp/business-sites/en/global/corporate/pdfs/investors/bp-annual-report-and-form-20f-2023.pdf</t>
  </si>
  <si>
    <t>https://www.bp.com/content/dam/bp/business-sites/en/global/corporate/pdfs/investors/bp-annual-report-and-form-20f-2022.pdf</t>
  </si>
  <si>
    <t>Profit/Loss Before Taxation &amp; Interest</t>
  </si>
  <si>
    <t>After Initiative</t>
  </si>
  <si>
    <t>Revenue</t>
  </si>
  <si>
    <t>$189.2B</t>
  </si>
  <si>
    <t>$192.2B (+$3B)</t>
  </si>
  <si>
    <t>↑ 1.6%</t>
  </si>
  <si>
    <t>$160.8B</t>
  </si>
  <si>
    <t>$159.6B (↓$1.2B)</t>
  </si>
  <si>
    <t>↓ 0.7%</t>
  </si>
  <si>
    <t>$11.3B</t>
  </si>
  <si>
    <t>$14.2B (↑$2.9B)</t>
  </si>
  <si>
    <t>↑ 25.7%</t>
  </si>
  <si>
    <t>Net Profit (est.)</t>
  </si>
  <si>
    <t>$2.38B</t>
  </si>
  <si>
    <t>$5.0B (↑$2.62B)</t>
  </si>
  <si>
    <t>↑ 110%</t>
  </si>
  <si>
    <t>Finance Debt</t>
  </si>
  <si>
    <t>$59.5B</t>
  </si>
  <si>
    <t>$54.5B (↓$5B)</t>
  </si>
  <si>
    <t>↓ 8.4%</t>
  </si>
  <si>
    <t>$47.6B</t>
  </si>
  <si>
    <t>$50.5B (retained earnings ↑)</t>
  </si>
  <si>
    <t>↑ 6.1%</t>
  </si>
  <si>
    <t>Debt-to-Equity</t>
  </si>
  <si>
    <t>After Initiative ($M)</t>
  </si>
  <si>
    <t>Remarks</t>
  </si>
  <si>
    <r>
      <t xml:space="preserve">Operating profit increase by </t>
    </r>
    <r>
      <rPr>
        <b/>
        <sz val="11"/>
        <color theme="1"/>
        <rFont val="Aptos"/>
        <family val="2"/>
      </rPr>
      <t>$5.5B</t>
    </r>
  </si>
  <si>
    <r>
      <t xml:space="preserve">Debt to be reduced by </t>
    </r>
    <r>
      <rPr>
        <b/>
        <sz val="11"/>
        <color theme="1"/>
        <rFont val="Aptos"/>
        <family val="2"/>
      </rPr>
      <t xml:space="preserve">$5B </t>
    </r>
    <r>
      <rPr>
        <sz val="11"/>
        <color theme="1"/>
        <rFont val="Aptos"/>
        <family val="2"/>
      </rPr>
      <t>from divestment proceeds</t>
    </r>
  </si>
  <si>
    <r>
      <t xml:space="preserve">Operating expenses to reduce by </t>
    </r>
    <r>
      <rPr>
        <b/>
        <sz val="11"/>
        <color theme="1"/>
        <rFont val="Aptos"/>
        <family val="2"/>
      </rPr>
      <t>$2.5B</t>
    </r>
  </si>
  <si>
    <r>
      <t xml:space="preserve">Additional </t>
    </r>
    <r>
      <rPr>
        <b/>
        <sz val="11"/>
        <color theme="1"/>
        <rFont val="Aptos"/>
        <family val="2"/>
      </rPr>
      <t xml:space="preserve">$3B </t>
    </r>
    <r>
      <rPr>
        <sz val="11"/>
        <color theme="1"/>
        <rFont val="Aptos"/>
        <family val="2"/>
      </rPr>
      <t>revenue</t>
    </r>
  </si>
  <si>
    <t>↑ Improved profitability</t>
  </si>
  <si>
    <t>↑ More efficient capital use</t>
  </si>
  <si>
    <t>↓ Lower risk</t>
  </si>
  <si>
    <t>Operating Profit Margin</t>
  </si>
  <si>
    <t>↑ Healthier core profit</t>
  </si>
  <si>
    <t>Before 2024 Actual</t>
  </si>
  <si>
    <t>Before Initiative</t>
  </si>
  <si>
    <t>Market Value &gt; Book Value</t>
  </si>
  <si>
    <t>https://www.poundsterlinglive.com/history/GBP-USD-2023</t>
  </si>
  <si>
    <t>Pounds to USD Exchange Rate History Link</t>
  </si>
  <si>
    <t xml:space="preserve">To get the Market Value, the market price per share from London SE website had to be converted from Pounds (pence) to USD. We got the convertion rate on Dec 31st, 2022, 2023 &amp; 2024 from the website.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</si>
</sst>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_xd83d_\_xdd3a_0%;\_xd83d_\_xdd3b_0%"/>
    <numFmt numFmtId="166" formatCode="0.0%"/>
  </numFmts>
  <fonts count="4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b/>
      <u/>
      <sz val="12"/>
      <color theme="1"/>
      <name val="Calibri"/>
      <family val="2"/>
      <scheme val="minor"/>
    </font>
    <font>
      <b/>
      <sz val="11"/>
      <name val="Calibri"/>
      <family val="2"/>
    </font>
    <font>
      <sz val="11"/>
      <name val="Calibri"/>
      <family val="2"/>
    </font>
    <font>
      <b/>
      <sz val="12"/>
      <color rgb="FF3F3F3F"/>
      <name val="Calibri"/>
      <family val="2"/>
      <scheme val="minor"/>
    </font>
    <font>
      <u/>
      <sz val="12"/>
      <color theme="10"/>
      <name val="Calibri"/>
      <family val="2"/>
      <scheme val="minor"/>
    </font>
    <font>
      <b/>
      <sz val="12"/>
      <name val="Calibri"/>
      <family val="2"/>
      <scheme val="minor"/>
    </font>
    <font>
      <sz val="11"/>
      <color rgb="FF00B050"/>
      <name val="Wingdings 3"/>
      <family val="1"/>
      <charset val="2"/>
    </font>
    <font>
      <b/>
      <sz val="12"/>
      <color rgb="FF00B050"/>
      <name val="Calibri (Body)_x0000_"/>
    </font>
    <font>
      <sz val="11"/>
      <color theme="1"/>
      <name val="Calibri"/>
      <family val="2"/>
      <scheme val="minor"/>
    </font>
    <font>
      <b/>
      <sz val="11"/>
      <color theme="1"/>
      <name val="Calibri"/>
      <family val="2"/>
      <scheme val="minor"/>
    </font>
    <font>
      <b/>
      <i/>
      <sz val="11"/>
      <color theme="1"/>
      <name val="Calibri"/>
      <family val="2"/>
    </font>
    <font>
      <sz val="11"/>
      <color theme="1"/>
      <name val="Calibri"/>
      <family val="2"/>
    </font>
    <font>
      <b/>
      <sz val="12"/>
      <color theme="1"/>
      <name val="Calibri"/>
      <family val="2"/>
    </font>
    <font>
      <b/>
      <sz val="11"/>
      <color theme="1"/>
      <name val="Calibri"/>
      <family val="2"/>
    </font>
    <font>
      <b/>
      <u/>
      <sz val="11"/>
      <color theme="1"/>
      <name val="Calibri"/>
      <family val="2"/>
      <scheme val="minor"/>
    </font>
    <font>
      <sz val="11"/>
      <name val="Calibri (Body)_x0000_"/>
    </font>
    <font>
      <sz val="11"/>
      <color theme="1"/>
      <name val="Wingdings"/>
      <charset val="2"/>
    </font>
    <font>
      <sz val="11"/>
      <color rgb="FFFF0000"/>
      <name val="Wingdings 3"/>
      <family val="1"/>
      <charset val="2"/>
    </font>
    <font>
      <sz val="11"/>
      <color rgb="FF00B050"/>
      <name val="Calibri (Body)_x0000_"/>
    </font>
    <font>
      <u/>
      <sz val="11"/>
      <color theme="10"/>
      <name val="Calibri"/>
      <family val="2"/>
      <scheme val="minor"/>
    </font>
    <font>
      <b/>
      <i/>
      <sz val="11"/>
      <color theme="7" tint="-0.249977111117893"/>
      <name val="Calibri"/>
      <family val="2"/>
    </font>
    <font>
      <b/>
      <sz val="11"/>
      <color theme="0"/>
      <name val="Calibri"/>
      <family val="2"/>
    </font>
    <font>
      <sz val="12"/>
      <color theme="0"/>
      <name val="Calibri"/>
      <family val="2"/>
      <scheme val="minor"/>
    </font>
    <font>
      <b/>
      <sz val="14"/>
      <name val="Calibri"/>
      <family val="2"/>
      <scheme val="minor"/>
    </font>
    <font>
      <sz val="12"/>
      <name val="Calibri"/>
      <family val="2"/>
      <scheme val="minor"/>
    </font>
    <font>
      <sz val="11"/>
      <name val="Calibri"/>
      <family val="2"/>
      <scheme val="minor"/>
    </font>
    <font>
      <b/>
      <sz val="12"/>
      <name val="Calibri"/>
      <family val="2"/>
    </font>
    <font>
      <b/>
      <sz val="11"/>
      <name val="Calibri"/>
      <family val="2"/>
      <scheme val="minor"/>
    </font>
    <font>
      <b/>
      <i/>
      <sz val="11"/>
      <name val="Calibri"/>
      <family val="2"/>
    </font>
    <font>
      <sz val="12"/>
      <name val="Calibri"/>
      <family val="2"/>
    </font>
    <font>
      <sz val="12"/>
      <color rgb="FFFF0000"/>
      <name val="Calibri"/>
      <family val="2"/>
      <scheme val="minor"/>
    </font>
    <font>
      <sz val="12"/>
      <color theme="1"/>
      <name val="Aptos"/>
      <family val="2"/>
    </font>
    <font>
      <b/>
      <sz val="11"/>
      <color theme="1"/>
      <name val="Aptos"/>
      <family val="2"/>
    </font>
    <font>
      <sz val="11"/>
      <color theme="1"/>
      <name val="Aptos"/>
      <family val="2"/>
    </font>
    <font>
      <b/>
      <sz val="12"/>
      <color theme="1"/>
      <name val="Aptos"/>
      <family val="2"/>
    </font>
  </fonts>
  <fills count="14">
    <fill>
      <patternFill patternType="none"/>
    </fill>
    <fill>
      <patternFill patternType="gray125"/>
    </fill>
    <fill>
      <patternFill patternType="solid">
        <fgColor theme="6"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0"/>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8" tint="0.39997558519241921"/>
        <bgColor indexed="64"/>
      </patternFill>
    </fill>
  </fills>
  <borders count="1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s>
  <cellStyleXfs count="4">
    <xf numFmtId="0" fontId="0" fillId="0" borderId="0"/>
    <xf numFmtId="43" fontId="5" fillId="0" borderId="0" applyFont="0" applyFill="0" applyBorder="0" applyAlignment="0" applyProtection="0"/>
    <xf numFmtId="9" fontId="5" fillId="0" borderId="0" applyFont="0" applyFill="0" applyBorder="0" applyAlignment="0" applyProtection="0"/>
    <xf numFmtId="0" fontId="11" fillId="0" borderId="0" applyNumberFormat="0" applyFill="0" applyBorder="0" applyAlignment="0" applyProtection="0"/>
  </cellStyleXfs>
  <cellXfs count="244">
    <xf numFmtId="0" fontId="0" fillId="0" borderId="0" xfId="0"/>
    <xf numFmtId="0" fontId="6" fillId="0" borderId="0" xfId="0" applyFont="1"/>
    <xf numFmtId="0" fontId="7" fillId="0" borderId="0" xfId="0" applyFont="1"/>
    <xf numFmtId="0" fontId="6" fillId="0" borderId="1" xfId="0" applyFont="1" applyBorder="1" applyAlignment="1">
      <alignment horizontal="center"/>
    </xf>
    <xf numFmtId="0" fontId="6" fillId="0" borderId="0" xfId="0" applyFont="1" applyAlignment="1">
      <alignment horizontal="center"/>
    </xf>
    <xf numFmtId="164" fontId="0" fillId="0" borderId="0" xfId="1" applyNumberFormat="1" applyFont="1"/>
    <xf numFmtId="164" fontId="6" fillId="0" borderId="2" xfId="1" applyNumberFormat="1" applyFont="1" applyFill="1" applyBorder="1"/>
    <xf numFmtId="0" fontId="0" fillId="0" borderId="2" xfId="0" applyBorder="1"/>
    <xf numFmtId="0" fontId="9" fillId="0" borderId="0" xfId="0" applyFont="1" applyAlignment="1">
      <alignment vertical="top"/>
    </xf>
    <xf numFmtId="37" fontId="9" fillId="0" borderId="0" xfId="0" applyNumberFormat="1" applyFont="1" applyAlignment="1">
      <alignment horizontal="right" vertical="top"/>
    </xf>
    <xf numFmtId="0" fontId="0" fillId="0" borderId="0" xfId="0" applyAlignment="1">
      <alignment horizontal="right"/>
    </xf>
    <xf numFmtId="0" fontId="6" fillId="3" borderId="2" xfId="0" applyFont="1" applyFill="1" applyBorder="1" applyAlignment="1">
      <alignment horizontal="right"/>
    </xf>
    <xf numFmtId="0" fontId="6" fillId="3" borderId="2" xfId="0" applyFont="1" applyFill="1" applyBorder="1"/>
    <xf numFmtId="43" fontId="6" fillId="2" borderId="2" xfId="1" applyFont="1" applyFill="1" applyBorder="1" applyAlignment="1">
      <alignment horizontal="right"/>
    </xf>
    <xf numFmtId="9" fontId="6" fillId="2" borderId="2" xfId="2" applyFont="1" applyFill="1" applyBorder="1" applyAlignment="1">
      <alignment horizontal="right"/>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3" xfId="0" applyBorder="1"/>
    <xf numFmtId="0" fontId="6" fillId="0" borderId="4" xfId="0" applyFont="1" applyBorder="1"/>
    <xf numFmtId="0" fontId="6" fillId="4" borderId="2" xfId="0" applyFont="1" applyFill="1" applyBorder="1"/>
    <xf numFmtId="9" fontId="0" fillId="0" borderId="2" xfId="2" applyFont="1" applyBorder="1"/>
    <xf numFmtId="9" fontId="0" fillId="0" borderId="0" xfId="0" applyNumberFormat="1" applyAlignment="1">
      <alignment horizontal="right"/>
    </xf>
    <xf numFmtId="9" fontId="0" fillId="0" borderId="0" xfId="0" applyNumberFormat="1"/>
    <xf numFmtId="43" fontId="0" fillId="0" borderId="2" xfId="2" applyNumberFormat="1" applyFont="1" applyBorder="1"/>
    <xf numFmtId="164" fontId="6" fillId="2" borderId="2" xfId="1" applyNumberFormat="1" applyFont="1" applyFill="1" applyBorder="1" applyAlignment="1">
      <alignment horizontal="right"/>
    </xf>
    <xf numFmtId="164" fontId="0" fillId="0" borderId="0" xfId="0" applyNumberFormat="1" applyAlignment="1">
      <alignment horizontal="right"/>
    </xf>
    <xf numFmtId="164" fontId="0" fillId="0" borderId="0" xfId="0" applyNumberFormat="1"/>
    <xf numFmtId="0" fontId="6" fillId="5" borderId="0" xfId="0" applyFont="1" applyFill="1"/>
    <xf numFmtId="0" fontId="6" fillId="6" borderId="2" xfId="0" applyFont="1" applyFill="1" applyBorder="1" applyAlignment="1">
      <alignment horizontal="right"/>
    </xf>
    <xf numFmtId="0" fontId="6" fillId="6" borderId="2" xfId="0" applyFont="1" applyFill="1" applyBorder="1"/>
    <xf numFmtId="0" fontId="6" fillId="0" borderId="2" xfId="0" applyFont="1" applyBorder="1"/>
    <xf numFmtId="43" fontId="0" fillId="0" borderId="2" xfId="2" applyNumberFormat="1" applyFont="1" applyFill="1" applyBorder="1"/>
    <xf numFmtId="9" fontId="0" fillId="0" borderId="2" xfId="2" applyFont="1" applyFill="1" applyBorder="1"/>
    <xf numFmtId="0" fontId="0" fillId="0" borderId="4" xfId="0" applyBorder="1"/>
    <xf numFmtId="0" fontId="6" fillId="0" borderId="12" xfId="0" applyFont="1" applyBorder="1" applyAlignment="1">
      <alignment horizontal="center"/>
    </xf>
    <xf numFmtId="2" fontId="6" fillId="4" borderId="2" xfId="0" quotePrefix="1" applyNumberFormat="1" applyFont="1" applyFill="1" applyBorder="1"/>
    <xf numFmtId="43" fontId="6" fillId="7" borderId="2" xfId="1" applyFont="1" applyFill="1" applyBorder="1" applyAlignment="1">
      <alignment horizontal="right"/>
    </xf>
    <xf numFmtId="9" fontId="6" fillId="7" borderId="2" xfId="2" applyFont="1" applyFill="1" applyBorder="1" applyAlignment="1">
      <alignment horizontal="right"/>
    </xf>
    <xf numFmtId="16" fontId="6" fillId="4" borderId="2" xfId="0" quotePrefix="1" applyNumberFormat="1" applyFont="1" applyFill="1" applyBorder="1"/>
    <xf numFmtId="37" fontId="6" fillId="2" borderId="2" xfId="0" applyNumberFormat="1" applyFont="1" applyFill="1" applyBorder="1" applyAlignment="1">
      <alignment horizontal="right"/>
    </xf>
    <xf numFmtId="10" fontId="0" fillId="0" borderId="2" xfId="2" applyNumberFormat="1" applyFont="1" applyBorder="1"/>
    <xf numFmtId="9" fontId="0" fillId="0" borderId="0" xfId="2" applyFont="1"/>
    <xf numFmtId="0" fontId="12" fillId="0" borderId="12" xfId="0" applyFont="1" applyBorder="1" applyAlignment="1">
      <alignment horizontal="center"/>
    </xf>
    <xf numFmtId="0" fontId="12" fillId="0" borderId="0" xfId="0" applyFont="1" applyAlignment="1">
      <alignment horizontal="center"/>
    </xf>
    <xf numFmtId="43" fontId="6" fillId="2" borderId="2" xfId="0" applyNumberFormat="1" applyFont="1" applyFill="1" applyBorder="1" applyAlignment="1">
      <alignment horizontal="right"/>
    </xf>
    <xf numFmtId="43" fontId="6" fillId="2" borderId="2" xfId="0" applyNumberFormat="1" applyFont="1" applyFill="1" applyBorder="1"/>
    <xf numFmtId="10" fontId="6" fillId="2" borderId="2" xfId="2" applyNumberFormat="1" applyFont="1" applyFill="1" applyBorder="1" applyAlignment="1">
      <alignment horizontal="right"/>
    </xf>
    <xf numFmtId="10" fontId="6" fillId="2" borderId="2" xfId="2" applyNumberFormat="1" applyFont="1" applyFill="1" applyBorder="1"/>
    <xf numFmtId="0" fontId="6" fillId="8" borderId="2" xfId="0" applyFont="1" applyFill="1" applyBorder="1"/>
    <xf numFmtId="0" fontId="6" fillId="3" borderId="8" xfId="0" applyFont="1" applyFill="1" applyBorder="1"/>
    <xf numFmtId="0" fontId="6" fillId="0" borderId="10" xfId="0" applyFont="1" applyBorder="1"/>
    <xf numFmtId="43" fontId="0" fillId="0" borderId="2" xfId="1" applyFont="1" applyBorder="1"/>
    <xf numFmtId="43" fontId="0" fillId="0" borderId="0" xfId="2" applyNumberFormat="1" applyFont="1" applyBorder="1"/>
    <xf numFmtId="43" fontId="0" fillId="0" borderId="0" xfId="1" applyFont="1" applyBorder="1"/>
    <xf numFmtId="9" fontId="0" fillId="0" borderId="0" xfId="2" applyFont="1" applyBorder="1"/>
    <xf numFmtId="43" fontId="0" fillId="0" borderId="0" xfId="1" applyFont="1"/>
    <xf numFmtId="164" fontId="0" fillId="0" borderId="0" xfId="1" applyNumberFormat="1" applyFont="1" applyBorder="1"/>
    <xf numFmtId="43" fontId="0" fillId="0" borderId="0" xfId="0" applyNumberFormat="1"/>
    <xf numFmtId="10" fontId="0" fillId="0" borderId="0" xfId="1" applyNumberFormat="1" applyFont="1" applyBorder="1"/>
    <xf numFmtId="0" fontId="14" fillId="0" borderId="0" xfId="0" applyFont="1"/>
    <xf numFmtId="9" fontId="6" fillId="0" borderId="0" xfId="2" applyFont="1"/>
    <xf numFmtId="0" fontId="15" fillId="0" borderId="0" xfId="0" applyFont="1"/>
    <xf numFmtId="9" fontId="15" fillId="0" borderId="0" xfId="2" applyFont="1"/>
    <xf numFmtId="164" fontId="17" fillId="3" borderId="2" xfId="1" applyNumberFormat="1" applyFont="1" applyFill="1" applyBorder="1" applyAlignment="1">
      <alignment horizontal="right"/>
    </xf>
    <xf numFmtId="0" fontId="21" fillId="0" borderId="0" xfId="0" applyFont="1"/>
    <xf numFmtId="0" fontId="16" fillId="3" borderId="2" xfId="0" applyFont="1" applyFill="1" applyBorder="1"/>
    <xf numFmtId="0" fontId="15" fillId="0" borderId="2" xfId="0" applyFont="1" applyBorder="1"/>
    <xf numFmtId="9" fontId="15" fillId="0" borderId="2" xfId="2" applyFont="1" applyBorder="1" applyAlignment="1">
      <alignment horizontal="right"/>
    </xf>
    <xf numFmtId="9" fontId="15" fillId="0" borderId="2" xfId="0" applyNumberFormat="1" applyFont="1" applyBorder="1"/>
    <xf numFmtId="165" fontId="15" fillId="0" borderId="0" xfId="0" applyNumberFormat="1" applyFont="1"/>
    <xf numFmtId="43" fontId="15" fillId="0" borderId="2" xfId="2" applyNumberFormat="1" applyFont="1" applyBorder="1"/>
    <xf numFmtId="9" fontId="15" fillId="0" borderId="2" xfId="2" applyFont="1" applyBorder="1"/>
    <xf numFmtId="0" fontId="22" fillId="0" borderId="0" xfId="0" applyFont="1"/>
    <xf numFmtId="10" fontId="15" fillId="0" borderId="2" xfId="0" applyNumberFormat="1" applyFont="1" applyBorder="1"/>
    <xf numFmtId="164" fontId="15" fillId="0" borderId="2" xfId="0" applyNumberFormat="1" applyFont="1" applyBorder="1"/>
    <xf numFmtId="0" fontId="23" fillId="0" borderId="0" xfId="0" applyFont="1"/>
    <xf numFmtId="0" fontId="13" fillId="0" borderId="0" xfId="0" applyFont="1"/>
    <xf numFmtId="43" fontId="15" fillId="0" borderId="2" xfId="0" applyNumberFormat="1" applyFont="1" applyBorder="1"/>
    <xf numFmtId="0" fontId="24" fillId="0" borderId="0" xfId="0" applyFont="1"/>
    <xf numFmtId="0" fontId="25" fillId="0" borderId="0" xfId="0" applyFont="1"/>
    <xf numFmtId="164" fontId="15" fillId="0" borderId="2" xfId="1" applyNumberFormat="1" applyFont="1" applyBorder="1"/>
    <xf numFmtId="10" fontId="15" fillId="0" borderId="0" xfId="2" applyNumberFormat="1" applyFont="1"/>
    <xf numFmtId="0" fontId="16" fillId="0" borderId="0" xfId="0" applyFont="1"/>
    <xf numFmtId="0" fontId="26" fillId="0" borderId="0" xfId="3" applyFont="1" applyAlignment="1"/>
    <xf numFmtId="9" fontId="0" fillId="0" borderId="2" xfId="0" applyNumberFormat="1" applyBorder="1"/>
    <xf numFmtId="10" fontId="0" fillId="0" borderId="2" xfId="0" applyNumberFormat="1" applyBorder="1"/>
    <xf numFmtId="164" fontId="0" fillId="0" borderId="2" xfId="0" applyNumberFormat="1" applyBorder="1"/>
    <xf numFmtId="43" fontId="0" fillId="0" borderId="2" xfId="0" applyNumberFormat="1" applyBorder="1"/>
    <xf numFmtId="164" fontId="6" fillId="0" borderId="2" xfId="1" applyNumberFormat="1" applyFont="1" applyFill="1" applyBorder="1" applyAlignment="1"/>
    <xf numFmtId="164" fontId="0" fillId="0" borderId="2" xfId="1" applyNumberFormat="1" applyFont="1" applyFill="1" applyBorder="1" applyAlignment="1"/>
    <xf numFmtId="43" fontId="0" fillId="0" borderId="2" xfId="1" applyFont="1" applyFill="1" applyBorder="1" applyAlignment="1"/>
    <xf numFmtId="164" fontId="0" fillId="0" borderId="2" xfId="1" applyNumberFormat="1" applyFont="1" applyFill="1" applyBorder="1"/>
    <xf numFmtId="43" fontId="0" fillId="6" borderId="2" xfId="1" applyFont="1" applyFill="1" applyBorder="1" applyAlignment="1"/>
    <xf numFmtId="43" fontId="0" fillId="0" borderId="0" xfId="1" applyFont="1" applyFill="1"/>
    <xf numFmtId="43" fontId="16" fillId="2" borderId="2" xfId="0" applyNumberFormat="1" applyFont="1" applyFill="1" applyBorder="1" applyAlignment="1">
      <alignment horizontal="right"/>
    </xf>
    <xf numFmtId="0" fontId="6" fillId="3" borderId="2" xfId="1" applyNumberFormat="1" applyFont="1" applyFill="1" applyBorder="1" applyAlignment="1"/>
    <xf numFmtId="0" fontId="6" fillId="3" borderId="2" xfId="1" applyNumberFormat="1" applyFont="1" applyFill="1" applyBorder="1"/>
    <xf numFmtId="43" fontId="0" fillId="0" borderId="2" xfId="1" applyFont="1" applyFill="1" applyBorder="1"/>
    <xf numFmtId="9" fontId="15" fillId="0" borderId="0" xfId="0" applyNumberFormat="1" applyFont="1"/>
    <xf numFmtId="0" fontId="31" fillId="0" borderId="0" xfId="0" applyFont="1"/>
    <xf numFmtId="37" fontId="9" fillId="9" borderId="0" xfId="0" applyNumberFormat="1" applyFont="1" applyFill="1" applyAlignment="1">
      <alignment horizontal="right" vertical="top"/>
    </xf>
    <xf numFmtId="9" fontId="9" fillId="9" borderId="0" xfId="2" applyFont="1" applyFill="1" applyBorder="1" applyAlignment="1">
      <alignment horizontal="right" vertical="top"/>
    </xf>
    <xf numFmtId="9" fontId="9" fillId="6" borderId="0" xfId="2" applyFont="1" applyFill="1" applyBorder="1" applyAlignment="1">
      <alignment horizontal="right" vertical="top"/>
    </xf>
    <xf numFmtId="9" fontId="9" fillId="11" borderId="0" xfId="2" applyFont="1" applyFill="1" applyBorder="1" applyAlignment="1">
      <alignment horizontal="right" vertical="top"/>
    </xf>
    <xf numFmtId="0" fontId="8" fillId="0" borderId="0" xfId="0" applyFont="1" applyAlignment="1">
      <alignment vertical="top"/>
    </xf>
    <xf numFmtId="37" fontId="28" fillId="0" borderId="0" xfId="0" applyNumberFormat="1" applyFont="1" applyAlignment="1">
      <alignment horizontal="right" vertical="top"/>
    </xf>
    <xf numFmtId="37" fontId="8" fillId="9" borderId="0" xfId="0" applyNumberFormat="1" applyFont="1" applyFill="1" applyAlignment="1">
      <alignment horizontal="right" vertical="top"/>
    </xf>
    <xf numFmtId="0" fontId="9" fillId="0" borderId="0" xfId="0" applyFont="1" applyAlignment="1">
      <alignment vertical="top" wrapText="1"/>
    </xf>
    <xf numFmtId="3" fontId="3" fillId="0" borderId="0" xfId="0" applyNumberFormat="1" applyFont="1"/>
    <xf numFmtId="0" fontId="32" fillId="0" borderId="0" xfId="0" applyFont="1"/>
    <xf numFmtId="0" fontId="3" fillId="0" borderId="0" xfId="0" applyFont="1"/>
    <xf numFmtId="9" fontId="9" fillId="10" borderId="0" xfId="2" applyFont="1" applyFill="1" applyBorder="1" applyAlignment="1">
      <alignment horizontal="right" vertical="top"/>
    </xf>
    <xf numFmtId="0" fontId="3" fillId="0" borderId="0" xfId="0" applyFont="1" applyAlignment="1">
      <alignment wrapText="1"/>
    </xf>
    <xf numFmtId="0" fontId="35" fillId="0" borderId="0" xfId="0" applyFont="1" applyAlignment="1">
      <alignment vertical="top"/>
    </xf>
    <xf numFmtId="0" fontId="29" fillId="0" borderId="0" xfId="0" applyFont="1"/>
    <xf numFmtId="9" fontId="6" fillId="0" borderId="0" xfId="2" applyFont="1" applyBorder="1"/>
    <xf numFmtId="0" fontId="8" fillId="0" borderId="0" xfId="0" applyFont="1" applyAlignment="1">
      <alignment vertical="top" wrapText="1"/>
    </xf>
    <xf numFmtId="0" fontId="27" fillId="0" borderId="0" xfId="0" applyFont="1" applyAlignment="1">
      <alignment vertical="top"/>
    </xf>
    <xf numFmtId="0" fontId="4" fillId="0" borderId="0" xfId="0" applyFont="1" applyAlignment="1">
      <alignment wrapText="1"/>
    </xf>
    <xf numFmtId="2" fontId="9" fillId="0" borderId="0" xfId="0" applyNumberFormat="1" applyFont="1" applyAlignment="1">
      <alignment horizontal="right" vertical="top"/>
    </xf>
    <xf numFmtId="43" fontId="9" fillId="0" borderId="0" xfId="0" applyNumberFormat="1" applyFont="1" applyAlignment="1">
      <alignment horizontal="right" vertical="top"/>
    </xf>
    <xf numFmtId="9" fontId="9" fillId="0" borderId="0" xfId="2" applyFont="1" applyFill="1" applyBorder="1" applyAlignment="1">
      <alignment horizontal="right" vertical="top"/>
    </xf>
    <xf numFmtId="0" fontId="30" fillId="0" borderId="0" xfId="0" applyFont="1" applyAlignment="1">
      <alignment horizontal="center"/>
    </xf>
    <xf numFmtId="0" fontId="20" fillId="0" borderId="0" xfId="0" applyFont="1" applyAlignment="1">
      <alignment vertical="top"/>
    </xf>
    <xf numFmtId="9" fontId="32" fillId="6" borderId="0" xfId="2" applyFont="1" applyFill="1" applyBorder="1"/>
    <xf numFmtId="0" fontId="34" fillId="0" borderId="0" xfId="0" applyFont="1" applyAlignment="1">
      <alignment horizontal="center"/>
    </xf>
    <xf numFmtId="9" fontId="32" fillId="0" borderId="0" xfId="2" applyFont="1" applyFill="1" applyBorder="1"/>
    <xf numFmtId="9" fontId="32" fillId="9" borderId="0" xfId="2" applyFont="1" applyFill="1" applyBorder="1"/>
    <xf numFmtId="164" fontId="3" fillId="0" borderId="0" xfId="1" applyNumberFormat="1" applyFont="1" applyBorder="1"/>
    <xf numFmtId="9" fontId="32" fillId="10" borderId="0" xfId="2" applyFont="1" applyFill="1" applyBorder="1"/>
    <xf numFmtId="37" fontId="18" fillId="0" borderId="0" xfId="0" applyNumberFormat="1" applyFont="1" applyAlignment="1">
      <alignment horizontal="right" vertical="top"/>
    </xf>
    <xf numFmtId="164" fontId="34" fillId="0" borderId="0" xfId="0" applyNumberFormat="1" applyFont="1" applyAlignment="1">
      <alignment horizontal="center"/>
    </xf>
    <xf numFmtId="164" fontId="9" fillId="0" borderId="0" xfId="0" applyNumberFormat="1" applyFont="1" applyAlignment="1">
      <alignment horizontal="right" vertical="top"/>
    </xf>
    <xf numFmtId="164" fontId="28" fillId="0" borderId="0" xfId="0" applyNumberFormat="1" applyFont="1" applyAlignment="1">
      <alignment horizontal="right" vertical="top"/>
    </xf>
    <xf numFmtId="164" fontId="18" fillId="0" borderId="0" xfId="0" applyNumberFormat="1" applyFont="1" applyAlignment="1">
      <alignment horizontal="right" vertical="top"/>
    </xf>
    <xf numFmtId="164" fontId="3" fillId="0" borderId="0" xfId="0" applyNumberFormat="1" applyFont="1"/>
    <xf numFmtId="164" fontId="8" fillId="0" borderId="0" xfId="1" applyNumberFormat="1" applyFont="1" applyFill="1" applyBorder="1" applyAlignment="1">
      <alignment horizontal="center" vertical="center"/>
    </xf>
    <xf numFmtId="9" fontId="8" fillId="0" borderId="0" xfId="2" applyFont="1" applyFill="1" applyBorder="1" applyAlignment="1">
      <alignment horizontal="center" vertical="center"/>
    </xf>
    <xf numFmtId="0" fontId="32" fillId="0" borderId="0" xfId="0" applyFont="1" applyAlignment="1">
      <alignment vertical="top"/>
    </xf>
    <xf numFmtId="37" fontId="3" fillId="0" borderId="0" xfId="0" applyNumberFormat="1" applyFont="1"/>
    <xf numFmtId="9" fontId="32" fillId="6" borderId="0" xfId="2" applyFont="1" applyFill="1" applyBorder="1" applyAlignment="1">
      <alignment vertical="top"/>
    </xf>
    <xf numFmtId="0" fontId="33" fillId="0" borderId="0" xfId="0" applyFont="1" applyAlignment="1">
      <alignment vertical="top"/>
    </xf>
    <xf numFmtId="0" fontId="37" fillId="0" borderId="0" xfId="0" applyFont="1" applyAlignment="1">
      <alignment horizontal="right"/>
    </xf>
    <xf numFmtId="0" fontId="37" fillId="0" borderId="0" xfId="0" applyFont="1"/>
    <xf numFmtId="166" fontId="0" fillId="0" borderId="2" xfId="0" applyNumberFormat="1" applyBorder="1"/>
    <xf numFmtId="0" fontId="9" fillId="9" borderId="0" xfId="0" applyFont="1" applyFill="1" applyAlignment="1">
      <alignment vertical="top"/>
    </xf>
    <xf numFmtId="164" fontId="9" fillId="9" borderId="0" xfId="0" applyNumberFormat="1" applyFont="1" applyFill="1" applyAlignment="1">
      <alignment horizontal="right" vertical="top"/>
    </xf>
    <xf numFmtId="0" fontId="2" fillId="0" borderId="0" xfId="0" applyFont="1"/>
    <xf numFmtId="164" fontId="0" fillId="6" borderId="2" xfId="1" applyNumberFormat="1" applyFont="1" applyFill="1" applyBorder="1" applyAlignment="1"/>
    <xf numFmtId="0" fontId="34" fillId="12" borderId="0" xfId="0" applyFont="1" applyFill="1" applyAlignment="1">
      <alignment vertical="top"/>
    </xf>
    <xf numFmtId="37" fontId="34" fillId="12" borderId="0" xfId="0" applyNumberFormat="1" applyFont="1" applyFill="1" applyAlignment="1">
      <alignment horizontal="right" vertical="top"/>
    </xf>
    <xf numFmtId="9" fontId="9" fillId="12" borderId="0" xfId="2" applyFont="1" applyFill="1" applyBorder="1" applyAlignment="1">
      <alignment horizontal="right" vertical="top"/>
    </xf>
    <xf numFmtId="9" fontId="32" fillId="12" borderId="0" xfId="2" applyFont="1" applyFill="1" applyBorder="1"/>
    <xf numFmtId="37" fontId="9" fillId="12" borderId="0" xfId="0" applyNumberFormat="1" applyFont="1" applyFill="1" applyAlignment="1">
      <alignment horizontal="right" vertical="top"/>
    </xf>
    <xf numFmtId="0" fontId="9" fillId="12" borderId="0" xfId="0" applyFont="1" applyFill="1" applyAlignment="1">
      <alignment vertical="top"/>
    </xf>
    <xf numFmtId="0" fontId="20" fillId="12" borderId="0" xfId="0" applyFont="1" applyFill="1" applyAlignment="1">
      <alignment vertical="top"/>
    </xf>
    <xf numFmtId="37" fontId="18" fillId="12" borderId="0" xfId="0" applyNumberFormat="1" applyFont="1" applyFill="1" applyAlignment="1">
      <alignment horizontal="right" vertical="top"/>
    </xf>
    <xf numFmtId="0" fontId="8" fillId="12" borderId="0" xfId="0" applyFont="1" applyFill="1" applyAlignment="1">
      <alignment vertical="top"/>
    </xf>
    <xf numFmtId="37" fontId="32" fillId="12" borderId="0" xfId="0" applyNumberFormat="1" applyFont="1" applyFill="1" applyAlignment="1">
      <alignment horizontal="right" vertical="top"/>
    </xf>
    <xf numFmtId="0" fontId="33" fillId="12" borderId="0" xfId="0" applyFont="1" applyFill="1" applyAlignment="1">
      <alignment vertical="top"/>
    </xf>
    <xf numFmtId="37" fontId="33" fillId="12" borderId="0" xfId="0" applyNumberFormat="1" applyFont="1" applyFill="1" applyAlignment="1">
      <alignment horizontal="right" vertical="top"/>
    </xf>
    <xf numFmtId="9" fontId="33" fillId="12" borderId="0" xfId="2" applyFont="1" applyFill="1" applyBorder="1" applyAlignment="1">
      <alignment horizontal="right" vertical="top"/>
    </xf>
    <xf numFmtId="9" fontId="34" fillId="12" borderId="0" xfId="2" applyFont="1" applyFill="1" applyBorder="1"/>
    <xf numFmtId="37" fontId="36" fillId="12" borderId="0" xfId="0" applyNumberFormat="1" applyFont="1" applyFill="1" applyAlignment="1">
      <alignment horizontal="right" vertical="top"/>
    </xf>
    <xf numFmtId="9" fontId="36" fillId="12" borderId="0" xfId="2" applyFont="1" applyFill="1" applyBorder="1" applyAlignment="1">
      <alignment horizontal="right" vertical="top"/>
    </xf>
    <xf numFmtId="0" fontId="19" fillId="12" borderId="0" xfId="0" applyFont="1" applyFill="1" applyAlignment="1">
      <alignment vertical="top"/>
    </xf>
    <xf numFmtId="37" fontId="19" fillId="12" borderId="0" xfId="0" applyNumberFormat="1" applyFont="1" applyFill="1" applyAlignment="1">
      <alignment horizontal="right" vertical="top"/>
    </xf>
    <xf numFmtId="164" fontId="34" fillId="12" borderId="0" xfId="0" applyNumberFormat="1" applyFont="1" applyFill="1" applyAlignment="1">
      <alignment horizontal="right" vertical="top"/>
    </xf>
    <xf numFmtId="164" fontId="8" fillId="12" borderId="0" xfId="0" applyNumberFormat="1" applyFont="1" applyFill="1" applyAlignment="1">
      <alignment horizontal="right" vertical="top"/>
    </xf>
    <xf numFmtId="9" fontId="8" fillId="12" borderId="0" xfId="2" applyFont="1" applyFill="1" applyBorder="1" applyAlignment="1">
      <alignment horizontal="right" vertical="top"/>
    </xf>
    <xf numFmtId="164" fontId="9" fillId="12" borderId="0" xfId="0" applyNumberFormat="1" applyFont="1" applyFill="1" applyAlignment="1">
      <alignment horizontal="right" vertical="top"/>
    </xf>
    <xf numFmtId="164" fontId="18" fillId="12" borderId="0" xfId="0" applyNumberFormat="1" applyFont="1" applyFill="1" applyAlignment="1">
      <alignment horizontal="right" vertical="top"/>
    </xf>
    <xf numFmtId="0" fontId="18" fillId="12" borderId="0" xfId="0" applyFont="1" applyFill="1" applyAlignment="1">
      <alignment vertical="top"/>
    </xf>
    <xf numFmtId="37" fontId="8" fillId="12" borderId="0" xfId="0" applyNumberFormat="1" applyFont="1" applyFill="1" applyAlignment="1">
      <alignment horizontal="right" vertical="top"/>
    </xf>
    <xf numFmtId="0" fontId="33" fillId="3" borderId="13" xfId="0" applyFont="1" applyFill="1" applyBorder="1" applyAlignment="1">
      <alignment horizontal="left" vertical="center"/>
    </xf>
    <xf numFmtId="0" fontId="31" fillId="3" borderId="12" xfId="0" applyFont="1" applyFill="1" applyBorder="1"/>
    <xf numFmtId="164" fontId="12" fillId="3" borderId="13" xfId="1" applyNumberFormat="1" applyFont="1" applyFill="1" applyBorder="1" applyAlignment="1">
      <alignment horizontal="right"/>
    </xf>
    <xf numFmtId="9" fontId="12" fillId="3" borderId="13" xfId="2" applyFont="1" applyFill="1" applyBorder="1" applyAlignment="1">
      <alignment horizontal="right"/>
    </xf>
    <xf numFmtId="9" fontId="34" fillId="3" borderId="13" xfId="2" applyFont="1" applyFill="1" applyBorder="1" applyAlignment="1">
      <alignment horizontal="right"/>
    </xf>
    <xf numFmtId="164" fontId="8" fillId="3" borderId="12" xfId="1" applyNumberFormat="1" applyFont="1" applyFill="1" applyBorder="1" applyAlignment="1">
      <alignment horizontal="center" vertical="center"/>
    </xf>
    <xf numFmtId="9" fontId="8" fillId="3" borderId="12" xfId="2" applyFont="1" applyFill="1" applyBorder="1" applyAlignment="1">
      <alignment horizontal="center" vertical="center"/>
    </xf>
    <xf numFmtId="0" fontId="8" fillId="3" borderId="13" xfId="0" applyFont="1" applyFill="1" applyBorder="1" applyAlignment="1">
      <alignment horizontal="left" vertical="center"/>
    </xf>
    <xf numFmtId="164" fontId="34" fillId="3" borderId="13" xfId="1" applyNumberFormat="1" applyFont="1" applyFill="1" applyBorder="1" applyAlignment="1">
      <alignment horizontal="right"/>
    </xf>
    <xf numFmtId="0" fontId="8" fillId="3" borderId="12" xfId="0" applyFont="1" applyFill="1" applyBorder="1" applyAlignment="1">
      <alignment horizontal="left" vertical="center"/>
    </xf>
    <xf numFmtId="0" fontId="33" fillId="3" borderId="0" xfId="0" applyFont="1" applyFill="1" applyAlignment="1">
      <alignment horizontal="left" vertical="center"/>
    </xf>
    <xf numFmtId="164" fontId="12" fillId="3" borderId="0" xfId="1" applyNumberFormat="1" applyFont="1" applyFill="1" applyBorder="1" applyAlignment="1">
      <alignment horizontal="right"/>
    </xf>
    <xf numFmtId="9" fontId="12" fillId="3" borderId="0" xfId="2" applyFont="1" applyFill="1" applyBorder="1" applyAlignment="1">
      <alignment horizontal="right"/>
    </xf>
    <xf numFmtId="9" fontId="34" fillId="3" borderId="0" xfId="2" applyFont="1" applyFill="1" applyBorder="1" applyAlignment="1">
      <alignment horizontal="right"/>
    </xf>
    <xf numFmtId="0" fontId="0" fillId="3" borderId="0" xfId="0" applyFill="1"/>
    <xf numFmtId="164" fontId="8" fillId="3" borderId="0" xfId="1" applyNumberFormat="1" applyFont="1" applyFill="1" applyBorder="1" applyAlignment="1">
      <alignment horizontal="center" vertical="center"/>
    </xf>
    <xf numFmtId="9" fontId="8" fillId="3" borderId="0" xfId="2" applyFont="1" applyFill="1" applyBorder="1" applyAlignment="1">
      <alignment horizontal="center" vertical="center"/>
    </xf>
    <xf numFmtId="0" fontId="18" fillId="3" borderId="0" xfId="0" applyFont="1" applyFill="1" applyAlignment="1">
      <alignment vertical="top"/>
    </xf>
    <xf numFmtId="9" fontId="12" fillId="2" borderId="2" xfId="2" applyFont="1" applyFill="1" applyBorder="1" applyAlignment="1">
      <alignment horizontal="right"/>
    </xf>
    <xf numFmtId="0" fontId="11" fillId="0" borderId="0" xfId="3"/>
    <xf numFmtId="2" fontId="6" fillId="7" borderId="2" xfId="2" applyNumberFormat="1" applyFont="1" applyFill="1" applyBorder="1" applyAlignment="1">
      <alignment horizontal="right"/>
    </xf>
    <xf numFmtId="2" fontId="0" fillId="0" borderId="0" xfId="0" applyNumberFormat="1"/>
    <xf numFmtId="37" fontId="0" fillId="0" borderId="0" xfId="0" applyNumberFormat="1"/>
    <xf numFmtId="0" fontId="6" fillId="0" borderId="0" xfId="0" applyFont="1" applyAlignment="1">
      <alignment horizontal="center" vertical="center" wrapText="1"/>
    </xf>
    <xf numFmtId="0" fontId="0" fillId="0" borderId="0" xfId="0" applyAlignment="1">
      <alignment vertical="center" wrapText="1"/>
    </xf>
    <xf numFmtId="0" fontId="41" fillId="0" borderId="0" xfId="0" applyFont="1" applyAlignment="1">
      <alignment vertical="center" wrapText="1"/>
    </xf>
    <xf numFmtId="0" fontId="40" fillId="0" borderId="0" xfId="0" applyFont="1" applyAlignment="1">
      <alignment horizontal="center" vertical="center"/>
    </xf>
    <xf numFmtId="37" fontId="40" fillId="0" borderId="0" xfId="0" applyNumberFormat="1" applyFont="1" applyAlignment="1">
      <alignment horizontal="center" vertical="center"/>
    </xf>
    <xf numFmtId="0" fontId="40" fillId="0" borderId="0" xfId="0" applyFont="1" applyAlignment="1">
      <alignment horizontal="left" vertical="center" wrapText="1"/>
    </xf>
    <xf numFmtId="0" fontId="40" fillId="0" borderId="0" xfId="0" applyFont="1" applyAlignment="1">
      <alignment horizontal="left" vertical="center"/>
    </xf>
    <xf numFmtId="0" fontId="0" fillId="0" borderId="0" xfId="0" applyAlignment="1">
      <alignment horizontal="left" vertical="center" wrapText="1"/>
    </xf>
    <xf numFmtId="0" fontId="39" fillId="0" borderId="0" xfId="0" applyFont="1" applyAlignment="1">
      <alignment horizontal="center" vertical="center" wrapText="1"/>
    </xf>
    <xf numFmtId="0" fontId="39" fillId="0" borderId="0" xfId="0" applyFont="1" applyAlignment="1">
      <alignment horizontal="left" vertical="center" wrapText="1"/>
    </xf>
    <xf numFmtId="10" fontId="40" fillId="0" borderId="0" xfId="0" applyNumberFormat="1" applyFont="1" applyAlignment="1">
      <alignment horizontal="center" vertical="center"/>
    </xf>
    <xf numFmtId="9" fontId="40" fillId="0" borderId="0" xfId="0" applyNumberFormat="1" applyFont="1" applyAlignment="1">
      <alignment horizontal="center" vertical="center"/>
    </xf>
    <xf numFmtId="0" fontId="38" fillId="0" borderId="0" xfId="0" applyFont="1" applyAlignment="1">
      <alignment horizontal="center" vertical="center" wrapText="1"/>
    </xf>
    <xf numFmtId="0" fontId="41" fillId="0" borderId="0" xfId="0" applyFont="1" applyAlignment="1">
      <alignment horizontal="left" vertical="center" wrapText="1"/>
    </xf>
    <xf numFmtId="0" fontId="41" fillId="0" borderId="0" xfId="0" applyFont="1" applyAlignment="1">
      <alignment horizontal="center" vertical="center" wrapText="1"/>
    </xf>
    <xf numFmtId="0" fontId="38" fillId="0" borderId="0" xfId="0" applyFont="1" applyAlignment="1">
      <alignment horizontal="left" vertical="center" wrapText="1"/>
    </xf>
    <xf numFmtId="3" fontId="2" fillId="0" borderId="0" xfId="0" applyNumberFormat="1" applyFont="1"/>
    <xf numFmtId="0" fontId="33" fillId="3" borderId="12" xfId="0" applyFont="1" applyFill="1" applyBorder="1" applyAlignment="1">
      <alignment horizontal="left" vertical="center"/>
    </xf>
    <xf numFmtId="9" fontId="12" fillId="3" borderId="13" xfId="2" applyFont="1" applyFill="1" applyBorder="1" applyAlignment="1">
      <alignment horizontal="center"/>
    </xf>
    <xf numFmtId="164" fontId="12" fillId="3" borderId="13" xfId="1" applyNumberFormat="1" applyFont="1" applyFill="1" applyBorder="1" applyAlignment="1">
      <alignment horizontal="center"/>
    </xf>
    <xf numFmtId="164" fontId="33" fillId="3" borderId="12" xfId="1" applyNumberFormat="1" applyFont="1" applyFill="1" applyBorder="1" applyAlignment="1">
      <alignment vertical="center"/>
    </xf>
    <xf numFmtId="9" fontId="33" fillId="3" borderId="12" xfId="2" applyFont="1" applyFill="1" applyBorder="1" applyAlignment="1">
      <alignment vertical="center"/>
    </xf>
    <xf numFmtId="0" fontId="39" fillId="13" borderId="9" xfId="0" applyFont="1" applyFill="1" applyBorder="1" applyAlignment="1">
      <alignment horizontal="left" vertical="center" wrapText="1"/>
    </xf>
    <xf numFmtId="0" fontId="39" fillId="13" borderId="9" xfId="0" applyFont="1" applyFill="1" applyBorder="1" applyAlignment="1">
      <alignment horizontal="center" vertical="center" wrapText="1"/>
    </xf>
    <xf numFmtId="0" fontId="39" fillId="13" borderId="9" xfId="0" applyFont="1" applyFill="1" applyBorder="1" applyAlignment="1">
      <alignment horizontal="left" vertical="center"/>
    </xf>
    <xf numFmtId="0" fontId="39" fillId="13" borderId="9" xfId="0" applyFont="1" applyFill="1" applyBorder="1" applyAlignment="1">
      <alignment horizontal="center" vertical="center"/>
    </xf>
    <xf numFmtId="164" fontId="0" fillId="0" borderId="2" xfId="1" applyNumberFormat="1" applyFont="1" applyFill="1" applyBorder="1" applyAlignment="1">
      <alignment horizontal="right"/>
    </xf>
    <xf numFmtId="3" fontId="1" fillId="0" borderId="0" xfId="0" applyNumberFormat="1" applyFont="1"/>
    <xf numFmtId="0" fontId="30" fillId="3" borderId="9" xfId="0" applyFont="1" applyFill="1" applyBorder="1" applyAlignment="1">
      <alignment horizontal="center"/>
    </xf>
    <xf numFmtId="0" fontId="20" fillId="3" borderId="0" xfId="0" applyFont="1" applyFill="1" applyAlignment="1">
      <alignment horizontal="center" vertical="top"/>
    </xf>
    <xf numFmtId="0" fontId="9" fillId="0" borderId="0" xfId="0" applyFont="1" applyAlignment="1">
      <alignment horizontal="center" vertical="top"/>
    </xf>
    <xf numFmtId="0" fontId="8" fillId="0" borderId="0" xfId="0" applyFont="1" applyAlignment="1">
      <alignment horizontal="left" vertical="top"/>
    </xf>
    <xf numFmtId="0" fontId="8" fillId="0" borderId="0" xfId="0" applyFont="1" applyAlignment="1">
      <alignment horizontal="left" vertical="center"/>
    </xf>
    <xf numFmtId="0" fontId="20" fillId="0" borderId="0" xfId="0" applyFont="1" applyAlignment="1">
      <alignment vertical="top"/>
    </xf>
    <xf numFmtId="0" fontId="8" fillId="0" borderId="0" xfId="0" applyFont="1" applyAlignment="1">
      <alignment vertical="top"/>
    </xf>
    <xf numFmtId="0" fontId="20" fillId="12" borderId="0" xfId="0" applyFont="1" applyFill="1" applyAlignment="1">
      <alignment horizontal="center" vertical="top"/>
    </xf>
    <xf numFmtId="0" fontId="9" fillId="0" borderId="0" xfId="0" applyFont="1" applyAlignment="1">
      <alignment horizontal="center" vertical="top" wrapText="1"/>
    </xf>
    <xf numFmtId="0" fontId="9" fillId="0" borderId="0" xfId="0" applyFont="1" applyAlignment="1">
      <alignment vertical="top"/>
    </xf>
    <xf numFmtId="0" fontId="6" fillId="3" borderId="2" xfId="0" applyFont="1" applyFill="1" applyBorder="1" applyAlignment="1">
      <alignment horizontal="center"/>
    </xf>
    <xf numFmtId="0" fontId="6" fillId="6" borderId="2" xfId="0" applyFont="1" applyFill="1" applyBorder="1" applyAlignment="1">
      <alignment horizontal="center"/>
    </xf>
    <xf numFmtId="0" fontId="6" fillId="8" borderId="2" xfId="0" applyFont="1" applyFill="1" applyBorder="1" applyAlignment="1">
      <alignment horizontal="center"/>
    </xf>
    <xf numFmtId="0" fontId="0" fillId="0" borderId="0" xfId="0" applyAlignment="1">
      <alignment horizontal="left" wrapText="1"/>
    </xf>
  </cellXfs>
  <cellStyles count="4">
    <cellStyle name="Comma" xfId="1" builtinId="3"/>
    <cellStyle name="Hyperlink" xfId="3" builtinId="8"/>
    <cellStyle name="Normal" xfId="0" builtinId="0"/>
    <cellStyle name="Percent" xfId="2" builtinId="5"/>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Gross Margin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'Comparison Charts and Graphs'!$C$53</c:f>
              <c:strCache>
                <c:ptCount val="1"/>
                <c:pt idx="0">
                  <c:v>Industry</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'Comparison Charts and Graphs'!$B$54:$B$56</c:f>
              <c:numCache>
                <c:formatCode>General</c:formatCode>
                <c:ptCount val="3"/>
                <c:pt idx="0">
                  <c:v>2022</c:v>
                </c:pt>
                <c:pt idx="1">
                  <c:v>2023</c:v>
                </c:pt>
                <c:pt idx="2">
                  <c:v>2024</c:v>
                </c:pt>
              </c:numCache>
            </c:numRef>
          </c:cat>
          <c:val>
            <c:numRef>
              <c:f>'Comparison Charts and Graphs'!$C$54:$C$56</c:f>
              <c:numCache>
                <c:formatCode>0%</c:formatCode>
                <c:ptCount val="3"/>
                <c:pt idx="0">
                  <c:v>0.44800000000000001</c:v>
                </c:pt>
                <c:pt idx="1">
                  <c:v>0.34699999999999998</c:v>
                </c:pt>
              </c:numCache>
            </c:numRef>
          </c:val>
          <c:extLst>
            <c:ext xmlns:c16="http://schemas.microsoft.com/office/drawing/2014/chart" uri="{C3380CC4-5D6E-409C-BE32-E72D297353CC}">
              <c16:uniqueId val="{00000000-1707-4F41-A939-9EF6A335AAF3}"/>
            </c:ext>
          </c:extLst>
        </c:ser>
        <c:ser>
          <c:idx val="1"/>
          <c:order val="1"/>
          <c:tx>
            <c:strRef>
              <c:f>'Comparison Charts and Graphs'!$D$53</c:f>
              <c:strCache>
                <c:ptCount val="1"/>
                <c:pt idx="0">
                  <c:v>BP</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'Comparison Charts and Graphs'!$B$54:$B$56</c:f>
              <c:numCache>
                <c:formatCode>General</c:formatCode>
                <c:ptCount val="3"/>
                <c:pt idx="0">
                  <c:v>2022</c:v>
                </c:pt>
                <c:pt idx="1">
                  <c:v>2023</c:v>
                </c:pt>
                <c:pt idx="2">
                  <c:v>2024</c:v>
                </c:pt>
              </c:numCache>
            </c:numRef>
          </c:cat>
          <c:val>
            <c:numRef>
              <c:f>'Comparison Charts and Graphs'!$D$54:$D$56</c:f>
              <c:numCache>
                <c:formatCode>0%</c:formatCode>
                <c:ptCount val="3"/>
                <c:pt idx="0">
                  <c:v>0.25930851063829785</c:v>
                </c:pt>
                <c:pt idx="1">
                  <c:v>0.24258316280397849</c:v>
                </c:pt>
                <c:pt idx="2">
                  <c:v>0.1834659196025055</c:v>
                </c:pt>
              </c:numCache>
            </c:numRef>
          </c:val>
          <c:extLst>
            <c:ext xmlns:c16="http://schemas.microsoft.com/office/drawing/2014/chart" uri="{C3380CC4-5D6E-409C-BE32-E72D297353CC}">
              <c16:uniqueId val="{00000001-1707-4F41-A939-9EF6A335AAF3}"/>
            </c:ext>
          </c:extLst>
        </c:ser>
        <c:ser>
          <c:idx val="2"/>
          <c:order val="2"/>
          <c:tx>
            <c:strRef>
              <c:f>'Comparison Charts and Graphs'!$E$53</c:f>
              <c:strCache>
                <c:ptCount val="1"/>
                <c:pt idx="0">
                  <c:v>Shell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'Comparison Charts and Graphs'!$B$54:$B$56</c:f>
              <c:numCache>
                <c:formatCode>General</c:formatCode>
                <c:ptCount val="3"/>
                <c:pt idx="0">
                  <c:v>2022</c:v>
                </c:pt>
                <c:pt idx="1">
                  <c:v>2023</c:v>
                </c:pt>
                <c:pt idx="2">
                  <c:v>2024</c:v>
                </c:pt>
              </c:numCache>
            </c:numRef>
          </c:cat>
          <c:val>
            <c:numRef>
              <c:f>'Comparison Charts and Graphs'!$E$54:$E$56</c:f>
              <c:numCache>
                <c:formatCode>0%</c:formatCode>
                <c:ptCount val="3"/>
                <c:pt idx="0">
                  <c:v>0.22973192696832531</c:v>
                </c:pt>
                <c:pt idx="1">
                  <c:v>0.22069673425557451</c:v>
                </c:pt>
                <c:pt idx="2">
                  <c:v>0.22046202763161596</c:v>
                </c:pt>
              </c:numCache>
            </c:numRef>
          </c:val>
          <c:extLst>
            <c:ext xmlns:c16="http://schemas.microsoft.com/office/drawing/2014/chart" uri="{C3380CC4-5D6E-409C-BE32-E72D297353CC}">
              <c16:uniqueId val="{00000002-1707-4F41-A939-9EF6A335AAF3}"/>
            </c:ext>
          </c:extLst>
        </c:ser>
        <c:dLbls>
          <c:dLblPos val="inEnd"/>
          <c:showLegendKey val="0"/>
          <c:showVal val="1"/>
          <c:showCatName val="0"/>
          <c:showSerName val="0"/>
          <c:showPercent val="0"/>
          <c:showBubbleSize val="0"/>
        </c:dLbls>
        <c:gapWidth val="65"/>
        <c:axId val="564126496"/>
        <c:axId val="544431616"/>
      </c:barChart>
      <c:catAx>
        <c:axId val="564126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4431616"/>
        <c:crosses val="autoZero"/>
        <c:auto val="1"/>
        <c:lblAlgn val="ctr"/>
        <c:lblOffset val="100"/>
        <c:noMultiLvlLbl val="0"/>
      </c:catAx>
      <c:valAx>
        <c:axId val="5444316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56412649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Debt</a:t>
            </a:r>
            <a:r>
              <a:rPr lang="en-US" baseline="0"/>
              <a:t> to Equity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'Comparison Charts and Graphs'!$C$199</c:f>
              <c:strCache>
                <c:ptCount val="1"/>
                <c:pt idx="0">
                  <c:v>Industry</c:v>
                </c:pt>
              </c:strCache>
            </c:strRef>
          </c:tx>
          <c:spPr>
            <a:solidFill>
              <a:schemeClr val="accent6"/>
            </a:solidFill>
            <a:ln>
              <a:noFill/>
            </a:ln>
            <a:effectLst/>
          </c:spPr>
          <c:invertIfNegative val="0"/>
          <c:cat>
            <c:numRef>
              <c:f>'Comparison Charts and Graphs'!$B$200:$B$202</c:f>
              <c:numCache>
                <c:formatCode>General</c:formatCode>
                <c:ptCount val="3"/>
                <c:pt idx="0">
                  <c:v>2022</c:v>
                </c:pt>
                <c:pt idx="1">
                  <c:v>2023</c:v>
                </c:pt>
                <c:pt idx="2">
                  <c:v>2024</c:v>
                </c:pt>
              </c:numCache>
            </c:numRef>
          </c:cat>
          <c:val>
            <c:numRef>
              <c:f>'Comparison Charts and Graphs'!$C$200:$C$202</c:f>
              <c:numCache>
                <c:formatCode>_(* #,##0.00_);_(* \(#,##0.00\);_(* "-"??_);_(@_)</c:formatCode>
                <c:ptCount val="3"/>
                <c:pt idx="0">
                  <c:v>2.5099999999999998</c:v>
                </c:pt>
                <c:pt idx="1">
                  <c:v>1.38</c:v>
                </c:pt>
              </c:numCache>
            </c:numRef>
          </c:val>
          <c:extLst>
            <c:ext xmlns:c16="http://schemas.microsoft.com/office/drawing/2014/chart" uri="{C3380CC4-5D6E-409C-BE32-E72D297353CC}">
              <c16:uniqueId val="{00000000-742C-1C48-B624-51E9272354D2}"/>
            </c:ext>
          </c:extLst>
        </c:ser>
        <c:ser>
          <c:idx val="1"/>
          <c:order val="1"/>
          <c:tx>
            <c:strRef>
              <c:f>'Comparison Charts and Graphs'!$D$199</c:f>
              <c:strCache>
                <c:ptCount val="1"/>
                <c:pt idx="0">
                  <c:v>BP</c:v>
                </c:pt>
              </c:strCache>
            </c:strRef>
          </c:tx>
          <c:spPr>
            <a:solidFill>
              <a:schemeClr val="accent5"/>
            </a:solidFill>
            <a:ln>
              <a:noFill/>
            </a:ln>
            <a:effectLst/>
          </c:spPr>
          <c:invertIfNegative val="0"/>
          <c:cat>
            <c:numRef>
              <c:f>'Comparison Charts and Graphs'!$B$200:$B$202</c:f>
              <c:numCache>
                <c:formatCode>General</c:formatCode>
                <c:ptCount val="3"/>
                <c:pt idx="0">
                  <c:v>2022</c:v>
                </c:pt>
                <c:pt idx="1">
                  <c:v>2023</c:v>
                </c:pt>
                <c:pt idx="2">
                  <c:v>2024</c:v>
                </c:pt>
              </c:numCache>
            </c:numRef>
          </c:cat>
          <c:val>
            <c:numRef>
              <c:f>'Comparison Charts and Graphs'!$D$200:$D$202</c:f>
              <c:numCache>
                <c:formatCode>_(* #,##0.00_);_(* \(#,##0.00\);_(* "-"??_);_(@_)</c:formatCode>
                <c:ptCount val="3"/>
                <c:pt idx="0">
                  <c:v>0.52712374984937949</c:v>
                </c:pt>
                <c:pt idx="1">
                  <c:v>0.56928637432304396</c:v>
                </c:pt>
                <c:pt idx="2">
                  <c:v>0.70319722158379938</c:v>
                </c:pt>
              </c:numCache>
            </c:numRef>
          </c:val>
          <c:extLst>
            <c:ext xmlns:c16="http://schemas.microsoft.com/office/drawing/2014/chart" uri="{C3380CC4-5D6E-409C-BE32-E72D297353CC}">
              <c16:uniqueId val="{00000001-742C-1C48-B624-51E9272354D2}"/>
            </c:ext>
          </c:extLst>
        </c:ser>
        <c:ser>
          <c:idx val="2"/>
          <c:order val="2"/>
          <c:tx>
            <c:strRef>
              <c:f>'Comparison Charts and Graphs'!$E$199</c:f>
              <c:strCache>
                <c:ptCount val="1"/>
                <c:pt idx="0">
                  <c:v>Shell</c:v>
                </c:pt>
              </c:strCache>
            </c:strRef>
          </c:tx>
          <c:spPr>
            <a:solidFill>
              <a:schemeClr val="accent4"/>
            </a:solidFill>
            <a:ln>
              <a:noFill/>
            </a:ln>
            <a:effectLst/>
          </c:spPr>
          <c:invertIfNegative val="0"/>
          <c:cat>
            <c:numRef>
              <c:f>'Comparison Charts and Graphs'!$B$200:$B$202</c:f>
              <c:numCache>
                <c:formatCode>General</c:formatCode>
                <c:ptCount val="3"/>
                <c:pt idx="0">
                  <c:v>2022</c:v>
                </c:pt>
                <c:pt idx="1">
                  <c:v>2023</c:v>
                </c:pt>
                <c:pt idx="2">
                  <c:v>2024</c:v>
                </c:pt>
              </c:numCache>
            </c:numRef>
          </c:cat>
          <c:val>
            <c:numRef>
              <c:f>'Comparison Charts and Graphs'!$E$200:$E$202</c:f>
              <c:numCache>
                <c:formatCode>_(* #,##0.00_);_(* \(#,##0.00\);_(* "-"??_);_(@_)</c:formatCode>
                <c:ptCount val="3"/>
                <c:pt idx="0">
                  <c:v>0.38834457442223919</c:v>
                </c:pt>
                <c:pt idx="1">
                  <c:v>0.38017222157335345</c:v>
                </c:pt>
                <c:pt idx="2">
                  <c:v>0.36326095644065537</c:v>
                </c:pt>
              </c:numCache>
            </c:numRef>
          </c:val>
          <c:extLst>
            <c:ext xmlns:c16="http://schemas.microsoft.com/office/drawing/2014/chart" uri="{C3380CC4-5D6E-409C-BE32-E72D297353CC}">
              <c16:uniqueId val="{00000002-742C-1C48-B624-51E9272354D2}"/>
            </c:ext>
          </c:extLst>
        </c:ser>
        <c:dLbls>
          <c:showLegendKey val="0"/>
          <c:showVal val="0"/>
          <c:showCatName val="0"/>
          <c:showSerName val="0"/>
          <c:showPercent val="0"/>
          <c:showBubbleSize val="0"/>
        </c:dLbls>
        <c:gapWidth val="219"/>
        <c:overlap val="-27"/>
        <c:axId val="564126496"/>
        <c:axId val="544431616"/>
      </c:barChart>
      <c:catAx>
        <c:axId val="56412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31616"/>
        <c:crosses val="autoZero"/>
        <c:auto val="1"/>
        <c:lblAlgn val="ctr"/>
        <c:lblOffset val="100"/>
        <c:noMultiLvlLbl val="0"/>
      </c:catAx>
      <c:valAx>
        <c:axId val="5444316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126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Gearing Ratio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'Comparison Charts and Graphs'!$B$217</c:f>
              <c:strCache>
                <c:ptCount val="1"/>
                <c:pt idx="0">
                  <c:v>BP</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dLbl>
              <c:idx val="0"/>
              <c:layout>
                <c:manualLayout>
                  <c:x val="-7.4678777897860829E-2"/>
                  <c:y val="-3.94265232974910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C6E-2543-92BC-BFC7CABE1F11}"/>
                </c:ext>
              </c:extLst>
            </c:dLbl>
            <c:dLbl>
              <c:idx val="1"/>
              <c:layout>
                <c:manualLayout>
                  <c:x val="-3.9820390098296535E-2"/>
                  <c:y val="-3.58422939068100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C6E-2543-92BC-BFC7CABE1F11}"/>
                </c:ext>
              </c:extLst>
            </c:dLbl>
            <c:dLbl>
              <c:idx val="2"/>
              <c:layout>
                <c:manualLayout>
                  <c:x val="-3.7641740860823766E-2"/>
                  <c:y val="-3.58422939068100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C6E-2543-92BC-BFC7CABE1F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'Comparison Charts and Graphs'!$C$216:$E$216</c:f>
              <c:numCache>
                <c:formatCode>General</c:formatCode>
                <c:ptCount val="3"/>
                <c:pt idx="0">
                  <c:v>2022</c:v>
                </c:pt>
                <c:pt idx="1">
                  <c:v>2023</c:v>
                </c:pt>
                <c:pt idx="2">
                  <c:v>2024</c:v>
                </c:pt>
              </c:numCache>
            </c:numRef>
          </c:cat>
          <c:val>
            <c:numRef>
              <c:f>'Comparison Charts and Graphs'!$C$217:$E$217</c:f>
              <c:numCache>
                <c:formatCode>0%</c:formatCode>
                <c:ptCount val="3"/>
                <c:pt idx="0">
                  <c:v>0.34517422042671381</c:v>
                </c:pt>
                <c:pt idx="1">
                  <c:v>0.36276767812288035</c:v>
                </c:pt>
                <c:pt idx="2">
                  <c:v>0.4128689341859646</c:v>
                </c:pt>
              </c:numCache>
            </c:numRef>
          </c:val>
          <c:smooth val="0"/>
          <c:extLst>
            <c:ext xmlns:c16="http://schemas.microsoft.com/office/drawing/2014/chart" uri="{C3380CC4-5D6E-409C-BE32-E72D297353CC}">
              <c16:uniqueId val="{00000007-DC6E-2543-92BC-BFC7CABE1F11}"/>
            </c:ext>
          </c:extLst>
        </c:ser>
        <c:ser>
          <c:idx val="1"/>
          <c:order val="1"/>
          <c:tx>
            <c:strRef>
              <c:f>'Comparison Charts and Graphs'!$B$218</c:f>
              <c:strCache>
                <c:ptCount val="1"/>
                <c:pt idx="0">
                  <c:v>Shell</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dLbl>
              <c:idx val="0"/>
              <c:layout>
                <c:manualLayout>
                  <c:x val="-3.546309162335104E-2"/>
                  <c:y val="-5.73476702508960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C6E-2543-92BC-BFC7CABE1F11}"/>
                </c:ext>
              </c:extLst>
            </c:dLbl>
            <c:dLbl>
              <c:idx val="1"/>
              <c:layout>
                <c:manualLayout>
                  <c:x val="-3.5463091623351005E-2"/>
                  <c:y val="-7.52688172043010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C6E-2543-92BC-BFC7CABE1F11}"/>
                </c:ext>
              </c:extLst>
            </c:dLbl>
            <c:dLbl>
              <c:idx val="2"/>
              <c:layout>
                <c:manualLayout>
                  <c:x val="-3.5463091623351164E-2"/>
                  <c:y val="-6.0931899641577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C6E-2543-92BC-BFC7CABE1F1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'Comparison Charts and Graphs'!$C$216:$E$216</c:f>
              <c:numCache>
                <c:formatCode>General</c:formatCode>
                <c:ptCount val="3"/>
                <c:pt idx="0">
                  <c:v>2022</c:v>
                </c:pt>
                <c:pt idx="1">
                  <c:v>2023</c:v>
                </c:pt>
                <c:pt idx="2">
                  <c:v>2024</c:v>
                </c:pt>
              </c:numCache>
            </c:numRef>
          </c:cat>
          <c:val>
            <c:numRef>
              <c:f>'Comparison Charts and Graphs'!$C$218:$E$218</c:f>
              <c:numCache>
                <c:formatCode>0%</c:formatCode>
                <c:ptCount val="3"/>
                <c:pt idx="0">
                  <c:v>0.27971771675187274</c:v>
                </c:pt>
                <c:pt idx="1">
                  <c:v>0.2754527410644223</c:v>
                </c:pt>
                <c:pt idx="2">
                  <c:v>0.26646472542505373</c:v>
                </c:pt>
              </c:numCache>
            </c:numRef>
          </c:val>
          <c:smooth val="0"/>
          <c:extLst>
            <c:ext xmlns:c16="http://schemas.microsoft.com/office/drawing/2014/chart" uri="{C3380CC4-5D6E-409C-BE32-E72D297353CC}">
              <c16:uniqueId val="{00000008-DC6E-2543-92BC-BFC7CABE1F11}"/>
            </c:ext>
          </c:extLst>
        </c:ser>
        <c:dLbls>
          <c:dLblPos val="ctr"/>
          <c:showLegendKey val="0"/>
          <c:showVal val="1"/>
          <c:showCatName val="0"/>
          <c:showSerName val="0"/>
          <c:showPercent val="0"/>
          <c:showBubbleSize val="0"/>
        </c:dLbls>
        <c:smooth val="0"/>
        <c:axId val="550579648"/>
        <c:axId val="551430928"/>
      </c:lineChart>
      <c:catAx>
        <c:axId val="5505796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30928"/>
        <c:crosses val="autoZero"/>
        <c:auto val="1"/>
        <c:lblAlgn val="ctr"/>
        <c:lblOffset val="100"/>
        <c:noMultiLvlLbl val="0"/>
      </c:catAx>
      <c:valAx>
        <c:axId val="5514309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57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'Comparison Charts and Graphs'!$C$235</c:f>
              <c:strCache>
                <c:ptCount val="1"/>
                <c:pt idx="0">
                  <c:v>Industry</c:v>
                </c:pt>
              </c:strCache>
            </c:strRef>
          </c:tx>
          <c:spPr>
            <a:solidFill>
              <a:schemeClr val="accent6"/>
            </a:solidFill>
            <a:ln>
              <a:noFill/>
            </a:ln>
            <a:effectLst/>
          </c:spPr>
          <c:invertIfNegative val="0"/>
          <c:cat>
            <c:numRef>
              <c:f>'Comparison Charts and Graphs'!$B$236:$B$238</c:f>
              <c:numCache>
                <c:formatCode>General</c:formatCode>
                <c:ptCount val="3"/>
                <c:pt idx="0">
                  <c:v>2022</c:v>
                </c:pt>
                <c:pt idx="1">
                  <c:v>2023</c:v>
                </c:pt>
                <c:pt idx="2">
                  <c:v>2024</c:v>
                </c:pt>
              </c:numCache>
            </c:numRef>
          </c:cat>
          <c:val>
            <c:numRef>
              <c:f>'Comparison Charts and Graphs'!$C$236:$C$238</c:f>
              <c:numCache>
                <c:formatCode>_(* #,##0.00_);_(* \(#,##0.00\);_(* "-"??_);_(@_)</c:formatCode>
                <c:ptCount val="3"/>
                <c:pt idx="0">
                  <c:v>230.47</c:v>
                </c:pt>
                <c:pt idx="1">
                  <c:v>46.14</c:v>
                </c:pt>
              </c:numCache>
            </c:numRef>
          </c:val>
          <c:extLst>
            <c:ext xmlns:c16="http://schemas.microsoft.com/office/drawing/2014/chart" uri="{C3380CC4-5D6E-409C-BE32-E72D297353CC}">
              <c16:uniqueId val="{00000000-1D5A-4A48-8BCB-7E2E4DE3D672}"/>
            </c:ext>
          </c:extLst>
        </c:ser>
        <c:ser>
          <c:idx val="1"/>
          <c:order val="1"/>
          <c:tx>
            <c:strRef>
              <c:f>'Comparison Charts and Graphs'!$D$235</c:f>
              <c:strCache>
                <c:ptCount val="1"/>
                <c:pt idx="0">
                  <c:v>BP</c:v>
                </c:pt>
              </c:strCache>
            </c:strRef>
          </c:tx>
          <c:spPr>
            <a:solidFill>
              <a:schemeClr val="accent5"/>
            </a:solidFill>
            <a:ln>
              <a:noFill/>
            </a:ln>
            <a:effectLst/>
          </c:spPr>
          <c:invertIfNegative val="0"/>
          <c:cat>
            <c:numRef>
              <c:f>'Comparison Charts and Graphs'!$B$236:$B$238</c:f>
              <c:numCache>
                <c:formatCode>General</c:formatCode>
                <c:ptCount val="3"/>
                <c:pt idx="0">
                  <c:v>2022</c:v>
                </c:pt>
                <c:pt idx="1">
                  <c:v>2023</c:v>
                </c:pt>
                <c:pt idx="2">
                  <c:v>2024</c:v>
                </c:pt>
              </c:numCache>
            </c:numRef>
          </c:cat>
          <c:val>
            <c:numRef>
              <c:f>'Comparison Charts and Graphs'!$D$236:$D$238</c:f>
              <c:numCache>
                <c:formatCode>_(* #,##0.00_);_(* \(#,##0.00\);_(* "-"??_);_(@_)</c:formatCode>
                <c:ptCount val="3"/>
                <c:pt idx="0">
                  <c:v>6.8485193621867886</c:v>
                </c:pt>
                <c:pt idx="1">
                  <c:v>7.5987774381772715</c:v>
                </c:pt>
                <c:pt idx="2">
                  <c:v>2.5021040974529347</c:v>
                </c:pt>
              </c:numCache>
            </c:numRef>
          </c:val>
          <c:extLst>
            <c:ext xmlns:c16="http://schemas.microsoft.com/office/drawing/2014/chart" uri="{C3380CC4-5D6E-409C-BE32-E72D297353CC}">
              <c16:uniqueId val="{00000001-1D5A-4A48-8BCB-7E2E4DE3D672}"/>
            </c:ext>
          </c:extLst>
        </c:ser>
        <c:ser>
          <c:idx val="2"/>
          <c:order val="2"/>
          <c:tx>
            <c:strRef>
              <c:f>'Comparison Charts and Graphs'!$E$235</c:f>
              <c:strCache>
                <c:ptCount val="1"/>
                <c:pt idx="0">
                  <c:v>Shell</c:v>
                </c:pt>
              </c:strCache>
            </c:strRef>
          </c:tx>
          <c:spPr>
            <a:solidFill>
              <a:schemeClr val="accent4"/>
            </a:solidFill>
            <a:ln>
              <a:noFill/>
            </a:ln>
            <a:effectLst/>
          </c:spPr>
          <c:invertIfNegative val="0"/>
          <c:cat>
            <c:numRef>
              <c:f>'Comparison Charts and Graphs'!$B$236:$B$238</c:f>
              <c:numCache>
                <c:formatCode>General</c:formatCode>
                <c:ptCount val="3"/>
                <c:pt idx="0">
                  <c:v>2022</c:v>
                </c:pt>
                <c:pt idx="1">
                  <c:v>2023</c:v>
                </c:pt>
                <c:pt idx="2">
                  <c:v>2024</c:v>
                </c:pt>
              </c:numCache>
            </c:numRef>
          </c:cat>
          <c:val>
            <c:numRef>
              <c:f>'Comparison Charts and Graphs'!$E$236:$E$238</c:f>
              <c:numCache>
                <c:formatCode>_(* #,##0.00_);_(* \(#,##0.00\);_(* "-"??_);_(@_)</c:formatCode>
                <c:ptCount val="3"/>
                <c:pt idx="0">
                  <c:v>20.375668028921723</c:v>
                </c:pt>
                <c:pt idx="1">
                  <c:v>6.9820243954632994</c:v>
                </c:pt>
                <c:pt idx="2">
                  <c:v>6.2506789220806347</c:v>
                </c:pt>
              </c:numCache>
            </c:numRef>
          </c:val>
          <c:extLst>
            <c:ext xmlns:c16="http://schemas.microsoft.com/office/drawing/2014/chart" uri="{C3380CC4-5D6E-409C-BE32-E72D297353CC}">
              <c16:uniqueId val="{00000002-1D5A-4A48-8BCB-7E2E4DE3D672}"/>
            </c:ext>
          </c:extLst>
        </c:ser>
        <c:dLbls>
          <c:showLegendKey val="0"/>
          <c:showVal val="0"/>
          <c:showCatName val="0"/>
          <c:showSerName val="0"/>
          <c:showPercent val="0"/>
          <c:showBubbleSize val="0"/>
        </c:dLbls>
        <c:gapWidth val="219"/>
        <c:overlap val="-27"/>
        <c:axId val="564126496"/>
        <c:axId val="544431616"/>
      </c:barChart>
      <c:catAx>
        <c:axId val="56412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31616"/>
        <c:crosses val="autoZero"/>
        <c:auto val="1"/>
        <c:lblAlgn val="ctr"/>
        <c:lblOffset val="100"/>
        <c:noMultiLvlLbl val="0"/>
      </c:catAx>
      <c:valAx>
        <c:axId val="5444316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126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EPS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'Comparison Charts and Graphs'!$B$253</c:f>
              <c:strCache>
                <c:ptCount val="1"/>
                <c:pt idx="0">
                  <c:v>BP</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dLbl>
              <c:idx val="0"/>
              <c:layout>
                <c:manualLayout>
                  <c:x val="-4.0465032133565358E-2"/>
                  <c:y val="-5.37634408602150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935-3D44-A468-D9AAAED83717}"/>
                </c:ext>
              </c:extLst>
            </c:dLbl>
            <c:dLbl>
              <c:idx val="1"/>
              <c:layout>
                <c:manualLayout>
                  <c:x val="-3.8276848326125539E-2"/>
                  <c:y val="-7.16845878136200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935-3D44-A468-D9AAAED83717}"/>
                </c:ext>
              </c:extLst>
            </c:dLbl>
            <c:dLbl>
              <c:idx val="2"/>
              <c:layout>
                <c:manualLayout>
                  <c:x val="-3.8276848326125539E-2"/>
                  <c:y val="-6.4516129032258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935-3D44-A468-D9AAAED837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'Comparison Charts and Graphs'!$C$252:$E$252</c:f>
              <c:numCache>
                <c:formatCode>General</c:formatCode>
                <c:ptCount val="3"/>
                <c:pt idx="0">
                  <c:v>2022</c:v>
                </c:pt>
                <c:pt idx="1">
                  <c:v>2023</c:v>
                </c:pt>
                <c:pt idx="2">
                  <c:v>2024</c:v>
                </c:pt>
              </c:numCache>
            </c:numRef>
          </c:cat>
          <c:val>
            <c:numRef>
              <c:f>'Comparison Charts and Graphs'!$C$253:$E$253</c:f>
              <c:numCache>
                <c:formatCode>_(* #,##0.00_);_(* \(#,##0.00\);_(* "-"??_);_(@_)</c:formatCode>
                <c:ptCount val="3"/>
                <c:pt idx="0">
                  <c:v>-13.1</c:v>
                </c:pt>
                <c:pt idx="1">
                  <c:v>87.78</c:v>
                </c:pt>
                <c:pt idx="2">
                  <c:v>2.38</c:v>
                </c:pt>
              </c:numCache>
            </c:numRef>
          </c:val>
          <c:smooth val="0"/>
          <c:extLst>
            <c:ext xmlns:c16="http://schemas.microsoft.com/office/drawing/2014/chart" uri="{C3380CC4-5D6E-409C-BE32-E72D297353CC}">
              <c16:uniqueId val="{00000007-8935-3D44-A468-D9AAAED83717}"/>
            </c:ext>
          </c:extLst>
        </c:ser>
        <c:ser>
          <c:idx val="2"/>
          <c:order val="1"/>
          <c:tx>
            <c:strRef>
              <c:f>'Comparison Charts and Graphs'!$B$254</c:f>
              <c:strCache>
                <c:ptCount val="1"/>
                <c:pt idx="0">
                  <c:v>Shell</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0"/>
              <c:layout>
                <c:manualLayout>
                  <c:x val="-4.0465032133565358E-2"/>
                  <c:y val="-5.73476702508960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935-3D44-A468-D9AAAED83717}"/>
                </c:ext>
              </c:extLst>
            </c:dLbl>
            <c:dLbl>
              <c:idx val="1"/>
              <c:layout>
                <c:manualLayout>
                  <c:x val="-4.7029583555884838E-2"/>
                  <c:y val="-6.45161290322580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935-3D44-A468-D9AAAED83717}"/>
                </c:ext>
              </c:extLst>
            </c:dLbl>
            <c:dLbl>
              <c:idx val="2"/>
              <c:layout>
                <c:manualLayout>
                  <c:x val="-4.7029583555884838E-2"/>
                  <c:y val="-5.37634408602150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935-3D44-A468-D9AAAED8371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'Comparison Charts and Graphs'!$C$252:$E$252</c:f>
              <c:numCache>
                <c:formatCode>General</c:formatCode>
                <c:ptCount val="3"/>
                <c:pt idx="0">
                  <c:v>2022</c:v>
                </c:pt>
                <c:pt idx="1">
                  <c:v>2023</c:v>
                </c:pt>
                <c:pt idx="2">
                  <c:v>2024</c:v>
                </c:pt>
              </c:numCache>
            </c:numRef>
          </c:cat>
          <c:val>
            <c:numRef>
              <c:f>'Comparison Charts and Graphs'!$C$254:$E$254</c:f>
              <c:numCache>
                <c:formatCode>_(* #,##0.00_);_(* \(#,##0.00\);_(* "-"??_);_(@_)</c:formatCode>
                <c:ptCount val="3"/>
                <c:pt idx="0">
                  <c:v>5.76</c:v>
                </c:pt>
                <c:pt idx="1">
                  <c:v>2.88</c:v>
                </c:pt>
                <c:pt idx="2">
                  <c:v>2.5499999999999998</c:v>
                </c:pt>
              </c:numCache>
            </c:numRef>
          </c:val>
          <c:smooth val="0"/>
          <c:extLst>
            <c:ext xmlns:c16="http://schemas.microsoft.com/office/drawing/2014/chart" uri="{C3380CC4-5D6E-409C-BE32-E72D297353CC}">
              <c16:uniqueId val="{00000008-8935-3D44-A468-D9AAAED83717}"/>
            </c:ext>
          </c:extLst>
        </c:ser>
        <c:dLbls>
          <c:dLblPos val="ctr"/>
          <c:showLegendKey val="0"/>
          <c:showVal val="1"/>
          <c:showCatName val="0"/>
          <c:showSerName val="0"/>
          <c:showPercent val="0"/>
          <c:showBubbleSize val="0"/>
        </c:dLbls>
        <c:smooth val="0"/>
        <c:axId val="550579648"/>
        <c:axId val="551430928"/>
      </c:lineChart>
      <c:catAx>
        <c:axId val="5505796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30928"/>
        <c:crosses val="autoZero"/>
        <c:auto val="1"/>
        <c:lblAlgn val="ctr"/>
        <c:lblOffset val="100"/>
        <c:noMultiLvlLbl val="0"/>
      </c:catAx>
      <c:valAx>
        <c:axId val="55143092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57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Price Earning Ratio</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2"/>
          <c:order val="0"/>
          <c:tx>
            <c:strRef>
              <c:f>'Comparison Charts and Graphs'!$B$267</c:f>
              <c:strCache>
                <c:ptCount val="1"/>
                <c:pt idx="0">
                  <c:v>BP</c:v>
                </c:pt>
              </c:strCache>
            </c:strRef>
          </c:tx>
          <c:spPr>
            <a:ln w="22225" cap="rnd">
              <a:solidFill>
                <a:schemeClr val="accent4"/>
              </a:solidFill>
            </a:ln>
            <a:effectLst>
              <a:glow rad="139700">
                <a:schemeClr val="accent4">
                  <a:satMod val="175000"/>
                  <a:alpha val="14000"/>
                </a:schemeClr>
              </a:glow>
            </a:effectLst>
          </c:spPr>
          <c:marker>
            <c:symbol val="none"/>
          </c:marker>
          <c:dLbls>
            <c:dLbl>
              <c:idx val="0"/>
              <c:layout>
                <c:manualLayout>
                  <c:x val="-4.3265907407088376E-2"/>
                  <c:y val="-5.37634408602150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BA5-9544-B906-90C6487ECD75}"/>
                </c:ext>
              </c:extLst>
            </c:dLbl>
            <c:dLbl>
              <c:idx val="1"/>
              <c:layout>
                <c:manualLayout>
                  <c:x val="-4.3265907407088335E-2"/>
                  <c:y val="-5.37634408602150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BA5-9544-B906-90C6487ECD75}"/>
                </c:ext>
              </c:extLst>
            </c:dLbl>
            <c:dLbl>
              <c:idx val="2"/>
              <c:layout>
                <c:manualLayout>
                  <c:x val="-4.1077723599648515E-2"/>
                  <c:y val="-5.37634408602150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BA5-9544-B906-90C6487ECD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'Comparison Charts and Graphs'!$C$266:$E$266</c:f>
              <c:numCache>
                <c:formatCode>General</c:formatCode>
                <c:ptCount val="3"/>
                <c:pt idx="0">
                  <c:v>2022</c:v>
                </c:pt>
                <c:pt idx="1">
                  <c:v>2023</c:v>
                </c:pt>
                <c:pt idx="2">
                  <c:v>2024</c:v>
                </c:pt>
              </c:numCache>
            </c:numRef>
          </c:cat>
          <c:val>
            <c:numRef>
              <c:f>'Comparison Charts and Graphs'!$C$267:$E$267</c:f>
              <c:numCache>
                <c:formatCode>_(* #,##0.00_);_(* \(#,##0.00\);_(* "-"??_);_(@_)</c:formatCode>
                <c:ptCount val="3"/>
                <c:pt idx="0">
                  <c:v>-0.4386480916030534</c:v>
                </c:pt>
                <c:pt idx="1">
                  <c:v>6.7442526771474137E-2</c:v>
                </c:pt>
                <c:pt idx="2">
                  <c:v>2.0640756302521011</c:v>
                </c:pt>
              </c:numCache>
            </c:numRef>
          </c:val>
          <c:smooth val="0"/>
          <c:extLst>
            <c:ext xmlns:c16="http://schemas.microsoft.com/office/drawing/2014/chart" uri="{C3380CC4-5D6E-409C-BE32-E72D297353CC}">
              <c16:uniqueId val="{00000007-2BA5-9544-B906-90C6487ECD75}"/>
            </c:ext>
          </c:extLst>
        </c:ser>
        <c:ser>
          <c:idx val="0"/>
          <c:order val="1"/>
          <c:tx>
            <c:strRef>
              <c:f>'Comparison Charts and Graphs'!$B$268</c:f>
              <c:strCache>
                <c:ptCount val="1"/>
                <c:pt idx="0">
                  <c:v>Shell</c:v>
                </c:pt>
              </c:strCache>
            </c:strRef>
          </c:tx>
          <c:spPr>
            <a:ln w="22225" cap="rnd">
              <a:solidFill>
                <a:schemeClr val="accent6"/>
              </a:solidFill>
            </a:ln>
            <a:effectLst>
              <a:glow rad="139700">
                <a:schemeClr val="accent6">
                  <a:satMod val="175000"/>
                  <a:alpha val="14000"/>
                </a:schemeClr>
              </a:glow>
            </a:effectLst>
          </c:spPr>
          <c:marker>
            <c:symbol val="none"/>
          </c:marker>
          <c:dLbls>
            <c:dLbl>
              <c:idx val="0"/>
              <c:layout>
                <c:manualLayout>
                  <c:x val="-4.1077723599648515E-2"/>
                  <c:y val="6.81003584229390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BA5-9544-B906-90C6487ECD75}"/>
                </c:ext>
              </c:extLst>
            </c:dLbl>
            <c:dLbl>
              <c:idx val="1"/>
              <c:layout>
                <c:manualLayout>
                  <c:x val="-4.3265907407088335E-2"/>
                  <c:y val="9.31899641577060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BA5-9544-B906-90C6487ECD75}"/>
                </c:ext>
              </c:extLst>
            </c:dLbl>
            <c:dLbl>
              <c:idx val="2"/>
              <c:layout>
                <c:manualLayout>
                  <c:x val="-5.420682644428762E-2"/>
                  <c:y val="7.16845878136200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BA5-9544-B906-90C6487ECD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'Comparison Charts and Graphs'!$C$266:$E$266</c:f>
              <c:numCache>
                <c:formatCode>General</c:formatCode>
                <c:ptCount val="3"/>
                <c:pt idx="0">
                  <c:v>2022</c:v>
                </c:pt>
                <c:pt idx="1">
                  <c:v>2023</c:v>
                </c:pt>
                <c:pt idx="2">
                  <c:v>2024</c:v>
                </c:pt>
              </c:numCache>
            </c:numRef>
          </c:cat>
          <c:val>
            <c:numRef>
              <c:f>'Comparison Charts and Graphs'!$C$268:$E$268</c:f>
              <c:numCache>
                <c:formatCode>_(* #,##0.00_);_(* \(#,##0.00\);_(* "-"??_);_(@_)</c:formatCode>
                <c:ptCount val="3"/>
                <c:pt idx="0">
                  <c:v>4.0381944444444446</c:v>
                </c:pt>
                <c:pt idx="1">
                  <c:v>8.9288194444444446</c:v>
                </c:pt>
                <c:pt idx="2">
                  <c:v>9.7098039215686285</c:v>
                </c:pt>
              </c:numCache>
            </c:numRef>
          </c:val>
          <c:smooth val="0"/>
          <c:extLst>
            <c:ext xmlns:c16="http://schemas.microsoft.com/office/drawing/2014/chart" uri="{C3380CC4-5D6E-409C-BE32-E72D297353CC}">
              <c16:uniqueId val="{00000008-2BA5-9544-B906-90C6487ECD75}"/>
            </c:ext>
          </c:extLst>
        </c:ser>
        <c:dLbls>
          <c:dLblPos val="ctr"/>
          <c:showLegendKey val="0"/>
          <c:showVal val="1"/>
          <c:showCatName val="0"/>
          <c:showSerName val="0"/>
          <c:showPercent val="0"/>
          <c:showBubbleSize val="0"/>
        </c:dLbls>
        <c:smooth val="0"/>
        <c:axId val="550579648"/>
        <c:axId val="551430928"/>
      </c:lineChart>
      <c:catAx>
        <c:axId val="55057964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1430928"/>
        <c:crosses val="autoZero"/>
        <c:auto val="1"/>
        <c:lblAlgn val="ctr"/>
        <c:lblOffset val="100"/>
        <c:noMultiLvlLbl val="0"/>
      </c:catAx>
      <c:valAx>
        <c:axId val="55143092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50579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Capital Turnover</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1"/>
          <c:order val="0"/>
          <c:tx>
            <c:strRef>
              <c:f>'Comparison Charts and Graphs'!$B$35</c:f>
              <c:strCache>
                <c:ptCount val="1"/>
                <c:pt idx="0">
                  <c:v>BP</c:v>
                </c:pt>
              </c:strCache>
            </c:strRef>
          </c:tx>
          <c:spPr>
            <a:ln w="22225" cap="rnd">
              <a:solidFill>
                <a:schemeClr val="accent5"/>
              </a:solidFill>
            </a:ln>
            <a:effectLst>
              <a:glow rad="139700">
                <a:schemeClr val="accent5">
                  <a:satMod val="175000"/>
                  <a:alpha val="14000"/>
                </a:schemeClr>
              </a:glow>
            </a:effectLst>
          </c:spPr>
          <c:marker>
            <c:symbol val="none"/>
          </c:marker>
          <c:dLbls>
            <c:dLbl>
              <c:idx val="0"/>
              <c:layout>
                <c:manualLayout>
                  <c:x val="-3.9368006643234831E-2"/>
                  <c:y val="-4.90797546012270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C3B-A44B-982F-6345A155A70E}"/>
                </c:ext>
              </c:extLst>
            </c:dLbl>
            <c:dLbl>
              <c:idx val="1"/>
              <c:layout>
                <c:manualLayout>
                  <c:x val="-3.9368006643234907E-2"/>
                  <c:y val="-6.13496932515337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C3B-A44B-982F-6345A155A70E}"/>
                </c:ext>
              </c:extLst>
            </c:dLbl>
            <c:dLbl>
              <c:idx val="2"/>
              <c:layout>
                <c:manualLayout>
                  <c:x val="-4.161856901801407E-2"/>
                  <c:y val="-4.90797546012270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C3B-A44B-982F-6345A155A7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'Comparison Charts and Graphs'!$C$34:$E$34</c:f>
              <c:numCache>
                <c:formatCode>General</c:formatCode>
                <c:ptCount val="3"/>
                <c:pt idx="0">
                  <c:v>2022</c:v>
                </c:pt>
                <c:pt idx="1">
                  <c:v>2023</c:v>
                </c:pt>
                <c:pt idx="2">
                  <c:v>2024</c:v>
                </c:pt>
              </c:numCache>
            </c:numRef>
          </c:cat>
          <c:val>
            <c:numRef>
              <c:f>'Comparison Charts and Graphs'!$C$35:$E$35</c:f>
              <c:numCache>
                <c:formatCode>_(* #,##0.00_);_(* \(#,##0.00\);_(* "-"??_);_(@_)</c:formatCode>
                <c:ptCount val="3"/>
                <c:pt idx="0">
                  <c:v>1.9046837520515087</c:v>
                </c:pt>
                <c:pt idx="1">
                  <c:v>1.5662291391814436</c:v>
                </c:pt>
                <c:pt idx="2">
                  <c:v>1.4182740964532841</c:v>
                </c:pt>
              </c:numCache>
            </c:numRef>
          </c:val>
          <c:smooth val="0"/>
          <c:extLst>
            <c:ext xmlns:c16="http://schemas.microsoft.com/office/drawing/2014/chart" uri="{C3380CC4-5D6E-409C-BE32-E72D297353CC}">
              <c16:uniqueId val="{00000001-2C3B-A44B-982F-6345A155A70E}"/>
            </c:ext>
          </c:extLst>
        </c:ser>
        <c:ser>
          <c:idx val="2"/>
          <c:order val="1"/>
          <c:tx>
            <c:strRef>
              <c:f>'Comparison Charts and Graphs'!$B$36</c:f>
              <c:strCache>
                <c:ptCount val="1"/>
                <c:pt idx="0">
                  <c:v>Shell</c:v>
                </c:pt>
              </c:strCache>
            </c:strRef>
          </c:tx>
          <c:spPr>
            <a:ln w="22225" cap="rnd">
              <a:solidFill>
                <a:schemeClr val="accent4"/>
              </a:solidFill>
            </a:ln>
            <a:effectLst>
              <a:glow rad="139700">
                <a:schemeClr val="accent4">
                  <a:satMod val="175000"/>
                  <a:alpha val="14000"/>
                </a:schemeClr>
              </a:glow>
            </a:effectLst>
          </c:spPr>
          <c:marker>
            <c:symbol val="none"/>
          </c:marker>
          <c:dLbls>
            <c:dLbl>
              <c:idx val="0"/>
              <c:layout>
                <c:manualLayout>
                  <c:x val="-3.9368006643234831E-2"/>
                  <c:y val="-5.725971370143152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C3B-A44B-982F-6345A155A70E}"/>
                </c:ext>
              </c:extLst>
            </c:dLbl>
            <c:dLbl>
              <c:idx val="1"/>
              <c:layout>
                <c:manualLayout>
                  <c:x val="-3.9368006643234907E-2"/>
                  <c:y val="-4.08997955010224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C3B-A44B-982F-6345A155A70E}"/>
                </c:ext>
              </c:extLst>
            </c:dLbl>
            <c:dLbl>
              <c:idx val="2"/>
              <c:layout>
                <c:manualLayout>
                  <c:x val="-3.9368006643234831E-2"/>
                  <c:y val="-4.90797546012270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C3B-A44B-982F-6345A155A70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'Comparison Charts and Graphs'!$C$34:$E$34</c:f>
              <c:numCache>
                <c:formatCode>General</c:formatCode>
                <c:ptCount val="3"/>
                <c:pt idx="0">
                  <c:v>2022</c:v>
                </c:pt>
                <c:pt idx="1">
                  <c:v>2023</c:v>
                </c:pt>
                <c:pt idx="2">
                  <c:v>2024</c:v>
                </c:pt>
              </c:numCache>
            </c:numRef>
          </c:cat>
          <c:val>
            <c:numRef>
              <c:f>'Comparison Charts and Graphs'!$C$36:$E$36</c:f>
              <c:numCache>
                <c:formatCode>_(* #,##0.00_);_(* \(#,##0.00\);_(* "-"??_);_(@_)</c:formatCode>
                <c:ptCount val="3"/>
                <c:pt idx="0">
                  <c:v>1.4260539808744497</c:v>
                </c:pt>
                <c:pt idx="1">
                  <c:v>1.217900389272691</c:v>
                </c:pt>
                <c:pt idx="2">
                  <c:v>1.157546739626083</c:v>
                </c:pt>
              </c:numCache>
            </c:numRef>
          </c:val>
          <c:smooth val="0"/>
          <c:extLst>
            <c:ext xmlns:c16="http://schemas.microsoft.com/office/drawing/2014/chart" uri="{C3380CC4-5D6E-409C-BE32-E72D297353CC}">
              <c16:uniqueId val="{00000002-2C3B-A44B-982F-6345A155A70E}"/>
            </c:ext>
          </c:extLst>
        </c:ser>
        <c:dLbls>
          <c:dLblPos val="ctr"/>
          <c:showLegendKey val="0"/>
          <c:showVal val="1"/>
          <c:showCatName val="0"/>
          <c:showSerName val="0"/>
          <c:showPercent val="0"/>
          <c:showBubbleSize val="0"/>
        </c:dLbls>
        <c:smooth val="0"/>
        <c:axId val="598595136"/>
        <c:axId val="598609664"/>
      </c:lineChart>
      <c:catAx>
        <c:axId val="59859513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8609664"/>
        <c:crosses val="autoZero"/>
        <c:auto val="1"/>
        <c:lblAlgn val="ctr"/>
        <c:lblOffset val="100"/>
        <c:noMultiLvlLbl val="0"/>
      </c:catAx>
      <c:valAx>
        <c:axId val="5986096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985951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Dividend Cover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2"/>
          <c:order val="0"/>
          <c:tx>
            <c:strRef>
              <c:f>'Comparison Charts and Graphs'!$B$284</c:f>
              <c:strCache>
                <c:ptCount val="1"/>
                <c:pt idx="0">
                  <c:v>BP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3.8290808482356463E-2"/>
                  <c:y val="3.98310274865452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D5B-7842-9979-C1B3B117DF18}"/>
                </c:ext>
              </c:extLst>
            </c:dLbl>
            <c:dLbl>
              <c:idx val="1"/>
              <c:layout>
                <c:manualLayout>
                  <c:x val="-3.8290808482356463E-2"/>
                  <c:y val="6.879904747676000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D5B-7842-9979-C1B3B117DF18}"/>
                </c:ext>
              </c:extLst>
            </c:dLbl>
            <c:dLbl>
              <c:idx val="2"/>
              <c:layout>
                <c:manualLayout>
                  <c:x val="-3.8290808482356463E-2"/>
                  <c:y val="5.06940349828757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D5B-7842-9979-C1B3B117DF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'Comparison Charts and Graphs'!$C$283:$E$283</c:f>
              <c:numCache>
                <c:formatCode>General</c:formatCode>
                <c:ptCount val="3"/>
                <c:pt idx="0">
                  <c:v>2022</c:v>
                </c:pt>
                <c:pt idx="1">
                  <c:v>2023</c:v>
                </c:pt>
                <c:pt idx="2">
                  <c:v>2024</c:v>
                </c:pt>
              </c:numCache>
            </c:numRef>
          </c:cat>
          <c:val>
            <c:numRef>
              <c:f>'Comparison Charts and Graphs'!$C$284:$E$284</c:f>
              <c:numCache>
                <c:formatCode>_(* #,##0.00_);_(* \(#,##0.00\);_(* "-"??_);_(@_)</c:formatCode>
                <c:ptCount val="3"/>
                <c:pt idx="0">
                  <c:v>-0.70354457572502682</c:v>
                </c:pt>
                <c:pt idx="1">
                  <c:v>3.931034482758621</c:v>
                </c:pt>
                <c:pt idx="2">
                  <c:v>0.10033726812816189</c:v>
                </c:pt>
              </c:numCache>
            </c:numRef>
          </c:val>
          <c:extLst>
            <c:ext xmlns:c16="http://schemas.microsoft.com/office/drawing/2014/chart" uri="{C3380CC4-5D6E-409C-BE32-E72D297353CC}">
              <c16:uniqueId val="{00000006-3D5B-7842-9979-C1B3B117DF18}"/>
            </c:ext>
          </c:extLst>
        </c:ser>
        <c:ser>
          <c:idx val="0"/>
          <c:order val="1"/>
          <c:tx>
            <c:strRef>
              <c:f>'Comparison Charts and Graphs'!$B$285</c:f>
              <c:strCache>
                <c:ptCount val="1"/>
                <c:pt idx="0">
                  <c:v>Shell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layout>
                <c:manualLayout>
                  <c:x val="-3.8290808482356463E-2"/>
                  <c:y val="-5.43150374816526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D5B-7842-9979-C1B3B117DF18}"/>
                </c:ext>
              </c:extLst>
            </c:dLbl>
            <c:dLbl>
              <c:idx val="1"/>
              <c:layout>
                <c:manualLayout>
                  <c:x val="-3.8290808482356463E-2"/>
                  <c:y val="-5.79360399804295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D5B-7842-9979-C1B3B117DF18}"/>
                </c:ext>
              </c:extLst>
            </c:dLbl>
            <c:dLbl>
              <c:idx val="2"/>
              <c:layout>
                <c:manualLayout>
                  <c:x val="-3.6101826610573574E-2"/>
                  <c:y val="-7.242004997553691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D5B-7842-9979-C1B3B117DF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'Comparison Charts and Graphs'!$C$283:$E$283</c:f>
              <c:numCache>
                <c:formatCode>General</c:formatCode>
                <c:ptCount val="3"/>
                <c:pt idx="0">
                  <c:v>2022</c:v>
                </c:pt>
                <c:pt idx="1">
                  <c:v>2023</c:v>
                </c:pt>
                <c:pt idx="2">
                  <c:v>2024</c:v>
                </c:pt>
              </c:numCache>
            </c:numRef>
          </c:cat>
          <c:val>
            <c:numRef>
              <c:f>'Comparison Charts and Graphs'!$C$285:$E$285</c:f>
              <c:numCache>
                <c:formatCode>_(* #,##0.00_);_(* \(#,##0.00\);_(* "-"??_);_(@_)</c:formatCode>
                <c:ptCount val="3"/>
                <c:pt idx="0">
                  <c:v>5.8181818181818183</c:v>
                </c:pt>
                <c:pt idx="1">
                  <c:v>2.3282134195634598</c:v>
                </c:pt>
                <c:pt idx="2">
                  <c:v>1.8531976744186047</c:v>
                </c:pt>
              </c:numCache>
            </c:numRef>
          </c:val>
          <c:extLst>
            <c:ext xmlns:c16="http://schemas.microsoft.com/office/drawing/2014/chart" uri="{C3380CC4-5D6E-409C-BE32-E72D297353CC}">
              <c16:uniqueId val="{00000007-3D5B-7842-9979-C1B3B117DF18}"/>
            </c:ext>
          </c:extLst>
        </c:ser>
        <c:dLbls>
          <c:dLblPos val="ctr"/>
          <c:showLegendKey val="0"/>
          <c:showVal val="1"/>
          <c:showCatName val="0"/>
          <c:showSerName val="0"/>
          <c:showPercent val="0"/>
          <c:showBubbleSize val="0"/>
        </c:dLbls>
        <c:gapWidth val="150"/>
        <c:axId val="550579648"/>
        <c:axId val="551430928"/>
      </c:barChart>
      <c:catAx>
        <c:axId val="5505796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30928"/>
        <c:crosses val="autoZero"/>
        <c:auto val="1"/>
        <c:lblAlgn val="ctr"/>
        <c:lblOffset val="100"/>
        <c:noMultiLvlLbl val="0"/>
      </c:catAx>
      <c:valAx>
        <c:axId val="55143092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57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Dividend</a:t>
            </a:r>
            <a:r>
              <a:rPr lang="en-US" baseline="0"/>
              <a:t> Yield</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'Comparison Charts and Graphs'!$B$300</c:f>
              <c:strCache>
                <c:ptCount val="1"/>
                <c:pt idx="0">
                  <c:v>BP</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'Comparison Charts and Graphs'!$C$299:$E$299</c:f>
              <c:numCache>
                <c:formatCode>General</c:formatCode>
                <c:ptCount val="3"/>
                <c:pt idx="0">
                  <c:v>2022</c:v>
                </c:pt>
                <c:pt idx="1">
                  <c:v>2023</c:v>
                </c:pt>
                <c:pt idx="2">
                  <c:v>2024</c:v>
                </c:pt>
              </c:numCache>
            </c:numRef>
          </c:cat>
          <c:val>
            <c:numRef>
              <c:f>'Comparison Charts and Graphs'!$C$300:$E$300</c:f>
              <c:numCache>
                <c:formatCode>0.00%</c:formatCode>
                <c:ptCount val="3"/>
                <c:pt idx="0">
                  <c:v>3.240351600771977E-2</c:v>
                </c:pt>
                <c:pt idx="1">
                  <c:v>3.7718925593380519E-2</c:v>
                </c:pt>
                <c:pt idx="2">
                  <c:v>4.828498727735369E-2</c:v>
                </c:pt>
              </c:numCache>
            </c:numRef>
          </c:val>
          <c:extLst>
            <c:ext xmlns:c16="http://schemas.microsoft.com/office/drawing/2014/chart" uri="{C3380CC4-5D6E-409C-BE32-E72D297353CC}">
              <c16:uniqueId val="{00000007-ABBA-4043-A539-50B0348CFF58}"/>
            </c:ext>
          </c:extLst>
        </c:ser>
        <c:ser>
          <c:idx val="1"/>
          <c:order val="1"/>
          <c:tx>
            <c:strRef>
              <c:f>'Comparison Charts and Graphs'!$B$301</c:f>
              <c:strCache>
                <c:ptCount val="1"/>
                <c:pt idx="0">
                  <c:v>Shell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'Comparison Charts and Graphs'!$C$299:$E$299</c:f>
              <c:numCache>
                <c:formatCode>General</c:formatCode>
                <c:ptCount val="3"/>
                <c:pt idx="0">
                  <c:v>2022</c:v>
                </c:pt>
                <c:pt idx="1">
                  <c:v>2023</c:v>
                </c:pt>
                <c:pt idx="2">
                  <c:v>2024</c:v>
                </c:pt>
              </c:numCache>
            </c:numRef>
          </c:cat>
          <c:val>
            <c:numRef>
              <c:f>'Comparison Charts and Graphs'!$C$301:$E$301</c:f>
              <c:numCache>
                <c:formatCode>0.00%</c:formatCode>
                <c:ptCount val="3"/>
                <c:pt idx="0">
                  <c:v>3.5175486594231219E-2</c:v>
                </c:pt>
                <c:pt idx="1">
                  <c:v>3.7877338052945596E-2</c:v>
                </c:pt>
                <c:pt idx="2">
                  <c:v>4.445880452342487E-2</c:v>
                </c:pt>
              </c:numCache>
            </c:numRef>
          </c:val>
          <c:extLst>
            <c:ext xmlns:c16="http://schemas.microsoft.com/office/drawing/2014/chart" uri="{C3380CC4-5D6E-409C-BE32-E72D297353CC}">
              <c16:uniqueId val="{00000008-ABBA-4043-A539-50B0348CFF58}"/>
            </c:ext>
          </c:extLst>
        </c:ser>
        <c:dLbls>
          <c:showLegendKey val="0"/>
          <c:showVal val="1"/>
          <c:showCatName val="0"/>
          <c:showSerName val="0"/>
          <c:showPercent val="0"/>
          <c:showBubbleSize val="0"/>
        </c:dLbls>
        <c:gapWidth val="150"/>
        <c:axId val="550579648"/>
        <c:axId val="551430928"/>
      </c:barChart>
      <c:catAx>
        <c:axId val="55057964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30928"/>
        <c:crosses val="autoZero"/>
        <c:auto val="1"/>
        <c:lblAlgn val="ctr"/>
        <c:lblOffset val="100"/>
        <c:noMultiLvlLbl val="0"/>
      </c:catAx>
      <c:valAx>
        <c:axId val="551430928"/>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57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RETURN</a:t>
            </a:r>
            <a:r>
              <a:rPr lang="en-US" baseline="0"/>
              <a:t> ON CAPITAL EMPLOYED</a:t>
            </a:r>
            <a:endParaRPr lang="en-US"/>
          </a:p>
        </c:rich>
      </c:tx>
      <c:layout>
        <c:manualLayout>
          <c:xMode val="edge"/>
          <c:yMode val="edge"/>
          <c:x val="0.22345831001678793"/>
          <c:y val="3.240740740740740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'Comparison Charts and Graphs'!$B$4</c:f>
              <c:strCache>
                <c:ptCount val="1"/>
                <c:pt idx="0">
                  <c:v>British Petroleum</c:v>
                </c:pt>
              </c:strCache>
            </c:strRef>
          </c:tx>
          <c:spPr>
            <a:ln w="31750" cap="rnd">
              <a:solidFill>
                <a:schemeClr val="accent6">
                  <a:alpha val="8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'Comparison Charts and Graphs'!$C$3:$E$3</c:f>
              <c:numCache>
                <c:formatCode>General</c:formatCode>
                <c:ptCount val="3"/>
                <c:pt idx="0">
                  <c:v>2022</c:v>
                </c:pt>
                <c:pt idx="1">
                  <c:v>2023</c:v>
                </c:pt>
                <c:pt idx="2">
                  <c:v>2024</c:v>
                </c:pt>
              </c:numCache>
            </c:numRef>
          </c:cat>
          <c:val>
            <c:numRef>
              <c:f>'Comparison Charts and Graphs'!$C$4:$E$4</c:f>
              <c:numCache>
                <c:formatCode>0%</c:formatCode>
                <c:ptCount val="3"/>
                <c:pt idx="0">
                  <c:v>0.14233524807473805</c:v>
                </c:pt>
                <c:pt idx="1">
                  <c:v>0.2038415956709376</c:v>
                </c:pt>
                <c:pt idx="2">
                  <c:v>8.4690871198206771E-2</c:v>
                </c:pt>
              </c:numCache>
            </c:numRef>
          </c:val>
          <c:smooth val="0"/>
          <c:extLst>
            <c:ext xmlns:c16="http://schemas.microsoft.com/office/drawing/2014/chart" uri="{C3380CC4-5D6E-409C-BE32-E72D297353CC}">
              <c16:uniqueId val="{00000000-F6BB-4D87-8C30-DFA9287C8AF2}"/>
            </c:ext>
          </c:extLst>
        </c:ser>
        <c:ser>
          <c:idx val="1"/>
          <c:order val="1"/>
          <c:tx>
            <c:strRef>
              <c:f>'Comparison Charts and Graphs'!$B$5</c:f>
              <c:strCache>
                <c:ptCount val="1"/>
                <c:pt idx="0">
                  <c:v>Shell</c:v>
                </c:pt>
              </c:strCache>
            </c:strRef>
          </c:tx>
          <c:spPr>
            <a:ln w="31750" cap="rnd">
              <a:solidFill>
                <a:schemeClr val="accent5">
                  <a:alpha val="8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'Comparison Charts and Graphs'!$C$3:$E$3</c:f>
              <c:numCache>
                <c:formatCode>General</c:formatCode>
                <c:ptCount val="3"/>
                <c:pt idx="0">
                  <c:v>2022</c:v>
                </c:pt>
                <c:pt idx="1">
                  <c:v>2023</c:v>
                </c:pt>
                <c:pt idx="2">
                  <c:v>2024</c:v>
                </c:pt>
              </c:numCache>
            </c:numRef>
          </c:cat>
          <c:val>
            <c:numRef>
              <c:f>'Comparison Charts and Graphs'!$C$5:$E$5</c:f>
              <c:numCache>
                <c:formatCode>0%</c:formatCode>
                <c:ptCount val="3"/>
                <c:pt idx="0">
                  <c:v>0.11414744699709414</c:v>
                </c:pt>
                <c:pt idx="1">
                  <c:v>2.2529349314541567E-2</c:v>
                </c:pt>
                <c:pt idx="2">
                  <c:v>2.8479415021822684E-2</c:v>
                </c:pt>
              </c:numCache>
            </c:numRef>
          </c:val>
          <c:smooth val="0"/>
          <c:extLst>
            <c:ext xmlns:c16="http://schemas.microsoft.com/office/drawing/2014/chart" uri="{C3380CC4-5D6E-409C-BE32-E72D297353CC}">
              <c16:uniqueId val="{00000001-F6BB-4D87-8C30-DFA9287C8AF2}"/>
            </c:ext>
          </c:extLst>
        </c:ser>
        <c:dLbls>
          <c:showLegendKey val="0"/>
          <c:showVal val="1"/>
          <c:showCatName val="0"/>
          <c:showSerName val="0"/>
          <c:showPercent val="0"/>
          <c:showBubbleSize val="0"/>
        </c:dLbls>
        <c:smooth val="0"/>
        <c:axId val="1963737311"/>
        <c:axId val="1963738271"/>
      </c:lineChart>
      <c:catAx>
        <c:axId val="196373731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LID4096"/>
          </a:p>
        </c:txPr>
        <c:crossAx val="1963738271"/>
        <c:crosses val="autoZero"/>
        <c:auto val="1"/>
        <c:lblAlgn val="ctr"/>
        <c:lblOffset val="100"/>
        <c:noMultiLvlLbl val="0"/>
      </c:catAx>
      <c:valAx>
        <c:axId val="196373827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1963737311"/>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LID4096"/>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RETURN ON EQUITY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LID4096"/>
        </a:p>
      </c:txPr>
    </c:title>
    <c:autoTitleDeleted val="0"/>
    <c:plotArea>
      <c:layout/>
      <c:lineChart>
        <c:grouping val="standard"/>
        <c:varyColors val="0"/>
        <c:ser>
          <c:idx val="0"/>
          <c:order val="0"/>
          <c:tx>
            <c:strRef>
              <c:f>'Comparison Charts and Graphs'!$C$18</c:f>
              <c:strCache>
                <c:ptCount val="1"/>
                <c:pt idx="0">
                  <c:v>Industry</c:v>
                </c:pt>
              </c:strCache>
            </c:strRef>
          </c:tx>
          <c:spPr>
            <a:ln w="31750"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'Comparison Charts and Graphs'!$B$19:$B$21</c:f>
              <c:numCache>
                <c:formatCode>General</c:formatCode>
                <c:ptCount val="3"/>
                <c:pt idx="0">
                  <c:v>2022</c:v>
                </c:pt>
                <c:pt idx="1">
                  <c:v>2023</c:v>
                </c:pt>
                <c:pt idx="2">
                  <c:v>2024</c:v>
                </c:pt>
              </c:numCache>
            </c:numRef>
          </c:cat>
          <c:val>
            <c:numRef>
              <c:f>'Comparison Charts and Graphs'!$C$19:$C$21</c:f>
              <c:numCache>
                <c:formatCode>0%</c:formatCode>
                <c:ptCount val="3"/>
                <c:pt idx="0">
                  <c:v>-1.577</c:v>
                </c:pt>
                <c:pt idx="1">
                  <c:v>-0.218</c:v>
                </c:pt>
              </c:numCache>
            </c:numRef>
          </c:val>
          <c:smooth val="0"/>
          <c:extLst>
            <c:ext xmlns:c16="http://schemas.microsoft.com/office/drawing/2014/chart" uri="{C3380CC4-5D6E-409C-BE32-E72D297353CC}">
              <c16:uniqueId val="{00000000-D009-4ED9-ABBC-F7DE7D053AAC}"/>
            </c:ext>
          </c:extLst>
        </c:ser>
        <c:ser>
          <c:idx val="1"/>
          <c:order val="1"/>
          <c:tx>
            <c:strRef>
              <c:f>'Comparison Charts and Graphs'!$D$18</c:f>
              <c:strCache>
                <c:ptCount val="1"/>
                <c:pt idx="0">
                  <c:v>BP</c:v>
                </c:pt>
              </c:strCache>
            </c:strRef>
          </c:tx>
          <c:spPr>
            <a:ln w="31750"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'Comparison Charts and Graphs'!$B$19:$B$21</c:f>
              <c:numCache>
                <c:formatCode>General</c:formatCode>
                <c:ptCount val="3"/>
                <c:pt idx="0">
                  <c:v>2022</c:v>
                </c:pt>
                <c:pt idx="1">
                  <c:v>2023</c:v>
                </c:pt>
                <c:pt idx="2">
                  <c:v>2024</c:v>
                </c:pt>
              </c:numCache>
            </c:numRef>
          </c:cat>
          <c:val>
            <c:numRef>
              <c:f>'Comparison Charts and Graphs'!$D$19:$D$21</c:f>
              <c:numCache>
                <c:formatCode>0%</c:formatCode>
                <c:ptCount val="3"/>
                <c:pt idx="0">
                  <c:v>-1.6351367634654779E-2</c:v>
                </c:pt>
                <c:pt idx="1">
                  <c:v>0.18574620144339302</c:v>
                </c:pt>
                <c:pt idx="2">
                  <c:v>1.5692433412497764E-2</c:v>
                </c:pt>
              </c:numCache>
            </c:numRef>
          </c:val>
          <c:smooth val="0"/>
          <c:extLst>
            <c:ext xmlns:c16="http://schemas.microsoft.com/office/drawing/2014/chart" uri="{C3380CC4-5D6E-409C-BE32-E72D297353CC}">
              <c16:uniqueId val="{00000001-D009-4ED9-ABBC-F7DE7D053AAC}"/>
            </c:ext>
          </c:extLst>
        </c:ser>
        <c:ser>
          <c:idx val="2"/>
          <c:order val="2"/>
          <c:tx>
            <c:strRef>
              <c:f>'Comparison Charts and Graphs'!$E$18</c:f>
              <c:strCache>
                <c:ptCount val="1"/>
                <c:pt idx="0">
                  <c:v>Shell</c:v>
                </c:pt>
              </c:strCache>
            </c:strRef>
          </c:tx>
          <c:spPr>
            <a:ln w="31750"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LID4096"/>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'Comparison Charts and Graphs'!$B$19:$B$21</c:f>
              <c:numCache>
                <c:formatCode>General</c:formatCode>
                <c:ptCount val="3"/>
                <c:pt idx="0">
                  <c:v>2022</c:v>
                </c:pt>
                <c:pt idx="1">
                  <c:v>2023</c:v>
                </c:pt>
                <c:pt idx="2">
                  <c:v>2024</c:v>
                </c:pt>
              </c:numCache>
            </c:numRef>
          </c:cat>
          <c:val>
            <c:numRef>
              <c:f>'Comparison Charts and Graphs'!$E$19:$E$21</c:f>
              <c:numCache>
                <c:formatCode>0%</c:formatCode>
                <c:ptCount val="3"/>
                <c:pt idx="0">
                  <c:v>0.22260990565792821</c:v>
                </c:pt>
                <c:pt idx="1">
                  <c:v>0.10424607935783226</c:v>
                </c:pt>
                <c:pt idx="2">
                  <c:v>9.1697748767816709E-2</c:v>
                </c:pt>
              </c:numCache>
            </c:numRef>
          </c:val>
          <c:smooth val="0"/>
          <c:extLst>
            <c:ext xmlns:c16="http://schemas.microsoft.com/office/drawing/2014/chart" uri="{C3380CC4-5D6E-409C-BE32-E72D297353CC}">
              <c16:uniqueId val="{00000002-D009-4ED9-ABBC-F7DE7D053AAC}"/>
            </c:ext>
          </c:extLst>
        </c:ser>
        <c:dLbls>
          <c:dLblPos val="t"/>
          <c:showLegendKey val="0"/>
          <c:showVal val="1"/>
          <c:showCatName val="0"/>
          <c:showSerName val="0"/>
          <c:showPercent val="0"/>
          <c:showBubbleSize val="0"/>
        </c:dLbls>
        <c:smooth val="0"/>
        <c:axId val="1963697951"/>
        <c:axId val="1963707071"/>
      </c:lineChart>
      <c:catAx>
        <c:axId val="196369795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1963707071"/>
        <c:crosses val="autoZero"/>
        <c:auto val="1"/>
        <c:lblAlgn val="ctr"/>
        <c:lblOffset val="100"/>
        <c:noMultiLvlLbl val="0"/>
      </c:catAx>
      <c:valAx>
        <c:axId val="1963707071"/>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crossAx val="1963697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LID4096"/>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Net Margin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'Comparison Charts and Graphs'!$B$71</c:f>
              <c:strCache>
                <c:ptCount val="1"/>
                <c:pt idx="0">
                  <c:v>BP</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dLbl>
              <c:idx val="0"/>
              <c:layout>
                <c:manualLayout>
                  <c:x val="-2.4635970055814693E-2"/>
                  <c:y val="-5.668000255028850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8589113930747448E-2"/>
                      <c:h val="0.10923076923076921"/>
                    </c:manualLayout>
                  </c15:layout>
                </c:ext>
                <c:ext xmlns:c16="http://schemas.microsoft.com/office/drawing/2014/chart" uri="{C3380CC4-5D6E-409C-BE32-E72D297353CC}">
                  <c16:uniqueId val="{00000004-8032-6E46-A76F-C85D931CD63C}"/>
                </c:ext>
              </c:extLst>
            </c:dLbl>
            <c:dLbl>
              <c:idx val="1"/>
              <c:layout>
                <c:manualLayout>
                  <c:x val="6.7190131468727963E-3"/>
                  <c:y val="-3.23885045745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067198067206884E-2"/>
                      <c:h val="0.10113360323886637"/>
                    </c:manualLayout>
                  </c15:layout>
                </c:ext>
                <c:ext xmlns:c16="http://schemas.microsoft.com/office/drawing/2014/chart" uri="{C3380CC4-5D6E-409C-BE32-E72D297353CC}">
                  <c16:uniqueId val="{00000003-8032-6E46-A76F-C85D931CD6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'Comparison Charts and Graphs'!$C$70:$E$70</c:f>
              <c:numCache>
                <c:formatCode>General</c:formatCode>
                <c:ptCount val="3"/>
                <c:pt idx="0">
                  <c:v>2022</c:v>
                </c:pt>
                <c:pt idx="1">
                  <c:v>2023</c:v>
                </c:pt>
                <c:pt idx="2">
                  <c:v>2024</c:v>
                </c:pt>
              </c:numCache>
            </c:numRef>
          </c:cat>
          <c:val>
            <c:numRef>
              <c:f>'Comparison Charts and Graphs'!$C$71:$E$71</c:f>
              <c:numCache>
                <c:formatCode>0%</c:formatCode>
                <c:ptCount val="3"/>
                <c:pt idx="0">
                  <c:v>-5.6215616093325382E-3</c:v>
                </c:pt>
                <c:pt idx="1">
                  <c:v>7.557226478846428E-2</c:v>
                </c:pt>
                <c:pt idx="2">
                  <c:v>6.4962867034912917E-3</c:v>
                </c:pt>
              </c:numCache>
            </c:numRef>
          </c:val>
          <c:smooth val="0"/>
          <c:extLst>
            <c:ext xmlns:c16="http://schemas.microsoft.com/office/drawing/2014/chart" uri="{C3380CC4-5D6E-409C-BE32-E72D297353CC}">
              <c16:uniqueId val="{00000001-8032-6E46-A76F-C85D931CD63C}"/>
            </c:ext>
          </c:extLst>
        </c:ser>
        <c:ser>
          <c:idx val="2"/>
          <c:order val="1"/>
          <c:tx>
            <c:strRef>
              <c:f>'Comparison Charts and Graphs'!$B$72</c:f>
              <c:strCache>
                <c:ptCount val="1"/>
                <c:pt idx="0">
                  <c:v>Shell</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0"/>
              <c:layout>
                <c:manualLayout>
                  <c:x val="-1.5677491601343786E-2"/>
                  <c:y val="8.906882591093116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9.0828755588082288E-2"/>
                      <c:h val="0.12137651821862348"/>
                    </c:manualLayout>
                  </c15:layout>
                </c:ext>
                <c:ext xmlns:c16="http://schemas.microsoft.com/office/drawing/2014/chart" uri="{C3380CC4-5D6E-409C-BE32-E72D297353CC}">
                  <c16:uniqueId val="{00000006-8032-6E46-A76F-C85D931CD63C}"/>
                </c:ext>
              </c:extLst>
            </c:dLbl>
            <c:dLbl>
              <c:idx val="1"/>
              <c:layout>
                <c:manualLayout>
                  <c:x val="-3.8073908174692049E-2"/>
                  <c:y val="6.072890433230266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650624718942607"/>
                      <c:h val="0.1294736842105263"/>
                    </c:manualLayout>
                  </c15:layout>
                </c:ext>
                <c:ext xmlns:c16="http://schemas.microsoft.com/office/drawing/2014/chart" uri="{C3380CC4-5D6E-409C-BE32-E72D297353CC}">
                  <c16:uniqueId val="{00000005-8032-6E46-A76F-C85D931CD6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'Comparison Charts and Graphs'!$C$70:$E$70</c:f>
              <c:numCache>
                <c:formatCode>General</c:formatCode>
                <c:ptCount val="3"/>
                <c:pt idx="0">
                  <c:v>2022</c:v>
                </c:pt>
                <c:pt idx="1">
                  <c:v>2023</c:v>
                </c:pt>
                <c:pt idx="2">
                  <c:v>2024</c:v>
                </c:pt>
              </c:numCache>
            </c:numRef>
          </c:cat>
          <c:val>
            <c:numRef>
              <c:f>'Comparison Charts and Graphs'!$C$72:$E$72</c:f>
              <c:numCache>
                <c:formatCode>0%</c:formatCode>
                <c:ptCount val="3"/>
                <c:pt idx="0">
                  <c:v>5.8108697487267512E-2</c:v>
                </c:pt>
                <c:pt idx="1">
                  <c:v>6.2017560482597434E-2</c:v>
                </c:pt>
                <c:pt idx="2">
                  <c:v>0.1124375186853879</c:v>
                </c:pt>
              </c:numCache>
            </c:numRef>
          </c:val>
          <c:smooth val="0"/>
          <c:extLst>
            <c:ext xmlns:c16="http://schemas.microsoft.com/office/drawing/2014/chart" uri="{C3380CC4-5D6E-409C-BE32-E72D297353CC}">
              <c16:uniqueId val="{00000002-8032-6E46-A76F-C85D931CD63C}"/>
            </c:ext>
          </c:extLst>
        </c:ser>
        <c:dLbls>
          <c:showLegendKey val="0"/>
          <c:showVal val="0"/>
          <c:showCatName val="0"/>
          <c:showSerName val="0"/>
          <c:showPercent val="0"/>
          <c:showBubbleSize val="0"/>
        </c:dLbls>
        <c:smooth val="0"/>
        <c:axId val="548559072"/>
        <c:axId val="546065568"/>
      </c:lineChart>
      <c:catAx>
        <c:axId val="5485590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065568"/>
        <c:crosses val="autoZero"/>
        <c:auto val="1"/>
        <c:lblAlgn val="ctr"/>
        <c:lblOffset val="100"/>
        <c:noMultiLvlLbl val="0"/>
      </c:catAx>
      <c:valAx>
        <c:axId val="546065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590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1"/>
          <c:order val="0"/>
          <c:tx>
            <c:strRef>
              <c:f>'Company Valuation'!$I$3:$I$3</c:f>
              <c:strCache>
                <c:ptCount val="1"/>
                <c:pt idx="0">
                  <c:v>Book Value</c:v>
                </c:pt>
              </c:strCache>
            </c:strRef>
          </c:tx>
          <c:spPr>
            <a:ln w="22225" cap="rnd">
              <a:solidFill>
                <a:schemeClr val="accent5"/>
              </a:solidFill>
            </a:ln>
            <a:effectLst>
              <a:glow rad="139700">
                <a:schemeClr val="accent5">
                  <a:satMod val="175000"/>
                  <a:alpha val="14000"/>
                </a:schemeClr>
              </a:glow>
            </a:effectLst>
          </c:spPr>
          <c:marker>
            <c:symbol val="none"/>
          </c:marker>
          <c:dLbls>
            <c:dLbl>
              <c:idx val="0"/>
              <c:layout>
                <c:manualLayout>
                  <c:x val="-1.6759778010801744E-2"/>
                  <c:y val="6.48148148148148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047-B449-9F9F-145402BC1C5D}"/>
                </c:ext>
              </c:extLst>
            </c:dLbl>
            <c:dLbl>
              <c:idx val="1"/>
              <c:layout>
                <c:manualLayout>
                  <c:x val="-1.2290361895278552E-16"/>
                  <c:y val="5.55555555555555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047-B449-9F9F-145402BC1C5D}"/>
                </c:ext>
              </c:extLst>
            </c:dLbl>
            <c:dLbl>
              <c:idx val="2"/>
              <c:layout>
                <c:manualLayout>
                  <c:x val="-1.6759778010801744E-2"/>
                  <c:y val="4.62962962962962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47-B449-9F9F-145402BC1C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numRef>
              <c:f>'Company Valuation'!$J$2:$L$2</c:f>
              <c:numCache>
                <c:formatCode>General</c:formatCode>
                <c:ptCount val="3"/>
                <c:pt idx="0">
                  <c:v>2022</c:v>
                </c:pt>
                <c:pt idx="1">
                  <c:v>2023</c:v>
                </c:pt>
                <c:pt idx="2">
                  <c:v>2024</c:v>
                </c:pt>
              </c:numCache>
            </c:numRef>
          </c:cat>
          <c:val>
            <c:numRef>
              <c:f>'Company Valuation'!$J$3:$L$3</c:f>
              <c:numCache>
                <c:formatCode>_(* #,##0_);_(* \(#,##0\);_(* "-"??_);_(@_)</c:formatCode>
                <c:ptCount val="3"/>
                <c:pt idx="0">
                  <c:v>82990</c:v>
                </c:pt>
                <c:pt idx="1">
                  <c:v>85493</c:v>
                </c:pt>
                <c:pt idx="2">
                  <c:v>78318</c:v>
                </c:pt>
              </c:numCache>
            </c:numRef>
          </c:val>
          <c:smooth val="0"/>
          <c:extLst>
            <c:ext xmlns:c16="http://schemas.microsoft.com/office/drawing/2014/chart" uri="{C3380CC4-5D6E-409C-BE32-E72D297353CC}">
              <c16:uniqueId val="{00000001-F047-B449-9F9F-145402BC1C5D}"/>
            </c:ext>
          </c:extLst>
        </c:ser>
        <c:dLbls>
          <c:showLegendKey val="0"/>
          <c:showVal val="0"/>
          <c:showCatName val="0"/>
          <c:showSerName val="0"/>
          <c:showPercent val="0"/>
          <c:showBubbleSize val="0"/>
        </c:dLbls>
        <c:smooth val="0"/>
        <c:axId val="856759984"/>
        <c:axId val="856009088"/>
      </c:lineChart>
      <c:catAx>
        <c:axId val="8567599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6009088"/>
        <c:crosses val="autoZero"/>
        <c:auto val="1"/>
        <c:lblAlgn val="ctr"/>
        <c:lblOffset val="100"/>
        <c:noMultiLvlLbl val="0"/>
      </c:catAx>
      <c:valAx>
        <c:axId val="8560090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567599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'Company Valuation'!$I$20</c:f>
              <c:strCache>
                <c:ptCount val="1"/>
                <c:pt idx="0">
                  <c:v>Market Value / per share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numRef>
              <c:f>'Company Valuation'!$J$19:$L$19</c:f>
              <c:numCache>
                <c:formatCode>General</c:formatCode>
                <c:ptCount val="3"/>
                <c:pt idx="0">
                  <c:v>2022</c:v>
                </c:pt>
                <c:pt idx="1">
                  <c:v>2023</c:v>
                </c:pt>
                <c:pt idx="2">
                  <c:v>2024</c:v>
                </c:pt>
              </c:numCache>
            </c:numRef>
          </c:cat>
          <c:val>
            <c:numRef>
              <c:f>'Company Valuation'!$J$20:$L$20</c:f>
              <c:numCache>
                <c:formatCode>_(* #,##0.00_);_(* \(#,##0.00\);_(* "-"??_);_(@_)</c:formatCode>
                <c:ptCount val="3"/>
                <c:pt idx="0">
                  <c:v>5.7462899999999992</c:v>
                </c:pt>
                <c:pt idx="1">
                  <c:v>5.9201050000000004</c:v>
                </c:pt>
                <c:pt idx="2">
                  <c:v>4.9125000000000005</c:v>
                </c:pt>
              </c:numCache>
            </c:numRef>
          </c:val>
          <c:extLst>
            <c:ext xmlns:c16="http://schemas.microsoft.com/office/drawing/2014/chart" uri="{C3380CC4-5D6E-409C-BE32-E72D297353CC}">
              <c16:uniqueId val="{00000004-2028-094D-B78B-00CC2D2DC32E}"/>
            </c:ext>
          </c:extLst>
        </c:ser>
        <c:dLbls>
          <c:showLegendKey val="0"/>
          <c:showVal val="0"/>
          <c:showCatName val="0"/>
          <c:showSerName val="0"/>
          <c:showPercent val="0"/>
          <c:showBubbleSize val="0"/>
        </c:dLbls>
        <c:gapWidth val="150"/>
        <c:overlap val="100"/>
        <c:axId val="856759984"/>
        <c:axId val="856009088"/>
      </c:barChart>
      <c:catAx>
        <c:axId val="8567599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6009088"/>
        <c:crosses val="autoZero"/>
        <c:auto val="1"/>
        <c:lblAlgn val="ctr"/>
        <c:lblOffset val="100"/>
        <c:noMultiLvlLbl val="0"/>
      </c:catAx>
      <c:valAx>
        <c:axId val="856009088"/>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6759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Cost of Sales to Sales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'Comparison Charts and Graphs'!$B$89</c:f>
              <c:strCache>
                <c:ptCount val="1"/>
                <c:pt idx="0">
                  <c:v>BP</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dLbls>
            <c:dLbl>
              <c:idx val="0"/>
              <c:layout>
                <c:manualLayout>
                  <c:x val="-3.6785444192357353E-2"/>
                  <c:y val="-6.13026819923371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85C-5443-8B77-40AEE8A77E0C}"/>
                </c:ext>
              </c:extLst>
            </c:dLbl>
            <c:dLbl>
              <c:idx val="1"/>
              <c:layout>
                <c:manualLayout>
                  <c:x val="-3.6785444192357311E-2"/>
                  <c:y val="-5.74712643678160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85C-5443-8B77-40AEE8A77E0C}"/>
                </c:ext>
              </c:extLst>
            </c:dLbl>
            <c:dLbl>
              <c:idx val="2"/>
              <c:layout>
                <c:manualLayout>
                  <c:x val="-3.6785444192357311E-2"/>
                  <c:y val="-6.13026819923371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85C-5443-8B77-40AEE8A77E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'Comparison Charts and Graphs'!$C$88:$E$88</c:f>
              <c:numCache>
                <c:formatCode>General</c:formatCode>
                <c:ptCount val="3"/>
                <c:pt idx="0">
                  <c:v>2022</c:v>
                </c:pt>
                <c:pt idx="1">
                  <c:v>2023</c:v>
                </c:pt>
                <c:pt idx="2">
                  <c:v>2024</c:v>
                </c:pt>
              </c:numCache>
            </c:numRef>
          </c:cat>
          <c:val>
            <c:numRef>
              <c:f>'Comparison Charts and Graphs'!$C$89:$E$89</c:f>
              <c:numCache>
                <c:formatCode>0%</c:formatCode>
                <c:ptCount val="3"/>
                <c:pt idx="0">
                  <c:v>0.77175714191025391</c:v>
                </c:pt>
                <c:pt idx="1">
                  <c:v>0.77122733545900157</c:v>
                </c:pt>
                <c:pt idx="2">
                  <c:v>0.8453101461532363</c:v>
                </c:pt>
              </c:numCache>
            </c:numRef>
          </c:val>
          <c:smooth val="0"/>
          <c:extLst>
            <c:ext xmlns:c16="http://schemas.microsoft.com/office/drawing/2014/chart" uri="{C3380CC4-5D6E-409C-BE32-E72D297353CC}">
              <c16:uniqueId val="{00000001-E85C-5443-8B77-40AEE8A77E0C}"/>
            </c:ext>
          </c:extLst>
        </c:ser>
        <c:ser>
          <c:idx val="2"/>
          <c:order val="1"/>
          <c:tx>
            <c:strRef>
              <c:f>'Comparison Charts and Graphs'!$B$90</c:f>
              <c:strCache>
                <c:ptCount val="1"/>
                <c:pt idx="0">
                  <c:v>Shell</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0"/>
              <c:layout>
                <c:manualLayout>
                  <c:x val="-6.0513990835891256E-2"/>
                  <c:y val="-7.6628201647207891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layout>
                    <c:manualLayout>
                      <c:w val="9.6169580497353066E-2"/>
                      <c:h val="9.1877394636015311E-2"/>
                    </c:manualLayout>
                  </c15:layout>
                </c:ext>
                <c:ext xmlns:c16="http://schemas.microsoft.com/office/drawing/2014/chart" uri="{C3380CC4-5D6E-409C-BE32-E72D297353CC}">
                  <c16:uniqueId val="{00000003-E85C-5443-8B77-40AEE8A77E0C}"/>
                </c:ext>
              </c:extLst>
            </c:dLbl>
            <c:dLbl>
              <c:idx val="1"/>
              <c:layout>
                <c:manualLayout>
                  <c:x val="-3.904533119800703E-2"/>
                  <c:y val="-6.13026819923371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85C-5443-8B77-40AEE8A77E0C}"/>
                </c:ext>
              </c:extLst>
            </c:dLbl>
            <c:dLbl>
              <c:idx val="2"/>
              <c:layout>
                <c:manualLayout>
                  <c:x val="-3.6785444192357311E-2"/>
                  <c:y val="-6.89655172413793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85C-5443-8B77-40AEE8A77E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'Comparison Charts and Graphs'!$C$88:$E$88</c:f>
              <c:numCache>
                <c:formatCode>General</c:formatCode>
                <c:ptCount val="3"/>
                <c:pt idx="0">
                  <c:v>2022</c:v>
                </c:pt>
                <c:pt idx="1">
                  <c:v>2023</c:v>
                </c:pt>
                <c:pt idx="2">
                  <c:v>2024</c:v>
                </c:pt>
              </c:numCache>
            </c:numRef>
          </c:cat>
          <c:val>
            <c:numRef>
              <c:f>'Comparison Charts and Graphs'!$C$90:$E$90</c:f>
              <c:numCache>
                <c:formatCode>0%</c:formatCode>
                <c:ptCount val="3"/>
                <c:pt idx="0">
                  <c:v>0.78308428224507887</c:v>
                </c:pt>
                <c:pt idx="1">
                  <c:v>0.80003158360179394</c:v>
                </c:pt>
                <c:pt idx="2">
                  <c:v>0.79612890064436248</c:v>
                </c:pt>
              </c:numCache>
            </c:numRef>
          </c:val>
          <c:smooth val="0"/>
          <c:extLst>
            <c:ext xmlns:c16="http://schemas.microsoft.com/office/drawing/2014/chart" uri="{C3380CC4-5D6E-409C-BE32-E72D297353CC}">
              <c16:uniqueId val="{00000002-E85C-5443-8B77-40AEE8A77E0C}"/>
            </c:ext>
          </c:extLst>
        </c:ser>
        <c:dLbls>
          <c:dLblPos val="ctr"/>
          <c:showLegendKey val="0"/>
          <c:showVal val="1"/>
          <c:showCatName val="0"/>
          <c:showSerName val="0"/>
          <c:showPercent val="0"/>
          <c:showBubbleSize val="0"/>
        </c:dLbls>
        <c:smooth val="0"/>
        <c:axId val="539735648"/>
        <c:axId val="823225024"/>
      </c:lineChart>
      <c:catAx>
        <c:axId val="5397356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225024"/>
        <c:crosses val="autoZero"/>
        <c:auto val="1"/>
        <c:lblAlgn val="ctr"/>
        <c:lblOffset val="100"/>
        <c:noMultiLvlLbl val="0"/>
      </c:catAx>
      <c:valAx>
        <c:axId val="8232250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73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Inventory Days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'Comparison Charts and Graphs'!$C$106</c:f>
              <c:strCache>
                <c:ptCount val="1"/>
                <c:pt idx="0">
                  <c:v>Industry</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'Comparison Charts and Graphs'!$B$107:$B$109</c:f>
              <c:numCache>
                <c:formatCode>General</c:formatCode>
                <c:ptCount val="3"/>
                <c:pt idx="0">
                  <c:v>2022</c:v>
                </c:pt>
                <c:pt idx="1">
                  <c:v>2023</c:v>
                </c:pt>
                <c:pt idx="2">
                  <c:v>2024</c:v>
                </c:pt>
              </c:numCache>
            </c:numRef>
          </c:cat>
          <c:val>
            <c:numRef>
              <c:f>'Comparison Charts and Graphs'!$C$107:$C$109</c:f>
              <c:numCache>
                <c:formatCode>_(* #,##0_);_(* \(#,##0\);_(* "-"??_);_(@_)</c:formatCode>
                <c:ptCount val="3"/>
                <c:pt idx="0">
                  <c:v>47</c:v>
                </c:pt>
                <c:pt idx="1">
                  <c:v>105</c:v>
                </c:pt>
              </c:numCache>
            </c:numRef>
          </c:val>
          <c:extLst>
            <c:ext xmlns:c16="http://schemas.microsoft.com/office/drawing/2014/chart" uri="{C3380CC4-5D6E-409C-BE32-E72D297353CC}">
              <c16:uniqueId val="{00000000-7AE2-F649-B4C3-36111818F2EE}"/>
            </c:ext>
          </c:extLst>
        </c:ser>
        <c:ser>
          <c:idx val="1"/>
          <c:order val="1"/>
          <c:tx>
            <c:strRef>
              <c:f>'Comparison Charts and Graphs'!$D$106</c:f>
              <c:strCache>
                <c:ptCount val="1"/>
                <c:pt idx="0">
                  <c:v>BP</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'Comparison Charts and Graphs'!$B$107:$B$109</c:f>
              <c:numCache>
                <c:formatCode>General</c:formatCode>
                <c:ptCount val="3"/>
                <c:pt idx="0">
                  <c:v>2022</c:v>
                </c:pt>
                <c:pt idx="1">
                  <c:v>2023</c:v>
                </c:pt>
                <c:pt idx="2">
                  <c:v>2024</c:v>
                </c:pt>
              </c:numCache>
            </c:numRef>
          </c:cat>
          <c:val>
            <c:numRef>
              <c:f>'Comparison Charts and Graphs'!$D$107:$D$109</c:f>
              <c:numCache>
                <c:formatCode>_(* #,##0_);_(* \(#,##0\);_(* "-"??_);_(@_)</c:formatCode>
                <c:ptCount val="3"/>
                <c:pt idx="0">
                  <c:v>55.017633228840126</c:v>
                </c:pt>
                <c:pt idx="1">
                  <c:v>51.394778412667073</c:v>
                </c:pt>
                <c:pt idx="2">
                  <c:v>53.02451225612807</c:v>
                </c:pt>
              </c:numCache>
            </c:numRef>
          </c:val>
          <c:extLst>
            <c:ext xmlns:c16="http://schemas.microsoft.com/office/drawing/2014/chart" uri="{C3380CC4-5D6E-409C-BE32-E72D297353CC}">
              <c16:uniqueId val="{00000001-7AE2-F649-B4C3-36111818F2EE}"/>
            </c:ext>
          </c:extLst>
        </c:ser>
        <c:ser>
          <c:idx val="2"/>
          <c:order val="2"/>
          <c:tx>
            <c:strRef>
              <c:f>'Comparison Charts and Graphs'!$E$106</c:f>
              <c:strCache>
                <c:ptCount val="1"/>
                <c:pt idx="0">
                  <c:v>Shell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'Comparison Charts and Graphs'!$B$107:$B$109</c:f>
              <c:numCache>
                <c:formatCode>General</c:formatCode>
                <c:ptCount val="3"/>
                <c:pt idx="0">
                  <c:v>2022</c:v>
                </c:pt>
                <c:pt idx="1">
                  <c:v>2023</c:v>
                </c:pt>
                <c:pt idx="2">
                  <c:v>2024</c:v>
                </c:pt>
              </c:numCache>
            </c:numRef>
          </c:cat>
          <c:val>
            <c:numRef>
              <c:f>'Comparison Charts and Graphs'!$E$107:$E$109</c:f>
              <c:numCache>
                <c:formatCode>_(* #,##0_);_(* \(#,##0\);_(* "-"??_);_(@_)</c:formatCode>
                <c:ptCount val="3"/>
                <c:pt idx="0">
                  <c:v>38.986172182946468</c:v>
                </c:pt>
                <c:pt idx="1">
                  <c:v>37.491946499490737</c:v>
                </c:pt>
                <c:pt idx="2">
                  <c:v>37.775691520616391</c:v>
                </c:pt>
              </c:numCache>
            </c:numRef>
          </c:val>
          <c:extLst>
            <c:ext xmlns:c16="http://schemas.microsoft.com/office/drawing/2014/chart" uri="{C3380CC4-5D6E-409C-BE32-E72D297353CC}">
              <c16:uniqueId val="{00000002-7AE2-F649-B4C3-36111818F2EE}"/>
            </c:ext>
          </c:extLst>
        </c:ser>
        <c:dLbls>
          <c:dLblPos val="inEnd"/>
          <c:showLegendKey val="0"/>
          <c:showVal val="1"/>
          <c:showCatName val="0"/>
          <c:showSerName val="0"/>
          <c:showPercent val="0"/>
          <c:showBubbleSize val="0"/>
        </c:dLbls>
        <c:gapWidth val="65"/>
        <c:axId val="564126496"/>
        <c:axId val="544431616"/>
      </c:barChart>
      <c:catAx>
        <c:axId val="564126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4431616"/>
        <c:crosses val="autoZero"/>
        <c:auto val="1"/>
        <c:lblAlgn val="ctr"/>
        <c:lblOffset val="100"/>
        <c:noMultiLvlLbl val="0"/>
      </c:catAx>
      <c:valAx>
        <c:axId val="5444316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56412649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Trade Receivable Days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'Comparison Charts and Graphs'!$C$124</c:f>
              <c:strCache>
                <c:ptCount val="1"/>
                <c:pt idx="0">
                  <c:v>Industry</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'Comparison Charts and Graphs'!$B$125:$B$127</c:f>
              <c:numCache>
                <c:formatCode>General</c:formatCode>
                <c:ptCount val="3"/>
                <c:pt idx="0">
                  <c:v>2022</c:v>
                </c:pt>
                <c:pt idx="1">
                  <c:v>2023</c:v>
                </c:pt>
                <c:pt idx="2">
                  <c:v>2024</c:v>
                </c:pt>
              </c:numCache>
            </c:numRef>
          </c:cat>
          <c:val>
            <c:numRef>
              <c:f>'Comparison Charts and Graphs'!$C$125:$C$127</c:f>
              <c:numCache>
                <c:formatCode>_(* #,##0_);_(* \(#,##0\);_(* "-"??_);_(@_)</c:formatCode>
                <c:ptCount val="3"/>
                <c:pt idx="0">
                  <c:v>54</c:v>
                </c:pt>
                <c:pt idx="1">
                  <c:v>57</c:v>
                </c:pt>
              </c:numCache>
            </c:numRef>
          </c:val>
          <c:extLst>
            <c:ext xmlns:c16="http://schemas.microsoft.com/office/drawing/2014/chart" uri="{C3380CC4-5D6E-409C-BE32-E72D297353CC}">
              <c16:uniqueId val="{00000000-3EEE-0842-A85A-F22A7D04DBDE}"/>
            </c:ext>
          </c:extLst>
        </c:ser>
        <c:ser>
          <c:idx val="1"/>
          <c:order val="1"/>
          <c:tx>
            <c:strRef>
              <c:f>'Comparison Charts and Graphs'!$D$124</c:f>
              <c:strCache>
                <c:ptCount val="1"/>
                <c:pt idx="0">
                  <c:v>BP</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'Comparison Charts and Graphs'!$B$125:$B$127</c:f>
              <c:numCache>
                <c:formatCode>General</c:formatCode>
                <c:ptCount val="3"/>
                <c:pt idx="0">
                  <c:v>2022</c:v>
                </c:pt>
                <c:pt idx="1">
                  <c:v>2023</c:v>
                </c:pt>
                <c:pt idx="2">
                  <c:v>2024</c:v>
                </c:pt>
              </c:numCache>
            </c:numRef>
          </c:cat>
          <c:val>
            <c:numRef>
              <c:f>'Comparison Charts and Graphs'!$D$125:$D$127</c:f>
              <c:numCache>
                <c:formatCode>_(* #,##0_);_(* \(#,##0\);_(* "-"??_);_(@_)</c:formatCode>
                <c:ptCount val="3"/>
                <c:pt idx="0">
                  <c:v>53.076448266719687</c:v>
                </c:pt>
                <c:pt idx="1">
                  <c:v>57.130585827820873</c:v>
                </c:pt>
                <c:pt idx="2">
                  <c:v>55.8386235695219</c:v>
                </c:pt>
              </c:numCache>
            </c:numRef>
          </c:val>
          <c:extLst>
            <c:ext xmlns:c16="http://schemas.microsoft.com/office/drawing/2014/chart" uri="{C3380CC4-5D6E-409C-BE32-E72D297353CC}">
              <c16:uniqueId val="{00000001-3EEE-0842-A85A-F22A7D04DBDE}"/>
            </c:ext>
          </c:extLst>
        </c:ser>
        <c:ser>
          <c:idx val="2"/>
          <c:order val="2"/>
          <c:tx>
            <c:strRef>
              <c:f>'Comparison Charts and Graphs'!$E$124</c:f>
              <c:strCache>
                <c:ptCount val="1"/>
                <c:pt idx="0">
                  <c:v>Shell</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LID4096"/>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'Comparison Charts and Graphs'!$B$125:$B$127</c:f>
              <c:numCache>
                <c:formatCode>General</c:formatCode>
                <c:ptCount val="3"/>
                <c:pt idx="0">
                  <c:v>2022</c:v>
                </c:pt>
                <c:pt idx="1">
                  <c:v>2023</c:v>
                </c:pt>
                <c:pt idx="2">
                  <c:v>2024</c:v>
                </c:pt>
              </c:numCache>
            </c:numRef>
          </c:cat>
          <c:val>
            <c:numRef>
              <c:f>'Comparison Charts and Graphs'!$E$125:$E$127</c:f>
              <c:numCache>
                <c:formatCode>_(* #,##0_);_(* \(#,##0\);_(* "-"??_);_(@_)</c:formatCode>
                <c:ptCount val="3"/>
                <c:pt idx="0">
                  <c:v>70.288397488683856</c:v>
                </c:pt>
                <c:pt idx="1">
                  <c:v>68.67353610005685</c:v>
                </c:pt>
                <c:pt idx="2">
                  <c:v>66.601022820000551</c:v>
                </c:pt>
              </c:numCache>
            </c:numRef>
          </c:val>
          <c:extLst>
            <c:ext xmlns:c16="http://schemas.microsoft.com/office/drawing/2014/chart" uri="{C3380CC4-5D6E-409C-BE32-E72D297353CC}">
              <c16:uniqueId val="{00000002-3EEE-0842-A85A-F22A7D04DBDE}"/>
            </c:ext>
          </c:extLst>
        </c:ser>
        <c:dLbls>
          <c:dLblPos val="inEnd"/>
          <c:showLegendKey val="0"/>
          <c:showVal val="1"/>
          <c:showCatName val="0"/>
          <c:showSerName val="0"/>
          <c:showPercent val="0"/>
          <c:showBubbleSize val="0"/>
        </c:dLbls>
        <c:gapWidth val="65"/>
        <c:axId val="564126496"/>
        <c:axId val="544431616"/>
      </c:barChart>
      <c:catAx>
        <c:axId val="5641264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4431616"/>
        <c:crosses val="autoZero"/>
        <c:auto val="1"/>
        <c:lblAlgn val="ctr"/>
        <c:lblOffset val="100"/>
        <c:noMultiLvlLbl val="0"/>
      </c:catAx>
      <c:valAx>
        <c:axId val="5444316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564126496"/>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Trade Payable Days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'Comparison Charts and Graphs'!$B$140</c:f>
              <c:strCache>
                <c:ptCount val="1"/>
                <c:pt idx="0">
                  <c:v>BP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'Comparison Charts and Graphs'!$C$139:$E$139</c:f>
              <c:numCache>
                <c:formatCode>General</c:formatCode>
                <c:ptCount val="3"/>
                <c:pt idx="0">
                  <c:v>2022</c:v>
                </c:pt>
                <c:pt idx="1">
                  <c:v>2023</c:v>
                </c:pt>
                <c:pt idx="2">
                  <c:v>2024</c:v>
                </c:pt>
              </c:numCache>
            </c:numRef>
          </c:cat>
          <c:val>
            <c:numRef>
              <c:f>'Comparison Charts and Graphs'!$C$140:$E$140</c:f>
              <c:numCache>
                <c:formatCode>_(* #,##0_);_(* \(#,##0\);_(* "-"??_);_(@_)</c:formatCode>
                <c:ptCount val="3"/>
                <c:pt idx="0">
                  <c:v>125.36050156739812</c:v>
                </c:pt>
                <c:pt idx="1">
                  <c:v>137.73818632835159</c:v>
                </c:pt>
                <c:pt idx="2">
                  <c:v>133.31675212606305</c:v>
                </c:pt>
              </c:numCache>
            </c:numRef>
          </c:val>
          <c:extLst>
            <c:ext xmlns:c16="http://schemas.microsoft.com/office/drawing/2014/chart" uri="{C3380CC4-5D6E-409C-BE32-E72D297353CC}">
              <c16:uniqueId val="{00000007-9120-DC46-9838-9FA662134CEE}"/>
            </c:ext>
          </c:extLst>
        </c:ser>
        <c:ser>
          <c:idx val="2"/>
          <c:order val="1"/>
          <c:tx>
            <c:strRef>
              <c:f>'Comparison Charts and Graphs'!$B$141</c:f>
              <c:strCache>
                <c:ptCount val="1"/>
                <c:pt idx="0">
                  <c:v>Shell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'Comparison Charts and Graphs'!$C$139:$E$139</c:f>
              <c:numCache>
                <c:formatCode>General</c:formatCode>
                <c:ptCount val="3"/>
                <c:pt idx="0">
                  <c:v>2022</c:v>
                </c:pt>
                <c:pt idx="1">
                  <c:v>2023</c:v>
                </c:pt>
                <c:pt idx="2">
                  <c:v>2024</c:v>
                </c:pt>
              </c:numCache>
            </c:numRef>
          </c:cat>
          <c:val>
            <c:numRef>
              <c:f>'Comparison Charts and Graphs'!$C$141:$E$141</c:f>
              <c:numCache>
                <c:formatCode>_(* #,##0_);_(* \(#,##0\);_(* "-"??_);_(@_)</c:formatCode>
                <c:ptCount val="3"/>
                <c:pt idx="0">
                  <c:v>103.17604672430627</c:v>
                </c:pt>
                <c:pt idx="1">
                  <c:v>102.79701230922284</c:v>
                </c:pt>
                <c:pt idx="2">
                  <c:v>101.19853918774551</c:v>
                </c:pt>
              </c:numCache>
            </c:numRef>
          </c:val>
          <c:extLst>
            <c:ext xmlns:c16="http://schemas.microsoft.com/office/drawing/2014/chart" uri="{C3380CC4-5D6E-409C-BE32-E72D297353CC}">
              <c16:uniqueId val="{00000008-9120-DC46-9838-9FA662134CEE}"/>
            </c:ext>
          </c:extLst>
        </c:ser>
        <c:dLbls>
          <c:dLblPos val="outEnd"/>
          <c:showLegendKey val="0"/>
          <c:showVal val="1"/>
          <c:showCatName val="0"/>
          <c:showSerName val="0"/>
          <c:showPercent val="0"/>
          <c:showBubbleSize val="0"/>
        </c:dLbls>
        <c:gapWidth val="100"/>
        <c:overlap val="-24"/>
        <c:axId val="550579648"/>
        <c:axId val="551430928"/>
      </c:barChart>
      <c:catAx>
        <c:axId val="5505796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30928"/>
        <c:crosses val="autoZero"/>
        <c:auto val="1"/>
        <c:lblAlgn val="ctr"/>
        <c:lblOffset val="100"/>
        <c:noMultiLvlLbl val="0"/>
      </c:catAx>
      <c:valAx>
        <c:axId val="55143092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57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Asset Turnover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2"/>
          <c:order val="0"/>
          <c:tx>
            <c:strRef>
              <c:f>'Comparison Charts and Graphs'!$B$155</c:f>
              <c:strCache>
                <c:ptCount val="1"/>
                <c:pt idx="0">
                  <c:v>BP</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dLbl>
              <c:idx val="0"/>
              <c:layout>
                <c:manualLayout>
                  <c:x val="-3.1353138207390004E-2"/>
                  <c:y val="7.751937984496123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530-7749-B5B5-514A73087933}"/>
                </c:ext>
              </c:extLst>
            </c:dLbl>
            <c:dLbl>
              <c:idx val="1"/>
              <c:layout>
                <c:manualLayout>
                  <c:x val="-3.1353138207390004E-2"/>
                  <c:y val="5.81395348837209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530-7749-B5B5-514A73087933}"/>
                </c:ext>
              </c:extLst>
            </c:dLbl>
            <c:dLbl>
              <c:idx val="2"/>
              <c:layout>
                <c:manualLayout>
                  <c:x val="-4.0261824176209597E-2"/>
                  <c:y val="8.13953488372093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530-7749-B5B5-514A730879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'Comparison Charts and Graphs'!$C$154:$E$154</c:f>
              <c:numCache>
                <c:formatCode>General</c:formatCode>
                <c:ptCount val="3"/>
                <c:pt idx="0">
                  <c:v>2022</c:v>
                </c:pt>
                <c:pt idx="1">
                  <c:v>2023</c:v>
                </c:pt>
                <c:pt idx="2">
                  <c:v>2024</c:v>
                </c:pt>
              </c:numCache>
            </c:numRef>
          </c:cat>
          <c:val>
            <c:numRef>
              <c:f>'Comparison Charts and Graphs'!$C$155:$E$155</c:f>
              <c:numCache>
                <c:formatCode>_(* #,##0.00_);_(* \(#,##0.00\);_(* "-"??_);_(@_)</c:formatCode>
                <c:ptCount val="3"/>
                <c:pt idx="0">
                  <c:v>0.83781757600999585</c:v>
                </c:pt>
                <c:pt idx="1">
                  <c:v>0.74967712473331571</c:v>
                </c:pt>
                <c:pt idx="2">
                  <c:v>0.67032682795470333</c:v>
                </c:pt>
              </c:numCache>
            </c:numRef>
          </c:val>
          <c:smooth val="0"/>
          <c:extLst>
            <c:ext xmlns:c16="http://schemas.microsoft.com/office/drawing/2014/chart" uri="{C3380CC4-5D6E-409C-BE32-E72D297353CC}">
              <c16:uniqueId val="{00000007-F530-7749-B5B5-514A73087933}"/>
            </c:ext>
          </c:extLst>
        </c:ser>
        <c:ser>
          <c:idx val="0"/>
          <c:order val="1"/>
          <c:tx>
            <c:strRef>
              <c:f>'Comparison Charts and Graphs'!$B$156</c:f>
              <c:strCache>
                <c:ptCount val="1"/>
                <c:pt idx="0">
                  <c:v>Shell</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dLbls>
            <c:dLbl>
              <c:idx val="0"/>
              <c:layout>
                <c:manualLayout>
                  <c:x val="-3.6431089209617171E-2"/>
                  <c:y val="-5.81395348837209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530-7749-B5B5-514A73087933}"/>
                </c:ext>
              </c:extLst>
            </c:dLbl>
            <c:dLbl>
              <c:idx val="1"/>
              <c:layout>
                <c:manualLayout>
                  <c:x val="-2.9125966715185102E-2"/>
                  <c:y val="-7.36434108527132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530-7749-B5B5-514A73087933}"/>
                </c:ext>
              </c:extLst>
            </c:dLbl>
            <c:dLbl>
              <c:idx val="2"/>
              <c:layout>
                <c:manualLayout>
                  <c:x val="-3.1353138207390004E-2"/>
                  <c:y val="-9.68992248062015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530-7749-B5B5-514A730879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'Comparison Charts and Graphs'!$C$154:$E$154</c:f>
              <c:numCache>
                <c:formatCode>General</c:formatCode>
                <c:ptCount val="3"/>
                <c:pt idx="0">
                  <c:v>2022</c:v>
                </c:pt>
                <c:pt idx="1">
                  <c:v>2023</c:v>
                </c:pt>
                <c:pt idx="2">
                  <c:v>2024</c:v>
                </c:pt>
              </c:numCache>
            </c:numRef>
          </c:cat>
          <c:val>
            <c:numRef>
              <c:f>'Comparison Charts and Graphs'!$C$156:$E$156</c:f>
              <c:numCache>
                <c:formatCode>_(* #,##0.00_);_(* \(#,##0.00\);_(* "-"??_);_(@_)</c:formatCode>
                <c:ptCount val="3"/>
                <c:pt idx="0">
                  <c:v>0.8607073205966268</c:v>
                </c:pt>
                <c:pt idx="1">
                  <c:v>0.77933394048293003</c:v>
                </c:pt>
                <c:pt idx="2">
                  <c:v>0.73350206006568475</c:v>
                </c:pt>
              </c:numCache>
            </c:numRef>
          </c:val>
          <c:smooth val="0"/>
          <c:extLst>
            <c:ext xmlns:c16="http://schemas.microsoft.com/office/drawing/2014/chart" uri="{C3380CC4-5D6E-409C-BE32-E72D297353CC}">
              <c16:uniqueId val="{00000008-F530-7749-B5B5-514A73087933}"/>
            </c:ext>
          </c:extLst>
        </c:ser>
        <c:dLbls>
          <c:dLblPos val="ctr"/>
          <c:showLegendKey val="0"/>
          <c:showVal val="1"/>
          <c:showCatName val="0"/>
          <c:showSerName val="0"/>
          <c:showPercent val="0"/>
          <c:showBubbleSize val="0"/>
        </c:dLbls>
        <c:smooth val="0"/>
        <c:axId val="550579648"/>
        <c:axId val="551430928"/>
      </c:lineChart>
      <c:catAx>
        <c:axId val="55057964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430928"/>
        <c:crosses val="autoZero"/>
        <c:auto val="1"/>
        <c:lblAlgn val="ctr"/>
        <c:lblOffset val="100"/>
        <c:noMultiLvlLbl val="0"/>
      </c:catAx>
      <c:valAx>
        <c:axId val="551430928"/>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057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'Comparison Charts and Graphs'!$C$169</c:f>
              <c:strCache>
                <c:ptCount val="1"/>
                <c:pt idx="0">
                  <c:v>Industry</c:v>
                </c:pt>
              </c:strCache>
            </c:strRef>
          </c:tx>
          <c:spPr>
            <a:solidFill>
              <a:schemeClr val="accent6"/>
            </a:solidFill>
            <a:ln>
              <a:noFill/>
            </a:ln>
            <a:effectLst/>
          </c:spPr>
          <c:invertIfNegative val="0"/>
          <c:cat>
            <c:numRef>
              <c:f>'Comparison Charts and Graphs'!$B$170:$B$172</c:f>
              <c:numCache>
                <c:formatCode>General</c:formatCode>
                <c:ptCount val="3"/>
                <c:pt idx="0">
                  <c:v>2022</c:v>
                </c:pt>
                <c:pt idx="1">
                  <c:v>2023</c:v>
                </c:pt>
                <c:pt idx="2">
                  <c:v>2024</c:v>
                </c:pt>
              </c:numCache>
            </c:numRef>
          </c:cat>
          <c:val>
            <c:numRef>
              <c:f>'Comparison Charts and Graphs'!$C$170:$C$172</c:f>
              <c:numCache>
                <c:formatCode>_(* #,##0.00_);_(* \(#,##0.00\);_(* "-"??_);_(@_)</c:formatCode>
                <c:ptCount val="3"/>
                <c:pt idx="0">
                  <c:v>3.54</c:v>
                </c:pt>
                <c:pt idx="1">
                  <c:v>3.33</c:v>
                </c:pt>
              </c:numCache>
            </c:numRef>
          </c:val>
          <c:extLst>
            <c:ext xmlns:c16="http://schemas.microsoft.com/office/drawing/2014/chart" uri="{C3380CC4-5D6E-409C-BE32-E72D297353CC}">
              <c16:uniqueId val="{00000000-44D5-894C-BD74-A5309C3BB78F}"/>
            </c:ext>
          </c:extLst>
        </c:ser>
        <c:ser>
          <c:idx val="1"/>
          <c:order val="1"/>
          <c:tx>
            <c:strRef>
              <c:f>'Comparison Charts and Graphs'!$D$169</c:f>
              <c:strCache>
                <c:ptCount val="1"/>
                <c:pt idx="0">
                  <c:v>BP</c:v>
                </c:pt>
              </c:strCache>
            </c:strRef>
          </c:tx>
          <c:spPr>
            <a:solidFill>
              <a:schemeClr val="accent5"/>
            </a:solidFill>
            <a:ln>
              <a:noFill/>
            </a:ln>
            <a:effectLst/>
          </c:spPr>
          <c:invertIfNegative val="0"/>
          <c:cat>
            <c:numRef>
              <c:f>'Comparison Charts and Graphs'!$B$170:$B$172</c:f>
              <c:numCache>
                <c:formatCode>General</c:formatCode>
                <c:ptCount val="3"/>
                <c:pt idx="0">
                  <c:v>2022</c:v>
                </c:pt>
                <c:pt idx="1">
                  <c:v>2023</c:v>
                </c:pt>
                <c:pt idx="2">
                  <c:v>2024</c:v>
                </c:pt>
              </c:numCache>
            </c:numRef>
          </c:cat>
          <c:val>
            <c:numRef>
              <c:f>'Comparison Charts and Graphs'!$D$170:$D$172</c:f>
              <c:numCache>
                <c:formatCode>_(* #,##0.00_);_(* \(#,##0.00\);_(* "-"??_);_(@_)</c:formatCode>
                <c:ptCount val="3"/>
                <c:pt idx="0">
                  <c:v>1.087559837605284</c:v>
                </c:pt>
                <c:pt idx="1">
                  <c:v>1.2099026464369524</c:v>
                </c:pt>
                <c:pt idx="2">
                  <c:v>1.2503982198660035</c:v>
                </c:pt>
              </c:numCache>
            </c:numRef>
          </c:val>
          <c:extLst>
            <c:ext xmlns:c16="http://schemas.microsoft.com/office/drawing/2014/chart" uri="{C3380CC4-5D6E-409C-BE32-E72D297353CC}">
              <c16:uniqueId val="{00000001-44D5-894C-BD74-A5309C3BB78F}"/>
            </c:ext>
          </c:extLst>
        </c:ser>
        <c:ser>
          <c:idx val="2"/>
          <c:order val="2"/>
          <c:tx>
            <c:strRef>
              <c:f>'Comparison Charts and Graphs'!$E$169</c:f>
              <c:strCache>
                <c:ptCount val="1"/>
                <c:pt idx="0">
                  <c:v>Shell</c:v>
                </c:pt>
              </c:strCache>
            </c:strRef>
          </c:tx>
          <c:spPr>
            <a:solidFill>
              <a:schemeClr val="accent4"/>
            </a:solidFill>
            <a:ln>
              <a:noFill/>
            </a:ln>
            <a:effectLst/>
          </c:spPr>
          <c:invertIfNegative val="0"/>
          <c:cat>
            <c:numRef>
              <c:f>'Comparison Charts and Graphs'!$B$170:$B$172</c:f>
              <c:numCache>
                <c:formatCode>General</c:formatCode>
                <c:ptCount val="3"/>
                <c:pt idx="0">
                  <c:v>2022</c:v>
                </c:pt>
                <c:pt idx="1">
                  <c:v>2023</c:v>
                </c:pt>
                <c:pt idx="2">
                  <c:v>2024</c:v>
                </c:pt>
              </c:numCache>
            </c:numRef>
          </c:cat>
          <c:val>
            <c:numRef>
              <c:f>'Comparison Charts and Graphs'!$E$170:$E$172</c:f>
              <c:numCache>
                <c:formatCode>_(* #,##0.00_);_(* \(#,##0.00\);_(* "-"??_);_(@_)</c:formatCode>
                <c:ptCount val="3"/>
                <c:pt idx="0">
                  <c:v>1.367872657879335</c:v>
                </c:pt>
                <c:pt idx="1">
                  <c:v>1.4048309887186148</c:v>
                </c:pt>
                <c:pt idx="2">
                  <c:v>1.3461077088200013</c:v>
                </c:pt>
              </c:numCache>
            </c:numRef>
          </c:val>
          <c:extLst>
            <c:ext xmlns:c16="http://schemas.microsoft.com/office/drawing/2014/chart" uri="{C3380CC4-5D6E-409C-BE32-E72D297353CC}">
              <c16:uniqueId val="{00000002-44D5-894C-BD74-A5309C3BB78F}"/>
            </c:ext>
          </c:extLst>
        </c:ser>
        <c:dLbls>
          <c:showLegendKey val="0"/>
          <c:showVal val="0"/>
          <c:showCatName val="0"/>
          <c:showSerName val="0"/>
          <c:showPercent val="0"/>
          <c:showBubbleSize val="0"/>
        </c:dLbls>
        <c:gapWidth val="219"/>
        <c:overlap val="-27"/>
        <c:axId val="564126496"/>
        <c:axId val="544431616"/>
      </c:barChart>
      <c:catAx>
        <c:axId val="56412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31616"/>
        <c:crosses val="autoZero"/>
        <c:auto val="1"/>
        <c:lblAlgn val="ctr"/>
        <c:lblOffset val="100"/>
        <c:noMultiLvlLbl val="0"/>
      </c:catAx>
      <c:valAx>
        <c:axId val="5444316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126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Quick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'Comparison Charts and Graphs'!$C$184</c:f>
              <c:strCache>
                <c:ptCount val="1"/>
                <c:pt idx="0">
                  <c:v>Industry</c:v>
                </c:pt>
              </c:strCache>
            </c:strRef>
          </c:tx>
          <c:spPr>
            <a:solidFill>
              <a:schemeClr val="accent6"/>
            </a:solidFill>
            <a:ln>
              <a:noFill/>
            </a:ln>
            <a:effectLst/>
          </c:spPr>
          <c:invertIfNegative val="0"/>
          <c:cat>
            <c:numRef>
              <c:f>'Comparison Charts and Graphs'!$B$185:$B$187</c:f>
              <c:numCache>
                <c:formatCode>General</c:formatCode>
                <c:ptCount val="3"/>
                <c:pt idx="0">
                  <c:v>2022</c:v>
                </c:pt>
                <c:pt idx="1">
                  <c:v>2023</c:v>
                </c:pt>
                <c:pt idx="2">
                  <c:v>2024</c:v>
                </c:pt>
              </c:numCache>
            </c:numRef>
          </c:cat>
          <c:val>
            <c:numRef>
              <c:f>'Comparison Charts and Graphs'!$C$185:$C$187</c:f>
              <c:numCache>
                <c:formatCode>_(* #,##0.00_);_(* \(#,##0.00\);_(* "-"??_);_(@_)</c:formatCode>
                <c:ptCount val="3"/>
                <c:pt idx="0">
                  <c:v>2.74</c:v>
                </c:pt>
                <c:pt idx="1">
                  <c:v>2.87</c:v>
                </c:pt>
              </c:numCache>
            </c:numRef>
          </c:val>
          <c:extLst>
            <c:ext xmlns:c16="http://schemas.microsoft.com/office/drawing/2014/chart" uri="{C3380CC4-5D6E-409C-BE32-E72D297353CC}">
              <c16:uniqueId val="{00000000-C9D6-8C42-8EA0-7E8112368F0D}"/>
            </c:ext>
          </c:extLst>
        </c:ser>
        <c:ser>
          <c:idx val="1"/>
          <c:order val="1"/>
          <c:tx>
            <c:strRef>
              <c:f>'Comparison Charts and Graphs'!$D$184</c:f>
              <c:strCache>
                <c:ptCount val="1"/>
                <c:pt idx="0">
                  <c:v>BP</c:v>
                </c:pt>
              </c:strCache>
            </c:strRef>
          </c:tx>
          <c:spPr>
            <a:solidFill>
              <a:schemeClr val="accent5"/>
            </a:solidFill>
            <a:ln>
              <a:noFill/>
            </a:ln>
            <a:effectLst/>
          </c:spPr>
          <c:invertIfNegative val="0"/>
          <c:cat>
            <c:numRef>
              <c:f>'Comparison Charts and Graphs'!$B$185:$B$187</c:f>
              <c:numCache>
                <c:formatCode>General</c:formatCode>
                <c:ptCount val="3"/>
                <c:pt idx="0">
                  <c:v>2022</c:v>
                </c:pt>
                <c:pt idx="1">
                  <c:v>2023</c:v>
                </c:pt>
                <c:pt idx="2">
                  <c:v>2024</c:v>
                </c:pt>
              </c:numCache>
            </c:numRef>
          </c:cat>
          <c:val>
            <c:numRef>
              <c:f>'Comparison Charts and Graphs'!$D$185:$D$187</c:f>
              <c:numCache>
                <c:formatCode>_(* #,##0.00_);_(* \(#,##0.00\);_(* "-"??_);_(@_)</c:formatCode>
                <c:ptCount val="3"/>
                <c:pt idx="0">
                  <c:v>0.80396493566826233</c:v>
                </c:pt>
                <c:pt idx="1">
                  <c:v>0.94480587374241964</c:v>
                </c:pt>
                <c:pt idx="2">
                  <c:v>0.96791138240050578</c:v>
                </c:pt>
              </c:numCache>
            </c:numRef>
          </c:val>
          <c:extLst>
            <c:ext xmlns:c16="http://schemas.microsoft.com/office/drawing/2014/chart" uri="{C3380CC4-5D6E-409C-BE32-E72D297353CC}">
              <c16:uniqueId val="{00000001-C9D6-8C42-8EA0-7E8112368F0D}"/>
            </c:ext>
          </c:extLst>
        </c:ser>
        <c:ser>
          <c:idx val="2"/>
          <c:order val="2"/>
          <c:tx>
            <c:strRef>
              <c:f>'Comparison Charts and Graphs'!$E$184</c:f>
              <c:strCache>
                <c:ptCount val="1"/>
                <c:pt idx="0">
                  <c:v>Shell</c:v>
                </c:pt>
              </c:strCache>
            </c:strRef>
          </c:tx>
          <c:spPr>
            <a:solidFill>
              <a:schemeClr val="accent4"/>
            </a:solidFill>
            <a:ln>
              <a:noFill/>
            </a:ln>
            <a:effectLst/>
          </c:spPr>
          <c:invertIfNegative val="0"/>
          <c:cat>
            <c:numRef>
              <c:f>'Comparison Charts and Graphs'!$B$185:$B$187</c:f>
              <c:numCache>
                <c:formatCode>General</c:formatCode>
                <c:ptCount val="3"/>
                <c:pt idx="0">
                  <c:v>2022</c:v>
                </c:pt>
                <c:pt idx="1">
                  <c:v>2023</c:v>
                </c:pt>
                <c:pt idx="2">
                  <c:v>2024</c:v>
                </c:pt>
              </c:numCache>
            </c:numRef>
          </c:cat>
          <c:val>
            <c:numRef>
              <c:f>'Comparison Charts and Graphs'!$E$185:$E$187</c:f>
              <c:numCache>
                <c:formatCode>_(* #,##0.00_);_(* \(#,##0.00\);_(* "-"??_);_(@_)</c:formatCode>
                <c:ptCount val="3"/>
                <c:pt idx="0">
                  <c:v>0.73708896967298931</c:v>
                </c:pt>
                <c:pt idx="1">
                  <c:v>0.72745556056019356</c:v>
                </c:pt>
                <c:pt idx="2">
                  <c:v>0.75349874781657089</c:v>
                </c:pt>
              </c:numCache>
            </c:numRef>
          </c:val>
          <c:extLst>
            <c:ext xmlns:c16="http://schemas.microsoft.com/office/drawing/2014/chart" uri="{C3380CC4-5D6E-409C-BE32-E72D297353CC}">
              <c16:uniqueId val="{00000002-C9D6-8C42-8EA0-7E8112368F0D}"/>
            </c:ext>
          </c:extLst>
        </c:ser>
        <c:dLbls>
          <c:showLegendKey val="0"/>
          <c:showVal val="0"/>
          <c:showCatName val="0"/>
          <c:showSerName val="0"/>
          <c:showPercent val="0"/>
          <c:showBubbleSize val="0"/>
        </c:dLbls>
        <c:gapWidth val="219"/>
        <c:overlap val="-27"/>
        <c:axId val="564126496"/>
        <c:axId val="544431616"/>
      </c:barChart>
      <c:catAx>
        <c:axId val="56412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431616"/>
        <c:crosses val="autoZero"/>
        <c:auto val="1"/>
        <c:lblAlgn val="ctr"/>
        <c:lblOffset val="100"/>
        <c:noMultiLvlLbl val="0"/>
      </c:catAx>
      <c:valAx>
        <c:axId val="5444316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4126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drawing1.xml><?xml version="1.0" encoding="utf-8"?>
<xdr:wsDr xmlns:xdr="http://schemas.openxmlformats.org/drawingml/2006/spreadsheetDrawing" xmlns:a="http://schemas.openxmlformats.org/drawingml/2006/main">
  <xdr:twoCellAnchor>
    <xdr:from>
      <xdr:col>7</xdr:col>
      <xdr:colOff>317500</xdr:colOff>
      <xdr:row>51</xdr:row>
      <xdr:rowOff>6350</xdr:rowOff>
    </xdr:from>
    <xdr:to>
      <xdr:col>15</xdr:col>
      <xdr:colOff>488950</xdr:colOff>
      <xdr:row>66</xdr:row>
      <xdr:rowOff>165100</xdr:rowOff>
    </xdr:to>
    <xdr:graphicFrame macro="">
      <xdr:nvGraphicFramePr>
        <xdr:cNvPr id="18" name="Chart 17">
          <a:extLst>
            <a:ext uri="{FF2B5EF4-FFF2-40B4-BE49-F238E27FC236}">
              <a16:creationId xmlns:a16="http://schemas.microsoft.com/office/drawing/2014/main" id="{033F69A5-C28C-5E4E-A845-7680F744B0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298450</xdr:colOff>
      <xdr:row>69</xdr:row>
      <xdr:rowOff>19050</xdr:rowOff>
    </xdr:from>
    <xdr:to>
      <xdr:col>15</xdr:col>
      <xdr:colOff>495300</xdr:colOff>
      <xdr:row>84</xdr:row>
      <xdr:rowOff>107950</xdr:rowOff>
    </xdr:to>
    <xdr:graphicFrame macro="">
      <xdr:nvGraphicFramePr>
        <xdr:cNvPr id="2" name="Chart 1">
          <a:extLst>
            <a:ext uri="{FF2B5EF4-FFF2-40B4-BE49-F238E27FC236}">
              <a16:creationId xmlns:a16="http://schemas.microsoft.com/office/drawing/2014/main" id="{BE5F9ECD-EDD8-8342-BC76-BF194AB73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304800</xdr:colOff>
      <xdr:row>87</xdr:row>
      <xdr:rowOff>19050</xdr:rowOff>
    </xdr:from>
    <xdr:to>
      <xdr:col>15</xdr:col>
      <xdr:colOff>450850</xdr:colOff>
      <xdr:row>103</xdr:row>
      <xdr:rowOff>82550</xdr:rowOff>
    </xdr:to>
    <xdr:graphicFrame macro="">
      <xdr:nvGraphicFramePr>
        <xdr:cNvPr id="4" name="Chart 3">
          <a:extLst>
            <a:ext uri="{FF2B5EF4-FFF2-40B4-BE49-F238E27FC236}">
              <a16:creationId xmlns:a16="http://schemas.microsoft.com/office/drawing/2014/main" id="{BCA93D56-4E74-684E-AEEC-1C28AAE88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254000</xdr:colOff>
      <xdr:row>104</xdr:row>
      <xdr:rowOff>114300</xdr:rowOff>
    </xdr:from>
    <xdr:to>
      <xdr:col>15</xdr:col>
      <xdr:colOff>406400</xdr:colOff>
      <xdr:row>120</xdr:row>
      <xdr:rowOff>76200</xdr:rowOff>
    </xdr:to>
    <xdr:graphicFrame macro="">
      <xdr:nvGraphicFramePr>
        <xdr:cNvPr id="9" name="Chart 8">
          <a:extLst>
            <a:ext uri="{FF2B5EF4-FFF2-40B4-BE49-F238E27FC236}">
              <a16:creationId xmlns:a16="http://schemas.microsoft.com/office/drawing/2014/main" id="{D2675EE0-8490-E143-9251-291CD7F57D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0</xdr:colOff>
      <xdr:row>122</xdr:row>
      <xdr:rowOff>0</xdr:rowOff>
    </xdr:from>
    <xdr:to>
      <xdr:col>15</xdr:col>
      <xdr:colOff>368300</xdr:colOff>
      <xdr:row>135</xdr:row>
      <xdr:rowOff>177800</xdr:rowOff>
    </xdr:to>
    <xdr:graphicFrame macro="">
      <xdr:nvGraphicFramePr>
        <xdr:cNvPr id="10" name="Chart 9">
          <a:extLst>
            <a:ext uri="{FF2B5EF4-FFF2-40B4-BE49-F238E27FC236}">
              <a16:creationId xmlns:a16="http://schemas.microsoft.com/office/drawing/2014/main" id="{BCFE625B-46A6-7849-A825-485DB9ECC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6350</xdr:colOff>
      <xdr:row>137</xdr:row>
      <xdr:rowOff>25400</xdr:rowOff>
    </xdr:from>
    <xdr:to>
      <xdr:col>15</xdr:col>
      <xdr:colOff>234950</xdr:colOff>
      <xdr:row>150</xdr:row>
      <xdr:rowOff>190500</xdr:rowOff>
    </xdr:to>
    <xdr:graphicFrame macro="">
      <xdr:nvGraphicFramePr>
        <xdr:cNvPr id="12" name="Chart 11">
          <a:extLst>
            <a:ext uri="{FF2B5EF4-FFF2-40B4-BE49-F238E27FC236}">
              <a16:creationId xmlns:a16="http://schemas.microsoft.com/office/drawing/2014/main" id="{2D44C9C0-3FC4-5444-A209-AE03B2656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153</xdr:row>
      <xdr:rowOff>0</xdr:rowOff>
    </xdr:from>
    <xdr:to>
      <xdr:col>15</xdr:col>
      <xdr:colOff>228600</xdr:colOff>
      <xdr:row>164</xdr:row>
      <xdr:rowOff>184150</xdr:rowOff>
    </xdr:to>
    <xdr:graphicFrame macro="">
      <xdr:nvGraphicFramePr>
        <xdr:cNvPr id="13" name="Chart 12">
          <a:extLst>
            <a:ext uri="{FF2B5EF4-FFF2-40B4-BE49-F238E27FC236}">
              <a16:creationId xmlns:a16="http://schemas.microsoft.com/office/drawing/2014/main" id="{0054D67C-6B6C-F445-B4EF-7149CCD2F9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168</xdr:row>
      <xdr:rowOff>0</xdr:rowOff>
    </xdr:from>
    <xdr:to>
      <xdr:col>15</xdr:col>
      <xdr:colOff>368300</xdr:colOff>
      <xdr:row>180</xdr:row>
      <xdr:rowOff>12700</xdr:rowOff>
    </xdr:to>
    <xdr:graphicFrame macro="">
      <xdr:nvGraphicFramePr>
        <xdr:cNvPr id="14" name="Chart 13">
          <a:extLst>
            <a:ext uri="{FF2B5EF4-FFF2-40B4-BE49-F238E27FC236}">
              <a16:creationId xmlns:a16="http://schemas.microsoft.com/office/drawing/2014/main" id="{2524C06F-F5CB-1642-BD14-3189E9302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0</xdr:colOff>
      <xdr:row>183</xdr:row>
      <xdr:rowOff>0</xdr:rowOff>
    </xdr:from>
    <xdr:to>
      <xdr:col>15</xdr:col>
      <xdr:colOff>368300</xdr:colOff>
      <xdr:row>194</xdr:row>
      <xdr:rowOff>190500</xdr:rowOff>
    </xdr:to>
    <xdr:graphicFrame macro="">
      <xdr:nvGraphicFramePr>
        <xdr:cNvPr id="15" name="Chart 14">
          <a:extLst>
            <a:ext uri="{FF2B5EF4-FFF2-40B4-BE49-F238E27FC236}">
              <a16:creationId xmlns:a16="http://schemas.microsoft.com/office/drawing/2014/main" id="{BE216EA9-D1F3-6348-9598-8B5F5955F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198</xdr:row>
      <xdr:rowOff>0</xdr:rowOff>
    </xdr:from>
    <xdr:to>
      <xdr:col>15</xdr:col>
      <xdr:colOff>368300</xdr:colOff>
      <xdr:row>212</xdr:row>
      <xdr:rowOff>107950</xdr:rowOff>
    </xdr:to>
    <xdr:graphicFrame macro="">
      <xdr:nvGraphicFramePr>
        <xdr:cNvPr id="17" name="Chart 16">
          <a:extLst>
            <a:ext uri="{FF2B5EF4-FFF2-40B4-BE49-F238E27FC236}">
              <a16:creationId xmlns:a16="http://schemas.microsoft.com/office/drawing/2014/main" id="{BCEEEC32-AA67-AE4B-82B4-F9A455093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0</xdr:colOff>
      <xdr:row>214</xdr:row>
      <xdr:rowOff>0</xdr:rowOff>
    </xdr:from>
    <xdr:to>
      <xdr:col>15</xdr:col>
      <xdr:colOff>330200</xdr:colOff>
      <xdr:row>231</xdr:row>
      <xdr:rowOff>88900</xdr:rowOff>
    </xdr:to>
    <xdr:graphicFrame macro="">
      <xdr:nvGraphicFramePr>
        <xdr:cNvPr id="19" name="Chart 18">
          <a:extLst>
            <a:ext uri="{FF2B5EF4-FFF2-40B4-BE49-F238E27FC236}">
              <a16:creationId xmlns:a16="http://schemas.microsoft.com/office/drawing/2014/main" id="{5022E578-4F0F-0B42-9982-BAAEE12E10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6350</xdr:colOff>
      <xdr:row>233</xdr:row>
      <xdr:rowOff>6350</xdr:rowOff>
    </xdr:from>
    <xdr:to>
      <xdr:col>15</xdr:col>
      <xdr:colOff>330200</xdr:colOff>
      <xdr:row>248</xdr:row>
      <xdr:rowOff>0</xdr:rowOff>
    </xdr:to>
    <xdr:graphicFrame macro="">
      <xdr:nvGraphicFramePr>
        <xdr:cNvPr id="20" name="Chart 19">
          <a:extLst>
            <a:ext uri="{FF2B5EF4-FFF2-40B4-BE49-F238E27FC236}">
              <a16:creationId xmlns:a16="http://schemas.microsoft.com/office/drawing/2014/main" id="{6D074ED2-43C6-AD49-969C-51D3F043A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0</xdr:colOff>
      <xdr:row>251</xdr:row>
      <xdr:rowOff>0</xdr:rowOff>
    </xdr:from>
    <xdr:to>
      <xdr:col>15</xdr:col>
      <xdr:colOff>374650</xdr:colOff>
      <xdr:row>263</xdr:row>
      <xdr:rowOff>7620</xdr:rowOff>
    </xdr:to>
    <xdr:graphicFrame macro="">
      <xdr:nvGraphicFramePr>
        <xdr:cNvPr id="21" name="Chart 20">
          <a:extLst>
            <a:ext uri="{FF2B5EF4-FFF2-40B4-BE49-F238E27FC236}">
              <a16:creationId xmlns:a16="http://schemas.microsoft.com/office/drawing/2014/main" id="{0332BD7A-DCF3-564F-B5AA-E5D956F76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0</xdr:colOff>
      <xdr:row>265</xdr:row>
      <xdr:rowOff>0</xdr:rowOff>
    </xdr:from>
    <xdr:to>
      <xdr:col>15</xdr:col>
      <xdr:colOff>330200</xdr:colOff>
      <xdr:row>279</xdr:row>
      <xdr:rowOff>95250</xdr:rowOff>
    </xdr:to>
    <xdr:graphicFrame macro="">
      <xdr:nvGraphicFramePr>
        <xdr:cNvPr id="22" name="Chart 21">
          <a:extLst>
            <a:ext uri="{FF2B5EF4-FFF2-40B4-BE49-F238E27FC236}">
              <a16:creationId xmlns:a16="http://schemas.microsoft.com/office/drawing/2014/main" id="{A2C79A8A-7C12-6340-B844-E1F14185B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xdr:col>
      <xdr:colOff>323850</xdr:colOff>
      <xdr:row>33</xdr:row>
      <xdr:rowOff>0</xdr:rowOff>
    </xdr:from>
    <xdr:to>
      <xdr:col>15</xdr:col>
      <xdr:colOff>495300</xdr:colOff>
      <xdr:row>48</xdr:row>
      <xdr:rowOff>88900</xdr:rowOff>
    </xdr:to>
    <xdr:graphicFrame macro="">
      <xdr:nvGraphicFramePr>
        <xdr:cNvPr id="16" name="Chart 15">
          <a:extLst>
            <a:ext uri="{FF2B5EF4-FFF2-40B4-BE49-F238E27FC236}">
              <a16:creationId xmlns:a16="http://schemas.microsoft.com/office/drawing/2014/main" id="{E2597F9B-5251-3847-A5C5-FEB72CCC3A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0</xdr:colOff>
      <xdr:row>282</xdr:row>
      <xdr:rowOff>0</xdr:rowOff>
    </xdr:from>
    <xdr:to>
      <xdr:col>15</xdr:col>
      <xdr:colOff>330200</xdr:colOff>
      <xdr:row>295</xdr:row>
      <xdr:rowOff>6350</xdr:rowOff>
    </xdr:to>
    <xdr:graphicFrame macro="">
      <xdr:nvGraphicFramePr>
        <xdr:cNvPr id="25" name="Chart 24">
          <a:extLst>
            <a:ext uri="{FF2B5EF4-FFF2-40B4-BE49-F238E27FC236}">
              <a16:creationId xmlns:a16="http://schemas.microsoft.com/office/drawing/2014/main" id="{F1805091-76A3-3A4D-9660-02B5B1914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7</xdr:col>
      <xdr:colOff>0</xdr:colOff>
      <xdr:row>298</xdr:row>
      <xdr:rowOff>1</xdr:rowOff>
    </xdr:from>
    <xdr:to>
      <xdr:col>15</xdr:col>
      <xdr:colOff>330200</xdr:colOff>
      <xdr:row>312</xdr:row>
      <xdr:rowOff>0</xdr:rowOff>
    </xdr:to>
    <xdr:graphicFrame macro="">
      <xdr:nvGraphicFramePr>
        <xdr:cNvPr id="26" name="Chart 25">
          <a:extLst>
            <a:ext uri="{FF2B5EF4-FFF2-40B4-BE49-F238E27FC236}">
              <a16:creationId xmlns:a16="http://schemas.microsoft.com/office/drawing/2014/main" id="{D8646099-8182-1641-B1C7-1059B9319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365124</xdr:colOff>
      <xdr:row>1</xdr:row>
      <xdr:rowOff>180975</xdr:rowOff>
    </xdr:from>
    <xdr:to>
      <xdr:col>15</xdr:col>
      <xdr:colOff>438149</xdr:colOff>
      <xdr:row>15</xdr:row>
      <xdr:rowOff>168275</xdr:rowOff>
    </xdr:to>
    <xdr:graphicFrame macro="">
      <xdr:nvGraphicFramePr>
        <xdr:cNvPr id="7" name="Chart 6">
          <a:extLst>
            <a:ext uri="{FF2B5EF4-FFF2-40B4-BE49-F238E27FC236}">
              <a16:creationId xmlns:a16="http://schemas.microsoft.com/office/drawing/2014/main" id="{66979517-766A-13FB-C6B3-F25DCB0060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324484</xdr:colOff>
      <xdr:row>17</xdr:row>
      <xdr:rowOff>19684</xdr:rowOff>
    </xdr:from>
    <xdr:to>
      <xdr:col>15</xdr:col>
      <xdr:colOff>457199</xdr:colOff>
      <xdr:row>31</xdr:row>
      <xdr:rowOff>95249</xdr:rowOff>
    </xdr:to>
    <xdr:graphicFrame macro="">
      <xdr:nvGraphicFramePr>
        <xdr:cNvPr id="8" name="Chart 7">
          <a:extLst>
            <a:ext uri="{FF2B5EF4-FFF2-40B4-BE49-F238E27FC236}">
              <a16:creationId xmlns:a16="http://schemas.microsoft.com/office/drawing/2014/main" id="{34E5B439-7657-86B2-F242-0EE6D3A62F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3</xdr:row>
      <xdr:rowOff>193570</xdr:rowOff>
    </xdr:from>
    <xdr:to>
      <xdr:col>12</xdr:col>
      <xdr:colOff>479213</xdr:colOff>
      <xdr:row>16</xdr:row>
      <xdr:rowOff>190500</xdr:rowOff>
    </xdr:to>
    <xdr:graphicFrame macro="">
      <xdr:nvGraphicFramePr>
        <xdr:cNvPr id="2" name="Chart 1">
          <a:extLst>
            <a:ext uri="{FF2B5EF4-FFF2-40B4-BE49-F238E27FC236}">
              <a16:creationId xmlns:a16="http://schemas.microsoft.com/office/drawing/2014/main" id="{A6E2DA17-2716-9D42-A18C-E1FDCF6F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21</xdr:row>
      <xdr:rowOff>0</xdr:rowOff>
    </xdr:from>
    <xdr:to>
      <xdr:col>12</xdr:col>
      <xdr:colOff>486833</xdr:colOff>
      <xdr:row>34</xdr:row>
      <xdr:rowOff>129116</xdr:rowOff>
    </xdr:to>
    <xdr:graphicFrame macro="">
      <xdr:nvGraphicFramePr>
        <xdr:cNvPr id="3" name="Chart 2">
          <a:extLst>
            <a:ext uri="{FF2B5EF4-FFF2-40B4-BE49-F238E27FC236}">
              <a16:creationId xmlns:a16="http://schemas.microsoft.com/office/drawing/2014/main" id="{674B287B-10B1-214C-827B-668F66C37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8" Type="http://schemas.openxmlformats.org/officeDocument/2006/relationships/hyperlink" Target="https://www.londonstockexchange.com/stock/SHEL/shell-plc/company-page" TargetMode="External"/><Relationship Id="rId3" Type="http://schemas.openxmlformats.org/officeDocument/2006/relationships/hyperlink" Target="https://www.bp.com/content/dam/bp/business-sites/en/global/corporate/pdfs/investors/bp-annual-report-and-form-20f-2024.pdf" TargetMode="External"/><Relationship Id="rId7" Type="http://schemas.openxmlformats.org/officeDocument/2006/relationships/hyperlink" Target="https://www.londonstockexchange.com/stock/BP./bp-plc/company-page" TargetMode="External"/><Relationship Id="rId2" Type="http://schemas.openxmlformats.org/officeDocument/2006/relationships/hyperlink" Target="https://www.bp.com/content/dam/bp/business-sites/en/global/corporate/pdfs/investors/bp-annual-report-and-form-20f-2023.pdf" TargetMode="External"/><Relationship Id="rId1" Type="http://schemas.openxmlformats.org/officeDocument/2006/relationships/hyperlink" Target="https://www.bp.com/content/dam/bp/business-sites/en/global/corporate/pdfs/investors/bp-annual-report-and-form-20f-2022.pdf" TargetMode="External"/><Relationship Id="rId6" Type="http://schemas.openxmlformats.org/officeDocument/2006/relationships/hyperlink" Target="https://www.shell.com/investors/results-and-reporting/annual-report/_jcr_content/root/main/section_2113846431/link_list/links/item0.stream/1742873115632/6c20b8111738b9a590ba145f0d1c4fa0e530dae0/shell-annual-report-2024.pdf" TargetMode="External"/><Relationship Id="rId5" Type="http://schemas.openxmlformats.org/officeDocument/2006/relationships/hyperlink" Target="https://www.shell.com/investors/results-and-reporting/annual-report-archive/_jcr_content/root/main/section_812377294/tabs/tab/text.multi.stream/1742905301176/ce28b952e201476287788cfcf35406e464f9785c/shell-annual-report-2023.pdf" TargetMode="External"/><Relationship Id="rId10" Type="http://schemas.openxmlformats.org/officeDocument/2006/relationships/hyperlink" Target="https://www.poundsterlinglive.com/history/GBP-USD-2023" TargetMode="External"/><Relationship Id="rId4" Type="http://schemas.openxmlformats.org/officeDocument/2006/relationships/hyperlink" Target="https://www.shell.com/investors/results-and-reporting/annual-report-archive/_jcr_content/root/main/section_812377294/tabs/tab_1219767661/text.multi.stream/1742905354181/24ff673614687df7a13f18ce0cbd126cd73bc788/shell-annual-report-2022.pdf" TargetMode="External"/><Relationship Id="rId9" Type="http://schemas.openxmlformats.org/officeDocument/2006/relationships/hyperlink" Target="https://www.readyratios.com/sec/industry/13/?measure=average"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readyratios.com/sec/industry/13/?measure=avera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ECA7F-8217-5C4E-9200-306CDA1EF664}">
  <dimension ref="B2:D24"/>
  <sheetViews>
    <sheetView topLeftCell="A2" zoomScale="140" zoomScaleNormal="140" workbookViewId="0">
      <selection activeCell="G14" sqref="G14"/>
    </sheetView>
  </sheetViews>
  <sheetFormatPr defaultColWidth="11.19921875" defaultRowHeight="15.6"/>
  <cols>
    <col min="1" max="1" width="6" customWidth="1"/>
    <col min="2" max="2" width="6.19921875" bestFit="1" customWidth="1"/>
    <col min="3" max="3" width="16.5" bestFit="1" customWidth="1"/>
    <col min="4" max="4" width="38.5" bestFit="1" customWidth="1"/>
  </cols>
  <sheetData>
    <row r="2" spans="2:4">
      <c r="B2" s="12" t="s">
        <v>0</v>
      </c>
      <c r="C2" s="12" t="s">
        <v>1</v>
      </c>
      <c r="D2" s="12" t="s">
        <v>20</v>
      </c>
    </row>
    <row r="3" spans="2:4">
      <c r="B3" s="18"/>
      <c r="C3" s="19"/>
      <c r="D3" s="20"/>
    </row>
    <row r="4" spans="2:4">
      <c r="B4" s="23">
        <v>1</v>
      </c>
      <c r="C4" s="23" t="s">
        <v>2</v>
      </c>
      <c r="D4" s="15" t="s">
        <v>3</v>
      </c>
    </row>
    <row r="5" spans="2:4">
      <c r="B5" s="21"/>
      <c r="C5" s="21"/>
      <c r="D5" s="16" t="s">
        <v>4</v>
      </c>
    </row>
    <row r="6" spans="2:4">
      <c r="B6" s="21"/>
      <c r="C6" s="21"/>
      <c r="D6" s="16" t="s">
        <v>5</v>
      </c>
    </row>
    <row r="7" spans="2:4">
      <c r="B7" s="22"/>
      <c r="C7" s="22"/>
      <c r="D7" s="17" t="s">
        <v>6</v>
      </c>
    </row>
    <row r="9" spans="2:4">
      <c r="B9" s="23">
        <v>2</v>
      </c>
      <c r="C9" s="23" t="s">
        <v>21</v>
      </c>
      <c r="D9" s="15" t="s">
        <v>22</v>
      </c>
    </row>
    <row r="10" spans="2:4">
      <c r="B10" s="21"/>
      <c r="C10" s="21"/>
      <c r="D10" s="16" t="s">
        <v>23</v>
      </c>
    </row>
    <row r="11" spans="2:4">
      <c r="B11" s="21"/>
      <c r="C11" s="21"/>
      <c r="D11" s="16" t="s">
        <v>24</v>
      </c>
    </row>
    <row r="12" spans="2:4">
      <c r="B12" s="22"/>
      <c r="C12" s="22"/>
      <c r="D12" s="17" t="s">
        <v>25</v>
      </c>
    </row>
    <row r="14" spans="2:4">
      <c r="B14" s="38">
        <v>3</v>
      </c>
      <c r="C14" s="23" t="s">
        <v>76</v>
      </c>
      <c r="D14" s="15" t="s">
        <v>77</v>
      </c>
    </row>
    <row r="15" spans="2:4">
      <c r="B15" s="22"/>
      <c r="C15" s="22"/>
      <c r="D15" s="17" t="s">
        <v>78</v>
      </c>
    </row>
    <row r="17" spans="2:4">
      <c r="B17" s="38">
        <v>4</v>
      </c>
      <c r="C17" s="23" t="s">
        <v>84</v>
      </c>
      <c r="D17" s="15" t="s">
        <v>85</v>
      </c>
    </row>
    <row r="18" spans="2:4">
      <c r="B18" s="21"/>
      <c r="C18" s="21"/>
      <c r="D18" s="16" t="s">
        <v>86</v>
      </c>
    </row>
    <row r="19" spans="2:4">
      <c r="B19" s="22"/>
      <c r="C19" s="22"/>
      <c r="D19" s="17" t="s">
        <v>87</v>
      </c>
    </row>
    <row r="21" spans="2:4">
      <c r="B21" s="23">
        <v>5</v>
      </c>
      <c r="C21" s="23" t="s">
        <v>99</v>
      </c>
      <c r="D21" s="15" t="s">
        <v>100</v>
      </c>
    </row>
    <row r="22" spans="2:4">
      <c r="B22" s="21"/>
      <c r="C22" s="21"/>
      <c r="D22" s="16" t="s">
        <v>101</v>
      </c>
    </row>
    <row r="23" spans="2:4">
      <c r="B23" s="21"/>
      <c r="C23" s="21"/>
      <c r="D23" s="16" t="s">
        <v>102</v>
      </c>
    </row>
    <row r="24" spans="2:4">
      <c r="B24" s="22"/>
      <c r="C24" s="22"/>
      <c r="D24" s="17" t="s">
        <v>103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CDC19-F4A9-B74C-ACFB-E0F895932DA3}">
  <dimension ref="B2:O69"/>
  <sheetViews>
    <sheetView topLeftCell="A41" zoomScale="72" zoomScaleNormal="60" workbookViewId="0">
      <selection activeCell="I73" sqref="I73"/>
    </sheetView>
  </sheetViews>
  <sheetFormatPr defaultColWidth="11.19921875" defaultRowHeight="15.6"/>
  <cols>
    <col min="1" max="1" width="5.09765625" customWidth="1"/>
    <col min="2" max="2" width="16.59765625" bestFit="1" customWidth="1"/>
    <col min="3" max="3" width="31.19921875" bestFit="1" customWidth="1"/>
    <col min="4" max="4" width="1.8984375" bestFit="1" customWidth="1"/>
    <col min="5" max="5" width="63.3984375" bestFit="1" customWidth="1"/>
    <col min="6" max="6" width="9.5" bestFit="1" customWidth="1"/>
    <col min="7" max="7" width="15.8984375" bestFit="1" customWidth="1"/>
    <col min="8" max="8" width="2.5" customWidth="1"/>
    <col min="9" max="9" width="5.8984375" style="10" bestFit="1" customWidth="1"/>
    <col min="10" max="10" width="6.59765625" bestFit="1" customWidth="1"/>
    <col min="11" max="11" width="7.19921875" bestFit="1" customWidth="1"/>
    <col min="12" max="12" width="3" customWidth="1"/>
    <col min="13" max="13" width="5.8984375" style="10" bestFit="1" customWidth="1"/>
    <col min="14" max="15" width="5.8984375" bestFit="1" customWidth="1"/>
  </cols>
  <sheetData>
    <row r="2" spans="2:15">
      <c r="I2" s="240" t="s">
        <v>262</v>
      </c>
      <c r="J2" s="240"/>
      <c r="K2" s="240"/>
      <c r="M2" s="241" t="s">
        <v>263</v>
      </c>
      <c r="N2" s="241"/>
      <c r="O2" s="241"/>
    </row>
    <row r="3" spans="2:15">
      <c r="B3" s="2" t="s">
        <v>2</v>
      </c>
      <c r="G3" s="12" t="s">
        <v>45</v>
      </c>
      <c r="I3" s="11">
        <v>2024</v>
      </c>
      <c r="J3" s="12">
        <v>2023</v>
      </c>
      <c r="K3" s="12">
        <v>2022</v>
      </c>
      <c r="M3" s="33">
        <v>2024</v>
      </c>
      <c r="N3" s="34">
        <v>2023</v>
      </c>
      <c r="O3" s="34">
        <v>2022</v>
      </c>
    </row>
    <row r="5" spans="2:15" ht="16.2" thickBot="1">
      <c r="B5" s="1">
        <v>1</v>
      </c>
      <c r="C5" s="1" t="s">
        <v>3</v>
      </c>
      <c r="D5" s="1" t="s">
        <v>7</v>
      </c>
      <c r="E5" s="3" t="s">
        <v>8</v>
      </c>
      <c r="F5" s="1" t="s">
        <v>10</v>
      </c>
      <c r="G5" s="24" t="s">
        <v>46</v>
      </c>
      <c r="I5" s="14">
        <f>(('Income Statement BP'!C23)/('BP Balance Sheet'!C64+'BP Balance Sheet'!C52))</f>
        <v>8.4690871198206771E-2</v>
      </c>
      <c r="J5" s="14">
        <f>(('Income Statement BP'!E23)/('BP Balance Sheet'!E64+'BP Balance Sheet'!E52))</f>
        <v>0.2038415956709376</v>
      </c>
      <c r="K5" s="14">
        <f>(('Income Statement BP'!G23)/('BP Balance Sheet'!G64+'BP Balance Sheet'!G52))</f>
        <v>0.14233524807473805</v>
      </c>
      <c r="M5" s="14">
        <f>(('Income Statement BP'!C20)/('Shell Balance Sheet'!C59+'Shell Balance Sheet'!C30))</f>
        <v>2.8479415021822684E-2</v>
      </c>
      <c r="N5" s="14">
        <f>(('Income Statement BP'!E20)/('Shell Balance Sheet'!E59+'Shell Balance Sheet'!E30))</f>
        <v>2.2529349314541567E-2</v>
      </c>
      <c r="O5" s="14">
        <f>(('Income Statement BP'!G20)/('Shell Balance Sheet'!G59+'Shell Balance Sheet'!G30))</f>
        <v>0.11414744699709414</v>
      </c>
    </row>
    <row r="6" spans="2:15">
      <c r="D6" s="1"/>
      <c r="E6" s="4" t="s">
        <v>9</v>
      </c>
      <c r="I6" s="26"/>
      <c r="J6" s="27"/>
      <c r="K6" s="27"/>
      <c r="M6" s="26"/>
      <c r="N6" s="27"/>
      <c r="O6" s="27"/>
    </row>
    <row r="7" spans="2:15">
      <c r="D7" s="1"/>
      <c r="I7" s="26"/>
      <c r="J7" s="27"/>
      <c r="K7" s="27"/>
      <c r="M7" s="26"/>
      <c r="N7" s="27"/>
      <c r="O7" s="27"/>
    </row>
    <row r="8" spans="2:15" ht="16.2" thickBot="1">
      <c r="B8" s="1">
        <v>2</v>
      </c>
      <c r="C8" s="1" t="s">
        <v>11</v>
      </c>
      <c r="D8" s="1" t="s">
        <v>7</v>
      </c>
      <c r="E8" s="3" t="s">
        <v>12</v>
      </c>
      <c r="F8" s="1" t="s">
        <v>10</v>
      </c>
      <c r="G8" s="24" t="s">
        <v>47</v>
      </c>
      <c r="I8" s="14">
        <f>'Income Statement BP'!C30/'BP Balance Sheet'!C64</f>
        <v>1.5692433412497764E-2</v>
      </c>
      <c r="J8" s="14">
        <f>'Income Statement BP'!E30/'BP Balance Sheet'!E64</f>
        <v>0.18574620144339302</v>
      </c>
      <c r="K8" s="14">
        <f>'Income Statement BP'!G30/'BP Balance Sheet'!G64</f>
        <v>-1.6351367634654779E-2</v>
      </c>
      <c r="M8" s="14">
        <f>'Shell Income Statement'!C24/'Shell Balance Sheet'!C59</f>
        <v>9.1697748767816709E-2</v>
      </c>
      <c r="N8" s="14">
        <f>'Shell Income Statement'!E24/'Shell Balance Sheet'!E59</f>
        <v>0.10424607935783226</v>
      </c>
      <c r="O8" s="14">
        <f>'Shell Income Statement'!G24/'Shell Balance Sheet'!G59</f>
        <v>0.22260990565792821</v>
      </c>
    </row>
    <row r="9" spans="2:15">
      <c r="D9" s="1"/>
      <c r="E9" s="4" t="s">
        <v>13</v>
      </c>
    </row>
    <row r="10" spans="2:15">
      <c r="D10" s="1"/>
    </row>
    <row r="11" spans="2:15" ht="16.2" thickBot="1">
      <c r="B11" s="1">
        <v>3</v>
      </c>
      <c r="C11" s="1" t="s">
        <v>5</v>
      </c>
      <c r="D11" s="1" t="s">
        <v>7</v>
      </c>
      <c r="E11" s="3" t="s">
        <v>14</v>
      </c>
      <c r="F11" s="1" t="s">
        <v>15</v>
      </c>
      <c r="I11" s="13">
        <f>'Income Statement BP'!C7/('BP Balance Sheet'!C64+'BP Balance Sheet'!C52)</f>
        <v>1.4182740964532841</v>
      </c>
      <c r="J11" s="13">
        <f>'Income Statement BP'!E7/('BP Balance Sheet'!E64+'BP Balance Sheet'!E52)</f>
        <v>1.5662291391814436</v>
      </c>
      <c r="K11" s="13">
        <f>'Income Statement BP'!G7/('BP Balance Sheet'!G64+'BP Balance Sheet'!G52)</f>
        <v>1.9046837520515087</v>
      </c>
      <c r="M11" s="13">
        <f>'Shell Income Statement'!C7/('Shell Balance Sheet'!C59+'Shell Balance Sheet'!C30)</f>
        <v>1.157546739626083</v>
      </c>
      <c r="N11" s="13">
        <f>'Shell Income Statement'!E7/('Shell Balance Sheet'!E59+'Shell Balance Sheet'!E30)</f>
        <v>1.217900389272691</v>
      </c>
      <c r="O11" s="13">
        <f>'Shell Income Statement'!G7/('Shell Balance Sheet'!G59+'Shell Balance Sheet'!G30)</f>
        <v>1.4260539808744497</v>
      </c>
    </row>
    <row r="12" spans="2:15">
      <c r="D12" s="1"/>
      <c r="E12" s="4" t="s">
        <v>43</v>
      </c>
    </row>
    <row r="13" spans="2:15">
      <c r="D13" s="1"/>
    </row>
    <row r="14" spans="2:15" ht="16.2" thickBot="1">
      <c r="B14" s="1">
        <v>4</v>
      </c>
      <c r="C14" s="1" t="s">
        <v>16</v>
      </c>
      <c r="D14" s="1" t="s">
        <v>7</v>
      </c>
      <c r="E14" s="3" t="s">
        <v>17</v>
      </c>
      <c r="F14" s="1" t="s">
        <v>10</v>
      </c>
      <c r="G14" s="24" t="s">
        <v>53</v>
      </c>
      <c r="I14" s="14">
        <f>('Income Statement BP'!C12-'Income Statement BP'!C19)/'Income Statement BP'!C7</f>
        <v>0.1834659196025055</v>
      </c>
      <c r="J14" s="14">
        <f>('Income Statement BP'!E12-'Income Statement BP'!E19)/'Income Statement BP'!E7</f>
        <v>0.24258316280397849</v>
      </c>
      <c r="K14" s="14">
        <f>('Income Statement BP'!G12-'Income Statement BP'!G19)/'Income Statement BP'!G7</f>
        <v>0.25930851063829785</v>
      </c>
      <c r="M14" s="197">
        <f ca="1">('Shell Income Statement'!C10-'Shell Income Statement'!C16)/'Shell Income Statement'!C7</f>
        <v>0.22046202763161596</v>
      </c>
      <c r="N14" s="197">
        <f ca="1">('Shell Income Statement'!E10-'Shell Income Statement'!E16)/'Shell Income Statement'!E7</f>
        <v>0.22069673425557451</v>
      </c>
      <c r="O14" s="197">
        <f ca="1">('Shell Income Statement'!G10-'Shell Income Statement'!G16)/'Shell Income Statement'!G7</f>
        <v>0.22973192696832531</v>
      </c>
    </row>
    <row r="15" spans="2:15">
      <c r="E15" s="4" t="s">
        <v>14</v>
      </c>
      <c r="M15" s="147"/>
      <c r="N15" s="148"/>
      <c r="O15" s="148"/>
    </row>
    <row r="16" spans="2:15">
      <c r="M16" s="147"/>
      <c r="N16" s="148"/>
      <c r="O16" s="148"/>
    </row>
    <row r="17" spans="2:15" ht="16.2" thickBot="1">
      <c r="B17" s="1">
        <v>5</v>
      </c>
      <c r="C17" s="1" t="s">
        <v>18</v>
      </c>
      <c r="D17" s="1" t="s">
        <v>7</v>
      </c>
      <c r="E17" s="3" t="s">
        <v>19</v>
      </c>
      <c r="F17" s="1" t="s">
        <v>10</v>
      </c>
      <c r="G17" s="24" t="s">
        <v>54</v>
      </c>
      <c r="I17" s="14">
        <f>'Income Statement BP'!C30/'Income Statement BP'!C7</f>
        <v>6.4962867034912917E-3</v>
      </c>
      <c r="J17" s="14">
        <f>'Income Statement BP'!E30/'Income Statement BP'!E7</f>
        <v>7.557226478846428E-2</v>
      </c>
      <c r="K17" s="14">
        <f>'Income Statement BP'!G30/'Income Statement BP'!G7</f>
        <v>-5.6215616093325382E-3</v>
      </c>
      <c r="M17" s="197">
        <f>'Shell Income Statement'!C24/'Shell Income Statement'!C7</f>
        <v>5.8108697487267512E-2</v>
      </c>
      <c r="N17" s="197">
        <f>'Shell Income Statement'!E24/'Shell Income Statement'!E7</f>
        <v>6.2017560482597434E-2</v>
      </c>
      <c r="O17" s="197">
        <f>'Shell Income Statement'!G24/'Shell Income Statement'!G7</f>
        <v>0.1124375186853879</v>
      </c>
    </row>
    <row r="18" spans="2:15">
      <c r="E18" s="4" t="s">
        <v>14</v>
      </c>
    </row>
    <row r="20" spans="2:15" ht="16.2" thickBot="1">
      <c r="B20" s="1">
        <v>6</v>
      </c>
      <c r="C20" s="1" t="s">
        <v>64</v>
      </c>
      <c r="D20" s="1" t="s">
        <v>7</v>
      </c>
      <c r="E20" s="3" t="s">
        <v>65</v>
      </c>
      <c r="F20" s="1" t="s">
        <v>10</v>
      </c>
      <c r="I20" s="14">
        <f>'Income Statement BP'!C19/'Income Statement BP'!C7</f>
        <v>0.8453101461532363</v>
      </c>
      <c r="J20" s="14">
        <f>'Income Statement BP'!E19/'Income Statement BP'!E7</f>
        <v>0.77122733545900157</v>
      </c>
      <c r="K20" s="14">
        <f>'Income Statement BP'!G19/'Income Statement BP'!G7</f>
        <v>0.77175714191025391</v>
      </c>
      <c r="M20" s="14">
        <f ca="1">'Shell Income Statement'!C16/'Shell Income Statement'!C7</f>
        <v>0.79612890064436248</v>
      </c>
      <c r="N20" s="14">
        <f ca="1">'Shell Income Statement'!E16/'Shell Income Statement'!E7</f>
        <v>0.80003158360179394</v>
      </c>
      <c r="O20" s="14">
        <f ca="1">'Shell Income Statement'!G16/'Shell Income Statement'!G7</f>
        <v>0.78308428224507887</v>
      </c>
    </row>
    <row r="21" spans="2:15">
      <c r="E21" s="4" t="s">
        <v>14</v>
      </c>
    </row>
    <row r="23" spans="2:15">
      <c r="B23" s="2" t="s">
        <v>21</v>
      </c>
    </row>
    <row r="25" spans="2:15" ht="16.2" thickBot="1">
      <c r="B25" s="1">
        <v>1</v>
      </c>
      <c r="C25" s="1" t="s">
        <v>22</v>
      </c>
      <c r="D25" s="1" t="s">
        <v>7</v>
      </c>
      <c r="E25" s="3" t="s">
        <v>26</v>
      </c>
      <c r="F25" s="1" t="s">
        <v>44</v>
      </c>
      <c r="G25" s="1"/>
      <c r="I25" s="29">
        <f>('BP Balance Sheet'!C24/'Income Statement BP'!C19)*365</f>
        <v>53.02451225612807</v>
      </c>
      <c r="J25" s="29">
        <f>('BP Balance Sheet'!E24/'Income Statement BP'!E19)*365</f>
        <v>51.394778412667073</v>
      </c>
      <c r="K25" s="29">
        <f>('BP Balance Sheet'!G24/'Income Statement BP'!G19)*365</f>
        <v>55.017633228840126</v>
      </c>
      <c r="M25" s="29">
        <f ca="1">('Shell Balance Sheet'!C20/'Shell Income Statement'!C16)*365</f>
        <v>37.775691520616391</v>
      </c>
      <c r="N25" s="29">
        <f ca="1">('Shell Balance Sheet'!E20/'Shell Income Statement'!E16)*365</f>
        <v>37.491946499490737</v>
      </c>
      <c r="O25" s="29">
        <f ca="1">('Shell Balance Sheet'!G20/'Shell Income Statement'!G16)*365</f>
        <v>38.986172182946468</v>
      </c>
    </row>
    <row r="26" spans="2:15">
      <c r="D26" s="1"/>
      <c r="E26" s="4" t="s">
        <v>65</v>
      </c>
      <c r="F26" s="1"/>
      <c r="I26" s="30"/>
      <c r="J26" s="31"/>
      <c r="K26" s="31"/>
      <c r="M26" s="30"/>
      <c r="N26" s="31"/>
      <c r="O26" s="31"/>
    </row>
    <row r="27" spans="2:15">
      <c r="I27" s="30"/>
      <c r="J27" s="31"/>
      <c r="K27" s="31"/>
      <c r="M27" s="30"/>
      <c r="N27" s="31"/>
      <c r="O27" s="31"/>
    </row>
    <row r="28" spans="2:15" ht="16.2" thickBot="1">
      <c r="B28" s="1">
        <v>2</v>
      </c>
      <c r="C28" s="1" t="s">
        <v>23</v>
      </c>
      <c r="D28" s="1" t="s">
        <v>7</v>
      </c>
      <c r="E28" s="3" t="s">
        <v>27</v>
      </c>
      <c r="F28" s="1" t="s">
        <v>44</v>
      </c>
      <c r="G28" s="24" t="s">
        <v>50</v>
      </c>
      <c r="I28" s="29">
        <f>(('BP Balance Sheet'!C25+'BP Balance Sheet'!C16)/'Income Statement BP'!C7)*365</f>
        <v>55.8386235695219</v>
      </c>
      <c r="J28" s="29">
        <f>(('BP Balance Sheet'!E25+'BP Balance Sheet'!E16)/'Income Statement BP'!E7)*365</f>
        <v>57.130585827820873</v>
      </c>
      <c r="K28" s="29">
        <f>(('BP Balance Sheet'!G25+'BP Balance Sheet'!G16)/'Income Statement BP'!G7)*365</f>
        <v>53.076448266719687</v>
      </c>
      <c r="M28" s="29">
        <f>(('Shell Balance Sheet'!C21+'Shell Balance Sheet'!C16)/'Shell Income Statement'!C7)*365</f>
        <v>66.601022820000551</v>
      </c>
      <c r="N28" s="29">
        <f>(('Shell Balance Sheet'!E21+'Shell Balance Sheet'!E16)/'Shell Income Statement'!E7)*365</f>
        <v>68.67353610005685</v>
      </c>
      <c r="O28" s="29">
        <f>(('Shell Balance Sheet'!G21+'Shell Balance Sheet'!G16)/'Shell Income Statement'!G7)*365</f>
        <v>70.288397488683856</v>
      </c>
    </row>
    <row r="29" spans="2:15">
      <c r="E29" s="4" t="s">
        <v>14</v>
      </c>
      <c r="I29" s="30"/>
      <c r="J29" s="31"/>
      <c r="K29" s="31"/>
      <c r="M29" s="30"/>
      <c r="N29" s="31"/>
      <c r="O29" s="31"/>
    </row>
    <row r="30" spans="2:15">
      <c r="I30" s="30"/>
      <c r="J30" s="31"/>
      <c r="K30" s="31"/>
      <c r="M30" s="30"/>
      <c r="N30" s="31"/>
      <c r="O30" s="31"/>
    </row>
    <row r="31" spans="2:15" ht="16.2" thickBot="1">
      <c r="B31" s="1">
        <v>3</v>
      </c>
      <c r="C31" s="1" t="s">
        <v>24</v>
      </c>
      <c r="D31" s="1" t="s">
        <v>7</v>
      </c>
      <c r="E31" s="3" t="s">
        <v>28</v>
      </c>
      <c r="F31" s="1" t="s">
        <v>44</v>
      </c>
      <c r="G31" s="24" t="s">
        <v>49</v>
      </c>
      <c r="I31" s="29">
        <f>('BP Balance Sheet'!C37/'Income Statement BP'!C19)*365</f>
        <v>133.31675212606305</v>
      </c>
      <c r="J31" s="29">
        <f>('BP Balance Sheet'!E37/'Income Statement BP'!E19)*365</f>
        <v>137.73818632835159</v>
      </c>
      <c r="K31" s="29">
        <f>('BP Balance Sheet'!G37/'Income Statement BP'!G19)*365</f>
        <v>125.36050156739812</v>
      </c>
      <c r="M31" s="29">
        <f ca="1">(('Shell Balance Sheet'!C31+'Shell Balance Sheet'!C39)/'Shell Income Statement'!C16)*365</f>
        <v>103.17604672430627</v>
      </c>
      <c r="N31" s="29">
        <f ca="1">(('Shell Balance Sheet'!E31+'Shell Balance Sheet'!E39)/'Shell Income Statement'!E16)*365</f>
        <v>102.79701230922284</v>
      </c>
      <c r="O31" s="29">
        <f ca="1">(('Shell Balance Sheet'!G31+'Shell Balance Sheet'!G39)/'Shell Income Statement'!G16)*365</f>
        <v>101.19853918774551</v>
      </c>
    </row>
    <row r="32" spans="2:15">
      <c r="E32" s="4" t="s">
        <v>65</v>
      </c>
    </row>
    <row r="34" spans="2:15" ht="16.2" thickBot="1">
      <c r="B34" s="1">
        <v>4</v>
      </c>
      <c r="C34" s="1" t="s">
        <v>25</v>
      </c>
      <c r="D34" s="1" t="s">
        <v>7</v>
      </c>
      <c r="E34" s="3" t="s">
        <v>14</v>
      </c>
      <c r="F34" s="1"/>
      <c r="G34" s="24" t="s">
        <v>48</v>
      </c>
      <c r="I34" s="13">
        <f>('Income Statement BP'!C7/'BP Balance Sheet'!C34)</f>
        <v>0.67032682795470333</v>
      </c>
      <c r="J34" s="13">
        <f>('Income Statement BP'!E7/'BP Balance Sheet'!E34)</f>
        <v>0.74967712473331571</v>
      </c>
      <c r="K34" s="13">
        <f>('Income Statement BP'!G7/'BP Balance Sheet'!G34)</f>
        <v>0.83781757600999585</v>
      </c>
      <c r="M34" s="13">
        <f>'Shell Income Statement'!C7/'Shell Balance Sheet'!C27</f>
        <v>0.73350206006568475</v>
      </c>
      <c r="N34" s="13">
        <f>'Shell Income Statement'!E7/'Shell Balance Sheet'!E27</f>
        <v>0.77933394048293003</v>
      </c>
      <c r="O34" s="13">
        <f>'Shell Income Statement'!G7/'Shell Balance Sheet'!G27</f>
        <v>0.8607073205966268</v>
      </c>
    </row>
    <row r="35" spans="2:15">
      <c r="E35" s="4" t="s">
        <v>29</v>
      </c>
    </row>
    <row r="37" spans="2:15">
      <c r="B37" s="2" t="s">
        <v>76</v>
      </c>
    </row>
    <row r="39" spans="2:15">
      <c r="B39" s="1">
        <v>1</v>
      </c>
      <c r="C39" s="1" t="s">
        <v>77</v>
      </c>
      <c r="D39" s="1" t="s">
        <v>7</v>
      </c>
      <c r="E39" s="39" t="s">
        <v>79</v>
      </c>
      <c r="G39" s="40" t="s">
        <v>80</v>
      </c>
      <c r="I39" s="13">
        <f>('BP Balance Sheet'!C31+'BP Balance Sheet'!C32)/'BP Balance Sheet'!C46</f>
        <v>1.2503982198660035</v>
      </c>
      <c r="J39" s="13">
        <f>('BP Balance Sheet'!E31+'BP Balance Sheet'!E32)/'BP Balance Sheet'!E46</f>
        <v>1.2099026464369524</v>
      </c>
      <c r="K39" s="13">
        <f>('BP Balance Sheet'!G31+'BP Balance Sheet'!G32)/'BP Balance Sheet'!G46</f>
        <v>1.087559837605284</v>
      </c>
      <c r="M39" s="41">
        <f>('Shell Balance Sheet'!C24+'Shell Balance Sheet'!C25)/('Shell Balance Sheet'!C43+'Shell Balance Sheet'!C44)</f>
        <v>1.3461077088200013</v>
      </c>
      <c r="N39" s="41">
        <f>('Shell Balance Sheet'!E24+'Shell Balance Sheet'!E25)/('Shell Balance Sheet'!E43+'Shell Balance Sheet'!E44)</f>
        <v>1.4048309887186148</v>
      </c>
      <c r="O39" s="41">
        <f>('Shell Balance Sheet'!G24+'Shell Balance Sheet'!G25)/('Shell Balance Sheet'!G43+'Shell Balance Sheet'!G44)</f>
        <v>1.367872657879335</v>
      </c>
    </row>
    <row r="40" spans="2:15">
      <c r="E40" s="4" t="s">
        <v>68</v>
      </c>
    </row>
    <row r="42" spans="2:15">
      <c r="B42">
        <v>2</v>
      </c>
      <c r="C42" s="1" t="s">
        <v>81</v>
      </c>
      <c r="D42" t="s">
        <v>7</v>
      </c>
      <c r="E42" s="39" t="s">
        <v>82</v>
      </c>
      <c r="G42" s="40" t="s">
        <v>83</v>
      </c>
      <c r="I42" s="41">
        <f>(('BP Balance Sheet'!C31+'BP Balance Sheet'!C32)-'BP Balance Sheet'!C24)/'BP Balance Sheet'!C46</f>
        <v>0.96791138240050578</v>
      </c>
      <c r="J42" s="41">
        <f>(('BP Balance Sheet'!E31+'BP Balance Sheet'!E32)-'BP Balance Sheet'!E24)/'BP Balance Sheet'!E46</f>
        <v>0.94480587374241964</v>
      </c>
      <c r="K42" s="41">
        <f>(('BP Balance Sheet'!G31+'BP Balance Sheet'!G32)-'BP Balance Sheet'!G24)/'BP Balance Sheet'!G46</f>
        <v>0.80396493566826233</v>
      </c>
      <c r="M42" s="41">
        <f>(('Shell Balance Sheet'!C43+'Shell Balance Sheet'!C44)-'Shell Balance Sheet'!C20)/'Shell Balance Sheet'!C45</f>
        <v>0.75349874781657089</v>
      </c>
      <c r="N42" s="41">
        <f>(('Shell Balance Sheet'!E43+'Shell Balance Sheet'!E44)-'Shell Balance Sheet'!E20)/'Shell Balance Sheet'!E45</f>
        <v>0.72745556056019356</v>
      </c>
      <c r="O42" s="41">
        <f>(('Shell Balance Sheet'!G43+'Shell Balance Sheet'!G44)-'Shell Balance Sheet'!G20)/'Shell Balance Sheet'!G45</f>
        <v>0.73708896967298931</v>
      </c>
    </row>
    <row r="43" spans="2:15">
      <c r="E43" s="4" t="s">
        <v>68</v>
      </c>
    </row>
    <row r="45" spans="2:15">
      <c r="B45" s="2" t="s">
        <v>84</v>
      </c>
    </row>
    <row r="47" spans="2:15">
      <c r="B47" s="1">
        <v>1</v>
      </c>
      <c r="C47" s="1" t="s">
        <v>88</v>
      </c>
      <c r="D47" s="1" t="s">
        <v>7</v>
      </c>
      <c r="E47" s="39" t="s">
        <v>90</v>
      </c>
      <c r="I47" s="199">
        <f>'BP Balance Sheet'!C52/'BP Balance Sheet'!C64</f>
        <v>0.70319722158379938</v>
      </c>
      <c r="J47" s="199">
        <f>'BP Balance Sheet'!E52/'BP Balance Sheet'!E64</f>
        <v>0.56928637432304396</v>
      </c>
      <c r="K47" s="199">
        <f>'BP Balance Sheet'!G52/'BP Balance Sheet'!G64</f>
        <v>0.52712374984937949</v>
      </c>
      <c r="L47" s="200"/>
      <c r="M47" s="199">
        <f>'Shell Balance Sheet'!C30/'Shell Balance Sheet'!C59</f>
        <v>0.36326095644065537</v>
      </c>
      <c r="N47" s="199">
        <f>'Shell Balance Sheet'!E30/'Shell Balance Sheet'!E59</f>
        <v>0.38017222157335345</v>
      </c>
      <c r="O47" s="199">
        <f>'Shell Balance Sheet'!G30/'Shell Balance Sheet'!G59</f>
        <v>0.38834457442223919</v>
      </c>
    </row>
    <row r="48" spans="2:15">
      <c r="C48" s="1"/>
      <c r="D48" s="1"/>
      <c r="E48" s="4" t="s">
        <v>89</v>
      </c>
    </row>
    <row r="50" spans="2:15">
      <c r="B50" s="1">
        <v>2</v>
      </c>
      <c r="C50" s="1" t="s">
        <v>91</v>
      </c>
      <c r="D50" s="1" t="s">
        <v>7</v>
      </c>
      <c r="E50" s="39" t="s">
        <v>90</v>
      </c>
      <c r="G50" s="24" t="s">
        <v>93</v>
      </c>
      <c r="I50" s="42">
        <f>'BP Balance Sheet'!C52/('BP Balance Sheet'!C52+'BP Balance Sheet'!C64)</f>
        <v>0.4128689341859646</v>
      </c>
      <c r="J50" s="42">
        <f>'BP Balance Sheet'!E52/('BP Balance Sheet'!E52+'BP Balance Sheet'!E64)</f>
        <v>0.36276767812288035</v>
      </c>
      <c r="K50" s="42">
        <f>'BP Balance Sheet'!G52/('BP Balance Sheet'!G52+'BP Balance Sheet'!G64)</f>
        <v>0.34517422042671381</v>
      </c>
      <c r="M50" s="42">
        <f>'Shell Balance Sheet'!C30/('Shell Balance Sheet'!C30+'Shell Balance Sheet'!C59)</f>
        <v>0.26646472542505373</v>
      </c>
      <c r="N50" s="42">
        <f>'Shell Balance Sheet'!E30/('Shell Balance Sheet'!E30+'Shell Balance Sheet'!E59)</f>
        <v>0.2754527410644223</v>
      </c>
      <c r="O50" s="42">
        <f>'Shell Balance Sheet'!G30/('Shell Balance Sheet'!G30+'Shell Balance Sheet'!G59)</f>
        <v>0.27971771675187274</v>
      </c>
    </row>
    <row r="51" spans="2:15">
      <c r="E51" s="4" t="s">
        <v>92</v>
      </c>
    </row>
    <row r="53" spans="2:15" ht="16.2" thickBot="1">
      <c r="B53" s="1">
        <v>3</v>
      </c>
      <c r="C53" s="1" t="s">
        <v>94</v>
      </c>
      <c r="D53" s="1" t="s">
        <v>7</v>
      </c>
      <c r="E53" s="3" t="s">
        <v>95</v>
      </c>
      <c r="G53" s="43" t="s">
        <v>97</v>
      </c>
      <c r="I53" s="44">
        <f>'Income Statement BP'!C23/('Income Statement BP'!C25+'Income Statement BP'!C26)</f>
        <v>2.5021040974529347</v>
      </c>
      <c r="J53" s="44">
        <f>'Income Statement BP'!E23/('Income Statement BP'!E25+'Income Statement BP'!E26)</f>
        <v>7.5987774381772715</v>
      </c>
      <c r="K53" s="44">
        <f>'Income Statement BP'!G23/('Income Statement BP'!G25+'Income Statement BP'!G26)</f>
        <v>6.8485193621867886</v>
      </c>
      <c r="M53" s="44">
        <f>('Shell Income Statement'!C20-'Shell Income Statement'!C22)/'Shell Income Statement'!C22</f>
        <v>6.2506789220806347</v>
      </c>
      <c r="N53" s="44">
        <f>('Shell Income Statement'!E20-'Shell Income Statement'!E22)/'Shell Income Statement'!E22</f>
        <v>6.9820243954632994</v>
      </c>
      <c r="O53" s="44">
        <f>('Shell Income Statement'!G20-'Shell Income Statement'!G22)/'Shell Income Statement'!G22</f>
        <v>20.375668028921723</v>
      </c>
    </row>
    <row r="54" spans="2:15">
      <c r="E54" s="4" t="s">
        <v>96</v>
      </c>
    </row>
    <row r="57" spans="2:15">
      <c r="B57" s="1" t="s">
        <v>99</v>
      </c>
    </row>
    <row r="59" spans="2:15">
      <c r="B59" s="1">
        <v>1</v>
      </c>
      <c r="C59" s="1" t="s">
        <v>104</v>
      </c>
      <c r="D59" s="1" t="s">
        <v>7</v>
      </c>
      <c r="E59" s="39" t="s">
        <v>114</v>
      </c>
      <c r="I59" s="13">
        <f>'Income Statement BP'!C64</f>
        <v>2.38</v>
      </c>
      <c r="J59" s="13">
        <f>'Income Statement BP'!E64</f>
        <v>87.78</v>
      </c>
      <c r="K59" s="13">
        <f>'Income Statement BP'!G64</f>
        <v>-13.1</v>
      </c>
      <c r="M59" s="13">
        <f>'Shell Income Statement'!C56</f>
        <v>2.5499999999999998</v>
      </c>
      <c r="N59" s="13">
        <f>'Shell Income Statement'!E56</f>
        <v>2.88</v>
      </c>
      <c r="O59" s="13">
        <f>'Shell Income Statement'!G56</f>
        <v>5.76</v>
      </c>
    </row>
    <row r="60" spans="2:15">
      <c r="E60" s="4" t="s">
        <v>265</v>
      </c>
    </row>
    <row r="62" spans="2:15">
      <c r="B62" s="1">
        <v>2</v>
      </c>
      <c r="C62" s="1" t="s">
        <v>109</v>
      </c>
      <c r="D62" s="1" t="s">
        <v>7</v>
      </c>
      <c r="E62" s="47" t="s">
        <v>110</v>
      </c>
      <c r="I62" s="49">
        <f>'Company Valuation'!D11/I59</f>
        <v>2.0640756302521011</v>
      </c>
      <c r="J62" s="49">
        <f>'Company Valuation'!E11/J59</f>
        <v>6.7442526771474137E-2</v>
      </c>
      <c r="K62" s="99">
        <f>'Company Valuation'!F11/K59</f>
        <v>-0.4386480916030534</v>
      </c>
      <c r="M62" s="49">
        <f>(2476/100)/M59</f>
        <v>9.7098039215686285</v>
      </c>
      <c r="N62" s="50">
        <f>(2571.5/100)/N59</f>
        <v>8.9288194444444446</v>
      </c>
      <c r="O62" s="50">
        <f>(2326/100)/O59</f>
        <v>4.0381944444444446</v>
      </c>
    </row>
    <row r="63" spans="2:15">
      <c r="E63" s="48" t="s">
        <v>104</v>
      </c>
    </row>
    <row r="65" spans="2:15">
      <c r="B65" s="1">
        <v>3</v>
      </c>
      <c r="C65" s="1" t="s">
        <v>111</v>
      </c>
      <c r="D65" s="1" t="s">
        <v>7</v>
      </c>
      <c r="E65" s="39" t="s">
        <v>100</v>
      </c>
      <c r="I65" s="49">
        <f>I59/23.72</f>
        <v>0.10033726812816189</v>
      </c>
      <c r="J65" s="50">
        <f>J59/22.33</f>
        <v>3.931034482758621</v>
      </c>
      <c r="K65" s="50">
        <f>K59/18.62</f>
        <v>-0.70354457572502682</v>
      </c>
      <c r="M65" s="49">
        <f>M59/1.376</f>
        <v>1.8531976744186047</v>
      </c>
      <c r="N65" s="50">
        <f>N59/1.237</f>
        <v>2.3282134195634598</v>
      </c>
      <c r="O65" s="50">
        <f>O59/0.99</f>
        <v>5.8181818181818183</v>
      </c>
    </row>
    <row r="66" spans="2:15">
      <c r="B66" s="1"/>
      <c r="C66" s="1"/>
      <c r="D66" s="1"/>
      <c r="E66" s="4" t="s">
        <v>112</v>
      </c>
    </row>
    <row r="68" spans="2:15">
      <c r="B68" s="1">
        <v>4</v>
      </c>
      <c r="C68" s="1" t="s">
        <v>113</v>
      </c>
      <c r="D68" s="1" t="s">
        <v>7</v>
      </c>
      <c r="E68" s="39" t="s">
        <v>112</v>
      </c>
      <c r="I68" s="51">
        <f>23.72/(393*1.25)</f>
        <v>4.828498727735369E-2</v>
      </c>
      <c r="J68" s="52">
        <f>22.33/(466.15*1.27)</f>
        <v>3.7718925593380519E-2</v>
      </c>
      <c r="K68" s="52">
        <f>18.62/(474.9*1.21)</f>
        <v>3.240351600771977E-2</v>
      </c>
      <c r="M68" s="51">
        <f>1.376/((2476/100)*1.25)</f>
        <v>4.445880452342487E-2</v>
      </c>
      <c r="N68" s="52">
        <f>1.237/((2571.5/100)*1.27)</f>
        <v>3.7877338052945596E-2</v>
      </c>
      <c r="O68" s="52">
        <f>0.99/((2326/100)*1.21)</f>
        <v>3.5175486594231219E-2</v>
      </c>
    </row>
    <row r="69" spans="2:15">
      <c r="B69" s="1"/>
      <c r="C69" s="1"/>
      <c r="D69" s="1"/>
      <c r="E69" s="48" t="s">
        <v>110</v>
      </c>
    </row>
  </sheetData>
  <mergeCells count="2">
    <mergeCell ref="I2:K2"/>
    <mergeCell ref="M2:O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D58A2-EAD9-C844-A84F-BB1BEDC537F0}">
  <dimension ref="B2:R301"/>
  <sheetViews>
    <sheetView zoomScale="72" zoomScaleNormal="100" workbookViewId="0">
      <selection activeCell="D240" sqref="D240"/>
    </sheetView>
  </sheetViews>
  <sheetFormatPr defaultColWidth="11.19921875" defaultRowHeight="15.6"/>
  <cols>
    <col min="2" max="2" width="16.59765625" customWidth="1"/>
    <col min="3" max="3" width="9" bestFit="1" customWidth="1"/>
    <col min="4" max="4" width="9.19921875" bestFit="1" customWidth="1"/>
    <col min="5" max="5" width="8.19921875" bestFit="1" customWidth="1"/>
    <col min="6" max="7" width="5.19921875" bestFit="1" customWidth="1"/>
    <col min="8" max="8" width="7.296875" bestFit="1" customWidth="1"/>
    <col min="9" max="10" width="5.19921875" bestFit="1" customWidth="1"/>
  </cols>
  <sheetData>
    <row r="2" spans="2:6">
      <c r="B2" s="1" t="s">
        <v>118</v>
      </c>
    </row>
    <row r="3" spans="2:6">
      <c r="B3" s="1"/>
      <c r="C3" s="1">
        <v>2022</v>
      </c>
      <c r="D3" s="1">
        <v>2023</v>
      </c>
      <c r="E3" s="1">
        <v>2024</v>
      </c>
    </row>
    <row r="4" spans="2:6">
      <c r="B4" t="s">
        <v>275</v>
      </c>
      <c r="C4" s="46">
        <f>'Industry Ratio Analysis'!K6</f>
        <v>0.14233524807473805</v>
      </c>
      <c r="D4" s="46">
        <f>'Industry Ratio Analysis'!J6</f>
        <v>0.2038415956709376</v>
      </c>
      <c r="E4" s="46">
        <f>'Industry Ratio Analysis'!I6</f>
        <v>8.4690871198206771E-2</v>
      </c>
      <c r="F4" s="46"/>
    </row>
    <row r="5" spans="2:6">
      <c r="B5" t="s">
        <v>270</v>
      </c>
      <c r="C5" s="46">
        <f>'Ratios Calculation'!O5</f>
        <v>0.11414744699709414</v>
      </c>
      <c r="D5" s="46">
        <f>'Ratios Calculation'!N5</f>
        <v>2.2529349314541567E-2</v>
      </c>
      <c r="E5" s="46">
        <f>'Ratios Calculation'!M5</f>
        <v>2.8479415021822684E-2</v>
      </c>
      <c r="F5" s="46"/>
    </row>
    <row r="6" spans="2:6">
      <c r="C6" s="46"/>
      <c r="D6" s="46"/>
      <c r="E6" s="46"/>
    </row>
    <row r="8" spans="2:6">
      <c r="C8" s="46"/>
      <c r="D8" s="46"/>
    </row>
    <row r="9" spans="2:6">
      <c r="C9" s="46"/>
      <c r="D9" s="46"/>
    </row>
    <row r="17" spans="2:6">
      <c r="B17" s="1" t="s">
        <v>117</v>
      </c>
      <c r="C17" s="1"/>
      <c r="D17" s="1"/>
      <c r="E17" s="1"/>
      <c r="F17" s="1"/>
    </row>
    <row r="18" spans="2:6">
      <c r="B18" s="1"/>
      <c r="C18" s="1" t="s">
        <v>55</v>
      </c>
      <c r="D18" s="1" t="s">
        <v>276</v>
      </c>
      <c r="E18" s="1" t="s">
        <v>270</v>
      </c>
      <c r="F18" s="1"/>
    </row>
    <row r="19" spans="2:6">
      <c r="B19">
        <v>2022</v>
      </c>
      <c r="C19" s="46">
        <f>'Industry Ratio Analysis'!G7</f>
        <v>-1.577</v>
      </c>
      <c r="D19" s="46">
        <f>'Industry Ratio Analysis'!K7</f>
        <v>-1.6351367634654779E-2</v>
      </c>
      <c r="E19" s="46">
        <f>'Industry Ratio Analysis'!O7</f>
        <v>0.22260990565792821</v>
      </c>
    </row>
    <row r="20" spans="2:6">
      <c r="B20">
        <v>2023</v>
      </c>
      <c r="C20" s="46">
        <f>'Industry Ratio Analysis'!F7</f>
        <v>-0.218</v>
      </c>
      <c r="D20" s="46">
        <f>'Industry Ratio Analysis'!J7</f>
        <v>0.18574620144339302</v>
      </c>
      <c r="E20" s="46">
        <f>'Industry Ratio Analysis'!N7</f>
        <v>0.10424607935783226</v>
      </c>
    </row>
    <row r="21" spans="2:6">
      <c r="B21">
        <v>2024</v>
      </c>
      <c r="C21" s="46"/>
      <c r="D21" s="46">
        <f>'Industry Ratio Analysis'!I7</f>
        <v>1.5692433412497764E-2</v>
      </c>
      <c r="E21" s="46">
        <f>'Industry Ratio Analysis'!M7</f>
        <v>9.1697748767816709E-2</v>
      </c>
    </row>
    <row r="22" spans="2:6">
      <c r="C22" s="46"/>
      <c r="D22" s="46"/>
      <c r="E22" s="46"/>
    </row>
    <row r="33" spans="2:6">
      <c r="B33" s="1" t="s">
        <v>5</v>
      </c>
      <c r="C33" s="1"/>
      <c r="D33" s="1"/>
      <c r="E33" s="1"/>
    </row>
    <row r="34" spans="2:6">
      <c r="B34" s="1"/>
      <c r="C34" s="1">
        <v>2022</v>
      </c>
      <c r="D34" s="1">
        <v>2023</v>
      </c>
      <c r="E34" s="1">
        <v>2024</v>
      </c>
    </row>
    <row r="35" spans="2:6">
      <c r="B35" t="s">
        <v>276</v>
      </c>
      <c r="C35" s="57">
        <f>'Industry Ratio Analysis'!K8</f>
        <v>1.9046837520515087</v>
      </c>
      <c r="D35" s="57">
        <f>'Industry Ratio Analysis'!J8</f>
        <v>1.5662291391814436</v>
      </c>
      <c r="E35" s="57">
        <f>'Industry Ratio Analysis'!I8</f>
        <v>1.4182740964532841</v>
      </c>
      <c r="F35" s="57"/>
    </row>
    <row r="36" spans="2:6">
      <c r="B36" t="s">
        <v>270</v>
      </c>
      <c r="C36" s="58">
        <f>'Industry Ratio Analysis'!O8</f>
        <v>1.4260539808744497</v>
      </c>
      <c r="D36" s="58">
        <f>'Industry Ratio Analysis'!N8</f>
        <v>1.217900389272691</v>
      </c>
      <c r="E36" s="58">
        <f>'Industry Ratio Analysis'!M8</f>
        <v>1.157546739626083</v>
      </c>
      <c r="F36" s="58"/>
    </row>
    <row r="52" spans="2:5">
      <c r="B52" s="1" t="s">
        <v>16</v>
      </c>
      <c r="C52" s="1"/>
      <c r="D52" s="1"/>
      <c r="E52" s="1"/>
    </row>
    <row r="53" spans="2:5">
      <c r="B53" s="1"/>
      <c r="C53" s="1" t="s">
        <v>55</v>
      </c>
      <c r="D53" s="1" t="s">
        <v>276</v>
      </c>
      <c r="E53" s="1" t="s">
        <v>270</v>
      </c>
    </row>
    <row r="54" spans="2:5">
      <c r="B54">
        <v>2022</v>
      </c>
      <c r="C54" s="46">
        <f>'Industry Ratio Analysis'!G9</f>
        <v>0.44800000000000001</v>
      </c>
      <c r="D54" s="46">
        <f>'Industry Ratio Analysis'!K9</f>
        <v>0.25930851063829785</v>
      </c>
      <c r="E54" s="46">
        <f ca="1">'Industry Ratio Analysis'!O9</f>
        <v>0.22973192696832531</v>
      </c>
    </row>
    <row r="55" spans="2:5">
      <c r="B55">
        <v>2023</v>
      </c>
      <c r="C55" s="46">
        <f>'Industry Ratio Analysis'!F9</f>
        <v>0.34699999999999998</v>
      </c>
      <c r="D55" s="46">
        <f>'Industry Ratio Analysis'!J9</f>
        <v>0.24258316280397849</v>
      </c>
      <c r="E55" s="46">
        <f ca="1">'Industry Ratio Analysis'!N9</f>
        <v>0.22069673425557451</v>
      </c>
    </row>
    <row r="56" spans="2:5">
      <c r="B56">
        <v>2024</v>
      </c>
      <c r="C56" s="46"/>
      <c r="D56" s="46">
        <f>'Industry Ratio Analysis'!I9</f>
        <v>0.1834659196025055</v>
      </c>
      <c r="E56" s="46">
        <f ca="1">'Industry Ratio Analysis'!M9</f>
        <v>0.22046202763161596</v>
      </c>
    </row>
    <row r="57" spans="2:5">
      <c r="C57" s="46"/>
      <c r="D57" s="46"/>
      <c r="E57" s="46"/>
    </row>
    <row r="69" spans="2:6">
      <c r="B69" s="1" t="s">
        <v>18</v>
      </c>
      <c r="C69" s="1"/>
      <c r="D69" s="1"/>
      <c r="E69" s="1"/>
    </row>
    <row r="70" spans="2:6">
      <c r="B70" s="1"/>
      <c r="C70" s="1">
        <v>2022</v>
      </c>
      <c r="D70" s="1">
        <v>2023</v>
      </c>
      <c r="E70" s="1">
        <v>2024</v>
      </c>
    </row>
    <row r="71" spans="2:6">
      <c r="B71" t="s">
        <v>276</v>
      </c>
      <c r="C71" s="59">
        <f>'Industry Ratio Analysis'!K10</f>
        <v>-5.6215616093325382E-3</v>
      </c>
      <c r="D71" s="59">
        <f>'Industry Ratio Analysis'!J10</f>
        <v>7.557226478846428E-2</v>
      </c>
      <c r="E71" s="59">
        <f>'Industry Ratio Analysis'!I10</f>
        <v>6.4962867034912917E-3</v>
      </c>
      <c r="F71" s="59"/>
    </row>
    <row r="72" spans="2:6">
      <c r="B72" t="s">
        <v>270</v>
      </c>
      <c r="C72" s="59">
        <f>'Industry Ratio Analysis'!M10</f>
        <v>5.8108697487267512E-2</v>
      </c>
      <c r="D72" s="59">
        <f>'Industry Ratio Analysis'!N10</f>
        <v>6.2017560482597434E-2</v>
      </c>
      <c r="E72" s="59">
        <f>'Industry Ratio Analysis'!O10</f>
        <v>0.1124375186853879</v>
      </c>
      <c r="F72" s="59"/>
    </row>
    <row r="87" spans="2:6">
      <c r="B87" s="1" t="s">
        <v>64</v>
      </c>
      <c r="C87" s="1"/>
      <c r="D87" s="1"/>
      <c r="E87" s="1"/>
    </row>
    <row r="88" spans="2:6">
      <c r="B88" s="1" t="s">
        <v>116</v>
      </c>
      <c r="C88" s="1">
        <v>2022</v>
      </c>
      <c r="D88" s="1">
        <v>2023</v>
      </c>
      <c r="E88" s="1">
        <v>2024</v>
      </c>
    </row>
    <row r="89" spans="2:6">
      <c r="B89" t="s">
        <v>276</v>
      </c>
      <c r="C89" s="59">
        <f>'Industry Ratio Analysis'!K11</f>
        <v>0.77175714191025391</v>
      </c>
      <c r="D89" s="59">
        <f>'Industry Ratio Analysis'!J11</f>
        <v>0.77122733545900157</v>
      </c>
      <c r="E89" s="59">
        <f>'Industry Ratio Analysis'!I11</f>
        <v>0.8453101461532363</v>
      </c>
      <c r="F89" s="59"/>
    </row>
    <row r="90" spans="2:6">
      <c r="B90" t="s">
        <v>270</v>
      </c>
      <c r="C90" s="59">
        <f ca="1">'Industry Ratio Analysis'!O11</f>
        <v>0.78308428224507887</v>
      </c>
      <c r="D90" s="59">
        <f ca="1">'Industry Ratio Analysis'!N11</f>
        <v>0.80003158360179394</v>
      </c>
      <c r="E90" s="59">
        <f ca="1">'Industry Ratio Analysis'!M11</f>
        <v>0.79612890064436248</v>
      </c>
      <c r="F90" s="59"/>
    </row>
    <row r="105" spans="2:5">
      <c r="B105" s="1" t="s">
        <v>22</v>
      </c>
      <c r="C105" s="1"/>
      <c r="D105" s="1"/>
      <c r="E105" s="1"/>
    </row>
    <row r="106" spans="2:5">
      <c r="B106" s="1"/>
      <c r="C106" s="1" t="s">
        <v>55</v>
      </c>
      <c r="D106" s="1" t="s">
        <v>276</v>
      </c>
      <c r="E106" s="1" t="s">
        <v>270</v>
      </c>
    </row>
    <row r="107" spans="2:5">
      <c r="B107">
        <v>2022</v>
      </c>
      <c r="C107" s="5">
        <f>'Industry Ratio Analysis'!G13</f>
        <v>47</v>
      </c>
      <c r="D107" s="5">
        <f>'Industry Ratio Analysis'!K13</f>
        <v>55.017633228840126</v>
      </c>
      <c r="E107" s="5">
        <f ca="1">'Industry Ratio Analysis'!O13</f>
        <v>38.986172182946468</v>
      </c>
    </row>
    <row r="108" spans="2:5">
      <c r="B108">
        <v>2023</v>
      </c>
      <c r="C108" s="5">
        <f>'Industry Ratio Analysis'!F13</f>
        <v>105</v>
      </c>
      <c r="D108" s="5">
        <f>'Industry Ratio Analysis'!J13</f>
        <v>51.394778412667073</v>
      </c>
      <c r="E108" s="5">
        <f ca="1">'Industry Ratio Analysis'!N13</f>
        <v>37.491946499490737</v>
      </c>
    </row>
    <row r="109" spans="2:5">
      <c r="B109">
        <v>2024</v>
      </c>
      <c r="C109" s="5"/>
      <c r="D109" s="5">
        <f>'Industry Ratio Analysis'!I13</f>
        <v>53.02451225612807</v>
      </c>
      <c r="E109" s="5">
        <f ca="1">'Industry Ratio Analysis'!M13</f>
        <v>37.775691520616391</v>
      </c>
    </row>
    <row r="110" spans="2:5">
      <c r="C110" s="5"/>
      <c r="D110" s="5"/>
      <c r="E110" s="5"/>
    </row>
    <row r="122" spans="2:5">
      <c r="B122" s="1" t="s">
        <v>23</v>
      </c>
      <c r="C122" s="1"/>
      <c r="D122" s="1"/>
      <c r="E122" s="1"/>
    </row>
    <row r="123" spans="2:5">
      <c r="B123" s="1"/>
      <c r="C123" s="1"/>
      <c r="D123" s="1"/>
      <c r="E123" s="1"/>
    </row>
    <row r="124" spans="2:5">
      <c r="B124" s="1"/>
      <c r="C124" s="1" t="s">
        <v>55</v>
      </c>
      <c r="D124" s="1" t="s">
        <v>276</v>
      </c>
      <c r="E124" s="1" t="s">
        <v>270</v>
      </c>
    </row>
    <row r="125" spans="2:5">
      <c r="B125">
        <v>2022</v>
      </c>
      <c r="C125" s="5">
        <f>'Industry Ratio Analysis'!G14</f>
        <v>54</v>
      </c>
      <c r="D125" s="5">
        <f>'Industry Ratio Analysis'!K14</f>
        <v>53.076448266719687</v>
      </c>
      <c r="E125" s="5">
        <f>'Industry Ratio Analysis'!O14</f>
        <v>70.288397488683856</v>
      </c>
    </row>
    <row r="126" spans="2:5">
      <c r="B126">
        <v>2023</v>
      </c>
      <c r="C126" s="5">
        <f>'Industry Ratio Analysis'!F14</f>
        <v>57</v>
      </c>
      <c r="D126" s="5">
        <f>'Industry Ratio Analysis'!J14</f>
        <v>57.130585827820873</v>
      </c>
      <c r="E126" s="5">
        <f>'Industry Ratio Analysis'!N14</f>
        <v>68.67353610005685</v>
      </c>
    </row>
    <row r="127" spans="2:5">
      <c r="B127">
        <v>2024</v>
      </c>
      <c r="C127" s="5"/>
      <c r="D127" s="5">
        <f>'Industry Ratio Analysis'!I14</f>
        <v>55.8386235695219</v>
      </c>
      <c r="E127" s="5">
        <f>'Industry Ratio Analysis'!M14</f>
        <v>66.601022820000551</v>
      </c>
    </row>
    <row r="128" spans="2:5">
      <c r="C128" s="5"/>
      <c r="D128" s="5"/>
      <c r="E128" s="5"/>
    </row>
    <row r="138" spans="2:6">
      <c r="B138" s="1" t="s">
        <v>24</v>
      </c>
    </row>
    <row r="139" spans="2:6">
      <c r="C139" s="1">
        <v>2022</v>
      </c>
      <c r="D139" s="1">
        <v>2023</v>
      </c>
      <c r="E139" s="1">
        <v>2024</v>
      </c>
    </row>
    <row r="140" spans="2:6">
      <c r="B140" t="s">
        <v>276</v>
      </c>
      <c r="C140" s="61">
        <f>'Industry Ratio Analysis'!K15</f>
        <v>125.36050156739812</v>
      </c>
      <c r="D140" s="61">
        <f>'Industry Ratio Analysis'!J15</f>
        <v>137.73818632835159</v>
      </c>
      <c r="E140" s="61">
        <f>'Industry Ratio Analysis'!I15</f>
        <v>133.31675212606305</v>
      </c>
      <c r="F140" s="61"/>
    </row>
    <row r="141" spans="2:6">
      <c r="B141" t="s">
        <v>270</v>
      </c>
      <c r="C141" s="61">
        <f ca="1">'Industry Ratio Analysis'!M15</f>
        <v>103.17604672430627</v>
      </c>
      <c r="D141" s="61">
        <f ca="1">'Industry Ratio Analysis'!N15</f>
        <v>102.79701230922284</v>
      </c>
      <c r="E141" s="61">
        <f ca="1">'Industry Ratio Analysis'!O15</f>
        <v>101.19853918774551</v>
      </c>
      <c r="F141" s="61"/>
    </row>
    <row r="153" spans="2:6">
      <c r="B153" s="1" t="s">
        <v>25</v>
      </c>
    </row>
    <row r="154" spans="2:6">
      <c r="C154" s="1">
        <v>2022</v>
      </c>
      <c r="D154" s="1">
        <v>2023</v>
      </c>
      <c r="E154" s="1">
        <v>2024</v>
      </c>
    </row>
    <row r="155" spans="2:6">
      <c r="B155" t="s">
        <v>276</v>
      </c>
      <c r="C155" s="58">
        <f>'Industry Ratio Analysis'!K16</f>
        <v>0.83781757600999585</v>
      </c>
      <c r="D155" s="58">
        <f>'Industry Ratio Analysis'!J16</f>
        <v>0.74967712473331571</v>
      </c>
      <c r="E155" s="58">
        <f>'Industry Ratio Analysis'!I16</f>
        <v>0.67032682795470333</v>
      </c>
      <c r="F155" s="58"/>
    </row>
    <row r="156" spans="2:6">
      <c r="B156" t="s">
        <v>270</v>
      </c>
      <c r="C156" s="58">
        <f>'Industry Ratio Analysis'!O16</f>
        <v>0.8607073205966268</v>
      </c>
      <c r="D156" s="58">
        <f>'Industry Ratio Analysis'!N16</f>
        <v>0.77933394048293003</v>
      </c>
      <c r="E156" s="58">
        <f>'Industry Ratio Analysis'!M16</f>
        <v>0.73350206006568475</v>
      </c>
      <c r="F156" s="58"/>
    </row>
    <row r="168" spans="2:5">
      <c r="B168" s="1" t="s">
        <v>77</v>
      </c>
      <c r="C168" s="1"/>
      <c r="D168" s="1"/>
      <c r="E168" s="1"/>
    </row>
    <row r="169" spans="2:5">
      <c r="B169" s="1"/>
      <c r="C169" s="1" t="s">
        <v>55</v>
      </c>
      <c r="D169" s="1" t="s">
        <v>276</v>
      </c>
      <c r="E169" s="1" t="s">
        <v>270</v>
      </c>
    </row>
    <row r="170" spans="2:5">
      <c r="B170">
        <v>2022</v>
      </c>
      <c r="C170" s="60">
        <f>'Industry Ratio Analysis'!G18</f>
        <v>3.54</v>
      </c>
      <c r="D170" s="60">
        <f>'Industry Ratio Analysis'!K18</f>
        <v>1.087559837605284</v>
      </c>
      <c r="E170" s="60">
        <f>'Industry Ratio Analysis'!O18</f>
        <v>1.367872657879335</v>
      </c>
    </row>
    <row r="171" spans="2:5">
      <c r="B171">
        <v>2023</v>
      </c>
      <c r="C171" s="60">
        <f>'Industry Ratio Analysis'!F18</f>
        <v>3.33</v>
      </c>
      <c r="D171" s="60">
        <f>'Industry Ratio Analysis'!J18</f>
        <v>1.2099026464369524</v>
      </c>
      <c r="E171" s="60">
        <f>'Industry Ratio Analysis'!N18</f>
        <v>1.4048309887186148</v>
      </c>
    </row>
    <row r="172" spans="2:5">
      <c r="B172">
        <v>2024</v>
      </c>
      <c r="C172" s="60"/>
      <c r="D172" s="60">
        <f>'Industry Ratio Analysis'!I18</f>
        <v>1.2503982198660035</v>
      </c>
      <c r="E172" s="60">
        <f>'Industry Ratio Analysis'!M18</f>
        <v>1.3461077088200013</v>
      </c>
    </row>
    <row r="173" spans="2:5">
      <c r="C173" s="60"/>
      <c r="D173" s="60"/>
      <c r="E173" s="60"/>
    </row>
    <row r="183" spans="2:5">
      <c r="B183" s="1" t="s">
        <v>119</v>
      </c>
      <c r="C183" s="1"/>
      <c r="D183" s="1"/>
      <c r="E183" s="1"/>
    </row>
    <row r="184" spans="2:5">
      <c r="B184" s="1"/>
      <c r="C184" s="1" t="s">
        <v>55</v>
      </c>
      <c r="D184" s="1" t="s">
        <v>276</v>
      </c>
      <c r="E184" s="1" t="s">
        <v>270</v>
      </c>
    </row>
    <row r="185" spans="2:5">
      <c r="B185">
        <v>2022</v>
      </c>
      <c r="C185" s="60">
        <f>'Industry Ratio Analysis'!G19</f>
        <v>2.74</v>
      </c>
      <c r="D185" s="60">
        <f>'Industry Ratio Analysis'!K19</f>
        <v>0.80396493566826233</v>
      </c>
      <c r="E185" s="60">
        <f>'Industry Ratio Analysis'!O19</f>
        <v>0.73708896967298931</v>
      </c>
    </row>
    <row r="186" spans="2:5">
      <c r="B186">
        <v>2023</v>
      </c>
      <c r="C186" s="60">
        <f>'Industry Ratio Analysis'!F19</f>
        <v>2.87</v>
      </c>
      <c r="D186" s="60">
        <f>'Industry Ratio Analysis'!J19</f>
        <v>0.94480587374241964</v>
      </c>
      <c r="E186" s="60">
        <f>'Industry Ratio Analysis'!N19</f>
        <v>0.72745556056019356</v>
      </c>
    </row>
    <row r="187" spans="2:5">
      <c r="B187">
        <v>2024</v>
      </c>
      <c r="C187" s="60"/>
      <c r="D187" s="60">
        <f>'Industry Ratio Analysis'!I19</f>
        <v>0.96791138240050578</v>
      </c>
      <c r="E187" s="60">
        <f>'Industry Ratio Analysis'!M19</f>
        <v>0.75349874781657089</v>
      </c>
    </row>
    <row r="188" spans="2:5">
      <c r="C188" s="60"/>
      <c r="D188" s="60"/>
      <c r="E188" s="60"/>
    </row>
    <row r="198" spans="2:5">
      <c r="B198" s="1" t="s">
        <v>88</v>
      </c>
      <c r="C198" s="1"/>
      <c r="D198" s="1"/>
      <c r="E198" s="1"/>
    </row>
    <row r="199" spans="2:5">
      <c r="B199" s="1"/>
      <c r="C199" s="1" t="s">
        <v>55</v>
      </c>
      <c r="D199" s="1" t="s">
        <v>276</v>
      </c>
      <c r="E199" s="1" t="s">
        <v>270</v>
      </c>
    </row>
    <row r="200" spans="2:5">
      <c r="B200">
        <v>2022</v>
      </c>
      <c r="C200" s="60">
        <f>'Industry Ratio Analysis'!G21</f>
        <v>2.5099999999999998</v>
      </c>
      <c r="D200" s="60">
        <f>'Industry Ratio Analysis'!K21</f>
        <v>0.52712374984937949</v>
      </c>
      <c r="E200" s="60">
        <f>'Industry Ratio Analysis'!O21</f>
        <v>0.38834457442223919</v>
      </c>
    </row>
    <row r="201" spans="2:5">
      <c r="B201">
        <v>2023</v>
      </c>
      <c r="C201" s="60">
        <f>'Industry Ratio Analysis'!F21</f>
        <v>1.38</v>
      </c>
      <c r="D201" s="60">
        <f>'Industry Ratio Analysis'!J21</f>
        <v>0.56928637432304396</v>
      </c>
      <c r="E201" s="60">
        <f>'Industry Ratio Analysis'!N21</f>
        <v>0.38017222157335345</v>
      </c>
    </row>
    <row r="202" spans="2:5">
      <c r="B202">
        <v>2024</v>
      </c>
      <c r="C202" s="60"/>
      <c r="D202" s="60">
        <f>'Industry Ratio Analysis'!I21</f>
        <v>0.70319722158379938</v>
      </c>
      <c r="E202" s="60">
        <f>'Industry Ratio Analysis'!M21</f>
        <v>0.36326095644065537</v>
      </c>
    </row>
    <row r="203" spans="2:5">
      <c r="C203" s="60"/>
      <c r="D203" s="60"/>
      <c r="E203" s="60"/>
    </row>
    <row r="215" spans="2:18">
      <c r="B215" s="1" t="s">
        <v>91</v>
      </c>
      <c r="C215" s="1"/>
      <c r="D215" s="1"/>
      <c r="E215" s="1"/>
    </row>
    <row r="216" spans="2:18">
      <c r="B216" s="1" t="s">
        <v>116</v>
      </c>
      <c r="C216" s="1">
        <v>2022</v>
      </c>
      <c r="D216" s="1">
        <v>2023</v>
      </c>
      <c r="E216" s="1">
        <v>2024</v>
      </c>
    </row>
    <row r="217" spans="2:18">
      <c r="B217" t="s">
        <v>276</v>
      </c>
      <c r="C217" s="59">
        <f>'Industry Ratio Analysis'!K22</f>
        <v>0.34517422042671381</v>
      </c>
      <c r="D217" s="59">
        <f>'Industry Ratio Analysis'!J22</f>
        <v>0.36276767812288035</v>
      </c>
      <c r="E217" s="59">
        <f>'Industry Ratio Analysis'!I22</f>
        <v>0.4128689341859646</v>
      </c>
      <c r="F217" s="59"/>
    </row>
    <row r="218" spans="2:18">
      <c r="B218" t="s">
        <v>270</v>
      </c>
      <c r="C218" s="59">
        <f>'Industry Ratio Analysis'!O22</f>
        <v>0.27971771675187274</v>
      </c>
      <c r="D218" s="59">
        <f>'Industry Ratio Analysis'!N22</f>
        <v>0.2754527410644223</v>
      </c>
      <c r="E218" s="59">
        <f>'Industry Ratio Analysis'!M22</f>
        <v>0.26646472542505373</v>
      </c>
      <c r="F218" s="59"/>
    </row>
    <row r="220" spans="2:18">
      <c r="R220" s="1"/>
    </row>
    <row r="234" spans="2:5">
      <c r="B234" s="1" t="s">
        <v>120</v>
      </c>
      <c r="C234" s="1"/>
      <c r="D234" s="1"/>
      <c r="E234" s="1"/>
    </row>
    <row r="235" spans="2:5">
      <c r="B235" s="1"/>
      <c r="C235" s="1" t="s">
        <v>55</v>
      </c>
      <c r="D235" s="1" t="s">
        <v>276</v>
      </c>
      <c r="E235" s="1" t="s">
        <v>270</v>
      </c>
    </row>
    <row r="236" spans="2:5">
      <c r="B236">
        <v>2022</v>
      </c>
      <c r="C236" s="60">
        <f>'Industry Ratio Analysis'!G23</f>
        <v>230.47</v>
      </c>
      <c r="D236" s="60">
        <f>'Industry Ratio Analysis'!K23</f>
        <v>6.8485193621867886</v>
      </c>
      <c r="E236" s="60">
        <f>'Industry Ratio Analysis'!O23</f>
        <v>20.375668028921723</v>
      </c>
    </row>
    <row r="237" spans="2:5">
      <c r="B237">
        <v>2023</v>
      </c>
      <c r="C237" s="60">
        <f>'Industry Ratio Analysis'!F23</f>
        <v>46.14</v>
      </c>
      <c r="D237" s="60">
        <f>'Industry Ratio Analysis'!J23</f>
        <v>7.5987774381772715</v>
      </c>
      <c r="E237" s="60">
        <f>'Industry Ratio Analysis'!N23</f>
        <v>6.9820243954632994</v>
      </c>
    </row>
    <row r="238" spans="2:5">
      <c r="B238">
        <v>2024</v>
      </c>
      <c r="C238" s="60"/>
      <c r="D238" s="60">
        <f>'Industry Ratio Analysis'!I23</f>
        <v>2.5021040974529347</v>
      </c>
      <c r="E238" s="60">
        <f>'Industry Ratio Analysis'!M23</f>
        <v>6.2506789220806347</v>
      </c>
    </row>
    <row r="239" spans="2:5">
      <c r="C239" s="60"/>
      <c r="D239" s="60"/>
      <c r="E239" s="60"/>
    </row>
    <row r="251" spans="2:6">
      <c r="B251" s="1" t="s">
        <v>279</v>
      </c>
      <c r="C251" s="1"/>
      <c r="D251" s="1"/>
      <c r="E251" s="1"/>
    </row>
    <row r="252" spans="2:6">
      <c r="B252" s="1"/>
      <c r="C252" s="1">
        <v>2022</v>
      </c>
      <c r="D252" s="1">
        <v>2023</v>
      </c>
      <c r="E252" s="1">
        <v>2024</v>
      </c>
    </row>
    <row r="253" spans="2:6">
      <c r="B253" t="s">
        <v>276</v>
      </c>
      <c r="C253" s="58">
        <f>'Industry Ratio Analysis'!K25</f>
        <v>-13.1</v>
      </c>
      <c r="D253" s="58">
        <f>'Industry Ratio Analysis'!J25</f>
        <v>87.78</v>
      </c>
      <c r="E253" s="58">
        <f>'Industry Ratio Analysis'!I25</f>
        <v>2.38</v>
      </c>
      <c r="F253" s="58"/>
    </row>
    <row r="254" spans="2:6">
      <c r="B254" t="s">
        <v>270</v>
      </c>
      <c r="C254" s="58">
        <f>'Industry Ratio Analysis'!O25</f>
        <v>5.76</v>
      </c>
      <c r="D254" s="58">
        <f>'Industry Ratio Analysis'!N25</f>
        <v>2.88</v>
      </c>
      <c r="E254" s="58">
        <f>'Industry Ratio Analysis'!M25</f>
        <v>2.5499999999999998</v>
      </c>
      <c r="F254" s="58"/>
    </row>
    <row r="265" spans="2:6">
      <c r="B265" s="1" t="s">
        <v>109</v>
      </c>
      <c r="C265" s="1"/>
      <c r="D265" s="1"/>
      <c r="E265" s="1"/>
    </row>
    <row r="266" spans="2:6">
      <c r="B266" s="1"/>
      <c r="C266" s="1">
        <v>2022</v>
      </c>
      <c r="D266" s="1">
        <v>2023</v>
      </c>
      <c r="E266" s="1">
        <v>2024</v>
      </c>
    </row>
    <row r="267" spans="2:6">
      <c r="B267" t="s">
        <v>276</v>
      </c>
      <c r="C267" s="58">
        <f>'Industry Ratio Analysis'!K26</f>
        <v>-0.4386480916030534</v>
      </c>
      <c r="D267" s="58">
        <f>'Industry Ratio Analysis'!J26</f>
        <v>6.7442526771474137E-2</v>
      </c>
      <c r="E267" s="58">
        <f>'Industry Ratio Analysis'!I26</f>
        <v>2.0640756302521011</v>
      </c>
      <c r="F267" s="58"/>
    </row>
    <row r="268" spans="2:6">
      <c r="B268" t="s">
        <v>270</v>
      </c>
      <c r="C268" s="58">
        <f>'Industry Ratio Analysis'!O26</f>
        <v>4.0381944444444446</v>
      </c>
      <c r="D268" s="58">
        <f>'Industry Ratio Analysis'!N26</f>
        <v>8.9288194444444446</v>
      </c>
      <c r="E268" s="58">
        <f>'Industry Ratio Analysis'!M26</f>
        <v>9.7098039215686285</v>
      </c>
      <c r="F268" s="58"/>
    </row>
    <row r="282" spans="2:5">
      <c r="B282" s="1" t="s">
        <v>121</v>
      </c>
      <c r="C282" s="1"/>
      <c r="D282" s="1"/>
      <c r="E282" s="1"/>
    </row>
    <row r="283" spans="2:5">
      <c r="B283" s="1"/>
      <c r="C283" s="1">
        <v>2022</v>
      </c>
      <c r="D283" s="1">
        <v>2023</v>
      </c>
      <c r="E283" s="1">
        <v>2024</v>
      </c>
    </row>
    <row r="284" spans="2:5">
      <c r="B284" t="s">
        <v>276</v>
      </c>
      <c r="C284" s="58">
        <f>'Industry Ratio Analysis'!K27</f>
        <v>-0.70354457572502682</v>
      </c>
      <c r="D284" s="58">
        <f>'Industry Ratio Analysis'!J27</f>
        <v>3.931034482758621</v>
      </c>
      <c r="E284" s="58">
        <f>'Industry Ratio Analysis'!I27</f>
        <v>0.10033726812816189</v>
      </c>
    </row>
    <row r="285" spans="2:5">
      <c r="B285" t="s">
        <v>270</v>
      </c>
      <c r="C285" s="58">
        <f>'Industry Ratio Analysis'!O27</f>
        <v>5.8181818181818183</v>
      </c>
      <c r="D285" s="58">
        <f>'Industry Ratio Analysis'!N27</f>
        <v>2.3282134195634598</v>
      </c>
      <c r="E285" s="58">
        <f>'Industry Ratio Analysis'!M27</f>
        <v>1.8531976744186047</v>
      </c>
    </row>
    <row r="298" spans="2:5">
      <c r="B298" s="1" t="s">
        <v>113</v>
      </c>
      <c r="C298" s="1"/>
      <c r="D298" s="1"/>
      <c r="E298" s="1"/>
    </row>
    <row r="299" spans="2:5">
      <c r="B299" s="1"/>
      <c r="C299" s="1">
        <v>2022</v>
      </c>
      <c r="D299" s="1">
        <v>2023</v>
      </c>
      <c r="E299" s="1">
        <v>2024</v>
      </c>
    </row>
    <row r="300" spans="2:5">
      <c r="B300" t="s">
        <v>276</v>
      </c>
      <c r="C300" s="63">
        <f>'Industry Ratio Analysis'!K28</f>
        <v>3.240351600771977E-2</v>
      </c>
      <c r="D300" s="63">
        <f>'Industry Ratio Analysis'!J28</f>
        <v>3.7718925593380519E-2</v>
      </c>
      <c r="E300" s="63">
        <f>'Industry Ratio Analysis'!I28</f>
        <v>4.828498727735369E-2</v>
      </c>
    </row>
    <row r="301" spans="2:5">
      <c r="B301" t="s">
        <v>270</v>
      </c>
      <c r="C301" s="63">
        <f>'Industry Ratio Analysis'!O28</f>
        <v>3.5175486594231219E-2</v>
      </c>
      <c r="D301" s="63">
        <f>'Industry Ratio Analysis'!N28</f>
        <v>3.7877338052945596E-2</v>
      </c>
      <c r="E301" s="63">
        <f>'Industry Ratio Analysis'!M28</f>
        <v>4.445880452342487E-2</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BF1C2-DDD2-A44A-A11D-6A7F53738C1B}">
  <dimension ref="B2:L20"/>
  <sheetViews>
    <sheetView zoomScale="72" zoomScaleNormal="120" workbookViewId="0">
      <selection activeCell="F21" sqref="F21"/>
    </sheetView>
  </sheetViews>
  <sheetFormatPr defaultColWidth="11.19921875" defaultRowHeight="15.6"/>
  <cols>
    <col min="1" max="1" width="5.69921875" customWidth="1"/>
    <col min="2" max="2" width="5.5" customWidth="1"/>
    <col min="3" max="3" width="22.8984375" customWidth="1"/>
    <col min="4" max="4" width="16.59765625" bestFit="1" customWidth="1"/>
    <col min="5" max="5" width="15.796875" customWidth="1"/>
    <col min="6" max="6" width="16.59765625" bestFit="1" customWidth="1"/>
    <col min="7" max="7" width="3.59765625" customWidth="1"/>
    <col min="8" max="8" width="3.5" customWidth="1"/>
    <col min="9" max="9" width="22.09765625" bestFit="1" customWidth="1"/>
  </cols>
  <sheetData>
    <row r="2" spans="2:12">
      <c r="B2" s="2" t="s">
        <v>128</v>
      </c>
      <c r="I2" s="12" t="s">
        <v>129</v>
      </c>
      <c r="J2" s="100">
        <v>2022</v>
      </c>
      <c r="K2" s="101">
        <v>2023</v>
      </c>
      <c r="L2" s="101">
        <v>2024</v>
      </c>
    </row>
    <row r="3" spans="2:12">
      <c r="D3" s="68" t="s">
        <v>35</v>
      </c>
      <c r="E3" s="68" t="s">
        <v>35</v>
      </c>
      <c r="F3" s="68" t="s">
        <v>35</v>
      </c>
      <c r="I3" s="7" t="s">
        <v>125</v>
      </c>
      <c r="J3" s="94">
        <f>'BP Balance Sheet'!G59</f>
        <v>82990</v>
      </c>
      <c r="K3" s="94">
        <f>'BP Balance Sheet'!E59</f>
        <v>85493</v>
      </c>
      <c r="L3" s="94">
        <f>'BP Balance Sheet'!C59</f>
        <v>78318</v>
      </c>
    </row>
    <row r="4" spans="2:12">
      <c r="B4" s="12" t="s">
        <v>130</v>
      </c>
      <c r="C4" s="12" t="s">
        <v>129</v>
      </c>
      <c r="D4" s="100">
        <v>2024</v>
      </c>
      <c r="E4" s="101">
        <v>2023</v>
      </c>
      <c r="F4" s="101">
        <v>2022</v>
      </c>
    </row>
    <row r="5" spans="2:12">
      <c r="B5" s="35"/>
      <c r="C5" s="35"/>
      <c r="D5" s="93"/>
      <c r="E5" s="6"/>
      <c r="F5" s="6"/>
      <c r="G5" s="98"/>
      <c r="H5" s="98"/>
    </row>
    <row r="6" spans="2:12">
      <c r="B6" s="7">
        <v>1</v>
      </c>
      <c r="C6" s="7" t="s">
        <v>125</v>
      </c>
      <c r="D6" s="94">
        <f>'BP Balance Sheet'!C64</f>
        <v>78318</v>
      </c>
      <c r="E6" s="94">
        <f>'BP Balance Sheet'!E64</f>
        <v>85493</v>
      </c>
      <c r="F6" s="94">
        <f>'BP Balance Sheet'!G64</f>
        <v>82990</v>
      </c>
      <c r="G6" s="62"/>
      <c r="H6" s="62"/>
    </row>
    <row r="7" spans="2:12">
      <c r="B7" s="7"/>
      <c r="C7" s="7" t="s">
        <v>131</v>
      </c>
      <c r="D7" s="95">
        <f>D6/'Income Statement BP'!C71</f>
        <v>4.6571662489064414</v>
      </c>
      <c r="E7" s="95">
        <f>E6/'Income Statement BP'!E71</f>
        <v>4.8164858768507939</v>
      </c>
      <c r="F7" s="95">
        <f>F6/'Income Statement BP'!G71</f>
        <v>4.3706698821820336</v>
      </c>
      <c r="G7" s="62"/>
      <c r="H7" s="62"/>
    </row>
    <row r="8" spans="2:12">
      <c r="B8" s="7"/>
      <c r="C8" s="89">
        <v>0.1</v>
      </c>
      <c r="D8" s="97">
        <f>D6*10%</f>
        <v>7831.8</v>
      </c>
      <c r="E8" s="97">
        <f>E6*10%</f>
        <v>8549.3000000000011</v>
      </c>
      <c r="F8" s="97">
        <f>F6*10%</f>
        <v>8299</v>
      </c>
    </row>
    <row r="9" spans="2:12">
      <c r="B9" s="7"/>
      <c r="C9" s="89"/>
      <c r="D9" s="95"/>
      <c r="E9" s="95"/>
      <c r="F9" s="95"/>
    </row>
    <row r="10" spans="2:12">
      <c r="B10" s="7">
        <v>2</v>
      </c>
      <c r="C10" s="7" t="s">
        <v>126</v>
      </c>
      <c r="D10" s="94">
        <f>(D11*'Income Statement BP'!C71)</f>
        <v>82611.861900000018</v>
      </c>
      <c r="E10" s="95">
        <f>E11*'Income Statement BP'!E71</f>
        <v>105082.32551819002</v>
      </c>
      <c r="F10" s="95">
        <f>F11*'Income Statement BP'!G71</f>
        <v>109110.18675743999</v>
      </c>
    </row>
    <row r="11" spans="2:12">
      <c r="B11" s="7"/>
      <c r="C11" s="7" t="s">
        <v>133</v>
      </c>
      <c r="D11" s="95">
        <f>(393/100)*1.25</f>
        <v>4.9125000000000005</v>
      </c>
      <c r="E11" s="102">
        <f>(466.15/100)*1.27</f>
        <v>5.9201050000000004</v>
      </c>
      <c r="F11" s="102">
        <f>(474.9/100)*1.21</f>
        <v>5.7462899999999992</v>
      </c>
    </row>
    <row r="12" spans="2:12">
      <c r="B12" s="7"/>
      <c r="C12" s="89">
        <v>0.1</v>
      </c>
      <c r="D12" s="153">
        <f>D10*10%</f>
        <v>8261.1861900000022</v>
      </c>
      <c r="E12" s="153">
        <f>E10*10%</f>
        <v>10508.232551819003</v>
      </c>
      <c r="F12" s="153">
        <f>F10*10%</f>
        <v>10911.018675744001</v>
      </c>
    </row>
    <row r="13" spans="2:12">
      <c r="B13" s="7"/>
      <c r="C13" s="7"/>
      <c r="D13" s="94"/>
      <c r="E13" s="96"/>
      <c r="F13" s="96"/>
    </row>
    <row r="14" spans="2:12">
      <c r="B14" s="7">
        <v>3</v>
      </c>
      <c r="C14" s="7" t="s">
        <v>333</v>
      </c>
      <c r="D14" s="95">
        <f>D10/D6</f>
        <v>1.0548259901938255</v>
      </c>
      <c r="E14" s="95">
        <f>E10/E6</f>
        <v>1.2291336778237987</v>
      </c>
      <c r="F14" s="95">
        <f>F10/F6</f>
        <v>1.314738965627666</v>
      </c>
    </row>
    <row r="15" spans="2:12">
      <c r="B15" s="7"/>
      <c r="C15" s="7"/>
      <c r="D15" s="228" t="s">
        <v>127</v>
      </c>
      <c r="E15" s="228" t="s">
        <v>127</v>
      </c>
      <c r="F15" s="228" t="s">
        <v>127</v>
      </c>
    </row>
    <row r="19" spans="4:12">
      <c r="D19" s="31"/>
      <c r="I19" s="12" t="s">
        <v>129</v>
      </c>
      <c r="J19" s="100">
        <v>2022</v>
      </c>
      <c r="K19" s="101">
        <v>2023</v>
      </c>
      <c r="L19" s="101">
        <v>2024</v>
      </c>
    </row>
    <row r="20" spans="4:12">
      <c r="D20" s="62"/>
      <c r="I20" s="7" t="s">
        <v>133</v>
      </c>
      <c r="J20" s="95">
        <f>F11</f>
        <v>5.7462899999999992</v>
      </c>
      <c r="K20" s="95">
        <f>E11</f>
        <v>5.9201050000000004</v>
      </c>
      <c r="L20" s="95">
        <f>D11</f>
        <v>4.9125000000000005</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B84D-CA6F-43B0-814C-0A1E446A94BD}">
  <dimension ref="B3:H28"/>
  <sheetViews>
    <sheetView workbookViewId="0">
      <selection activeCell="H17" sqref="H17"/>
    </sheetView>
  </sheetViews>
  <sheetFormatPr defaultRowHeight="14.4"/>
  <cols>
    <col min="1" max="1" width="8.796875" style="205"/>
    <col min="2" max="2" width="19.8984375" style="208" bestFit="1" customWidth="1"/>
    <col min="3" max="3" width="16.69921875" style="205" bestFit="1" customWidth="1"/>
    <col min="4" max="4" width="16.8984375" style="205" bestFit="1" customWidth="1"/>
    <col min="5" max="5" width="23.19921875" style="205" bestFit="1" customWidth="1"/>
    <col min="6" max="6" width="20.69921875" style="208" customWidth="1"/>
    <col min="7" max="16384" width="8.796875" style="205"/>
  </cols>
  <sheetData>
    <row r="3" spans="2:6">
      <c r="B3" s="224"/>
      <c r="C3" s="225" t="s">
        <v>332</v>
      </c>
      <c r="D3" s="225" t="s">
        <v>320</v>
      </c>
      <c r="E3" s="225" t="s">
        <v>122</v>
      </c>
      <c r="F3" s="224" t="s">
        <v>321</v>
      </c>
    </row>
    <row r="4" spans="2:6">
      <c r="B4" s="211"/>
      <c r="C4" s="210"/>
      <c r="D4" s="210"/>
      <c r="E4" s="210"/>
      <c r="F4" s="211"/>
    </row>
    <row r="5" spans="2:6" ht="15.6">
      <c r="B5" s="217" t="s">
        <v>298</v>
      </c>
      <c r="C5" s="204" t="s">
        <v>299</v>
      </c>
      <c r="D5" s="204" t="s">
        <v>300</v>
      </c>
      <c r="E5" s="214" t="s">
        <v>301</v>
      </c>
      <c r="F5" s="207" t="s">
        <v>325</v>
      </c>
    </row>
    <row r="6" spans="2:6" ht="28.8">
      <c r="B6" s="217" t="s">
        <v>65</v>
      </c>
      <c r="C6" s="204" t="s">
        <v>302</v>
      </c>
      <c r="D6" s="204" t="s">
        <v>303</v>
      </c>
      <c r="E6" s="214" t="s">
        <v>304</v>
      </c>
      <c r="F6" s="207" t="s">
        <v>324</v>
      </c>
    </row>
    <row r="7" spans="2:6" ht="28.8">
      <c r="B7" s="217" t="s">
        <v>8</v>
      </c>
      <c r="C7" s="204" t="s">
        <v>305</v>
      </c>
      <c r="D7" s="204" t="s">
        <v>306</v>
      </c>
      <c r="E7" s="214" t="s">
        <v>307</v>
      </c>
      <c r="F7" s="207" t="s">
        <v>322</v>
      </c>
    </row>
    <row r="8" spans="2:6" ht="15.6">
      <c r="B8" s="217" t="s">
        <v>308</v>
      </c>
      <c r="C8" s="204" t="s">
        <v>309</v>
      </c>
      <c r="D8" s="204" t="s">
        <v>310</v>
      </c>
      <c r="E8" s="214" t="s">
        <v>311</v>
      </c>
      <c r="F8" s="207"/>
    </row>
    <row r="9" spans="2:6" ht="43.2">
      <c r="B9" s="217" t="s">
        <v>312</v>
      </c>
      <c r="C9" s="204" t="s">
        <v>313</v>
      </c>
      <c r="D9" s="204" t="s">
        <v>314</v>
      </c>
      <c r="E9" s="214" t="s">
        <v>315</v>
      </c>
      <c r="F9" s="207" t="s">
        <v>323</v>
      </c>
    </row>
    <row r="10" spans="2:6" ht="31.2">
      <c r="B10" s="217" t="s">
        <v>89</v>
      </c>
      <c r="C10" s="204" t="s">
        <v>316</v>
      </c>
      <c r="D10" s="204" t="s">
        <v>317</v>
      </c>
      <c r="E10" s="214" t="s">
        <v>318</v>
      </c>
    </row>
    <row r="12" spans="2:6">
      <c r="C12" s="206"/>
    </row>
    <row r="15" spans="2:6">
      <c r="B15" s="226" t="s">
        <v>51</v>
      </c>
      <c r="C15" s="227" t="s">
        <v>331</v>
      </c>
      <c r="D15" s="227" t="s">
        <v>297</v>
      </c>
      <c r="E15" s="227" t="s">
        <v>122</v>
      </c>
    </row>
    <row r="17" spans="2:8">
      <c r="B17" s="208" t="s">
        <v>18</v>
      </c>
      <c r="C17" s="212">
        <v>1.26E-2</v>
      </c>
      <c r="D17" s="212">
        <v>2.5999999999999999E-2</v>
      </c>
      <c r="E17" s="205" t="s">
        <v>326</v>
      </c>
    </row>
    <row r="18" spans="2:8">
      <c r="B18" s="208" t="s">
        <v>118</v>
      </c>
      <c r="C18" s="212">
        <v>0.14199999999999999</v>
      </c>
      <c r="D18" s="212">
        <v>0.19</v>
      </c>
      <c r="E18" s="205" t="s">
        <v>327</v>
      </c>
    </row>
    <row r="19" spans="2:8">
      <c r="B19" s="208" t="s">
        <v>319</v>
      </c>
      <c r="C19" s="205">
        <v>1.25</v>
      </c>
      <c r="D19" s="205">
        <v>1.08</v>
      </c>
      <c r="E19" s="205" t="s">
        <v>328</v>
      </c>
    </row>
    <row r="20" spans="2:8" ht="15.6">
      <c r="B20" s="208" t="s">
        <v>329</v>
      </c>
      <c r="C20" s="213">
        <v>0.06</v>
      </c>
      <c r="D20" s="212">
        <v>7.3999999999999996E-2</v>
      </c>
      <c r="E20" s="214" t="s">
        <v>330</v>
      </c>
      <c r="F20" s="215"/>
      <c r="G20" s="216"/>
      <c r="H20" s="216"/>
    </row>
    <row r="21" spans="2:8" ht="15.6">
      <c r="E21" s="202"/>
      <c r="F21" s="209"/>
      <c r="G21" s="203"/>
      <c r="H21" s="203"/>
    </row>
    <row r="22" spans="2:8" ht="15.6">
      <c r="E22" s="202"/>
      <c r="F22" s="209"/>
      <c r="G22" s="203"/>
      <c r="H22" s="203"/>
    </row>
    <row r="23" spans="2:8" ht="15.6">
      <c r="E23" s="202"/>
      <c r="F23" s="209"/>
      <c r="G23" s="203"/>
      <c r="H23" s="203"/>
    </row>
    <row r="24" spans="2:8" ht="15.6">
      <c r="E24" s="202"/>
      <c r="F24" s="209"/>
      <c r="G24" s="203"/>
      <c r="H24" s="203"/>
    </row>
    <row r="25" spans="2:8" ht="15.6">
      <c r="E25" s="202"/>
      <c r="F25" s="209"/>
      <c r="G25" s="203"/>
      <c r="H25" s="203"/>
    </row>
    <row r="26" spans="2:8" ht="15.6">
      <c r="E26" s="202"/>
      <c r="F26" s="209"/>
      <c r="G26" s="203"/>
      <c r="H26" s="203"/>
    </row>
    <row r="27" spans="2:8" ht="15.6">
      <c r="E27" s="202"/>
      <c r="F27" s="209"/>
      <c r="G27" s="203"/>
      <c r="H27" s="203"/>
    </row>
    <row r="28" spans="2:8" ht="15.6">
      <c r="E28" s="202"/>
      <c r="F28" s="209"/>
      <c r="G28" s="203"/>
      <c r="H28" s="20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5161-C97A-AE42-9345-301E28D40051}">
  <dimension ref="A2:S16"/>
  <sheetViews>
    <sheetView tabSelected="1" zoomScale="86" workbookViewId="0">
      <selection activeCell="J18" sqref="J18"/>
    </sheetView>
  </sheetViews>
  <sheetFormatPr defaultColWidth="11.19921875" defaultRowHeight="15.6"/>
  <cols>
    <col min="2" max="2" width="13.3984375" customWidth="1"/>
    <col min="3" max="3" width="10.69921875" customWidth="1"/>
  </cols>
  <sheetData>
    <row r="2" spans="1:19" s="148" customFormat="1">
      <c r="A2" s="104" t="s">
        <v>283</v>
      </c>
      <c r="B2" s="104"/>
      <c r="C2" s="104"/>
      <c r="D2" s="198" t="s">
        <v>295</v>
      </c>
    </row>
    <row r="3" spans="1:19" s="148" customFormat="1">
      <c r="A3" s="104" t="s">
        <v>284</v>
      </c>
      <c r="B3" s="104"/>
      <c r="C3" s="104"/>
      <c r="D3" s="198" t="s">
        <v>294</v>
      </c>
    </row>
    <row r="4" spans="1:19" s="148" customFormat="1">
      <c r="A4" s="104" t="s">
        <v>285</v>
      </c>
      <c r="B4" s="104"/>
      <c r="C4" s="104"/>
      <c r="D4" s="198" t="s">
        <v>293</v>
      </c>
    </row>
    <row r="5" spans="1:19" s="148" customFormat="1"/>
    <row r="6" spans="1:19" s="148" customFormat="1"/>
    <row r="7" spans="1:19" s="104" customFormat="1">
      <c r="A7" s="104" t="s">
        <v>286</v>
      </c>
      <c r="D7" s="198" t="s">
        <v>292</v>
      </c>
    </row>
    <row r="8" spans="1:19" s="104" customFormat="1">
      <c r="A8" s="104" t="s">
        <v>287</v>
      </c>
      <c r="D8" s="198" t="s">
        <v>291</v>
      </c>
    </row>
    <row r="9" spans="1:19" s="104" customFormat="1">
      <c r="A9" s="104" t="s">
        <v>288</v>
      </c>
      <c r="D9" s="198" t="s">
        <v>290</v>
      </c>
    </row>
    <row r="10" spans="1:19" s="148" customFormat="1"/>
    <row r="12" spans="1:19">
      <c r="A12" t="s">
        <v>273</v>
      </c>
      <c r="D12" s="198" t="s">
        <v>274</v>
      </c>
    </row>
    <row r="13" spans="1:19">
      <c r="A13" t="s">
        <v>271</v>
      </c>
      <c r="D13" s="198" t="s">
        <v>272</v>
      </c>
    </row>
    <row r="15" spans="1:19">
      <c r="A15" t="s">
        <v>289</v>
      </c>
      <c r="D15" s="198" t="s">
        <v>278</v>
      </c>
    </row>
    <row r="16" spans="1:19" ht="31.2" customHeight="1">
      <c r="A16" t="s">
        <v>335</v>
      </c>
      <c r="D16" s="198" t="s">
        <v>334</v>
      </c>
      <c r="H16" s="243" t="s">
        <v>336</v>
      </c>
      <c r="I16" s="243"/>
      <c r="J16" s="243"/>
      <c r="K16" s="243"/>
      <c r="L16" s="243"/>
      <c r="M16" s="243"/>
      <c r="N16" s="243"/>
      <c r="O16" s="243"/>
      <c r="P16" s="243"/>
      <c r="Q16" s="243"/>
      <c r="R16" s="243"/>
      <c r="S16" s="243"/>
    </row>
  </sheetData>
  <mergeCells count="1">
    <mergeCell ref="H16:S16"/>
  </mergeCells>
  <hyperlinks>
    <hyperlink ref="D2" r:id="rId1" xr:uid="{74916502-D1E6-41DB-817C-B905ED4BF3E4}"/>
    <hyperlink ref="D3" r:id="rId2" xr:uid="{4195B4FF-66D4-4F36-B2FE-9820E257C424}"/>
    <hyperlink ref="D4" r:id="rId3" xr:uid="{581797F9-908B-451E-A7AF-966D5BBDF116}"/>
    <hyperlink ref="D7" r:id="rId4" xr:uid="{CAAED81D-F9B1-483C-BB99-8A19C1F33466}"/>
    <hyperlink ref="D8" r:id="rId5" xr:uid="{1A9CEDC3-AC3F-4EC2-8998-33AB18FDDA5A}"/>
    <hyperlink ref="D9" r:id="rId6" xr:uid="{8E984044-7844-48D7-83A2-80B0B6353FE3}"/>
    <hyperlink ref="D12" r:id="rId7" xr:uid="{7DECB803-F74B-44ED-956E-477F57CD73BA}"/>
    <hyperlink ref="D13" r:id="rId8" xr:uid="{5336F6E1-A9E8-481A-81D7-71088D2FD7B6}"/>
    <hyperlink ref="D15" r:id="rId9" xr:uid="{8FFF67C8-F8DD-4AF7-9E55-B747347410A2}"/>
    <hyperlink ref="D16" r:id="rId10" xr:uid="{56BC48FF-3B93-410D-902D-CADFAEDAB45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3CB98-F094-5540-8662-028C70E881B8}">
  <dimension ref="B3:L71"/>
  <sheetViews>
    <sheetView zoomScaleNormal="100" workbookViewId="0">
      <selection activeCell="A4" sqref="A4"/>
    </sheetView>
  </sheetViews>
  <sheetFormatPr defaultColWidth="11.19921875" defaultRowHeight="15.6"/>
  <cols>
    <col min="2" max="2" width="66.19921875" customWidth="1"/>
    <col min="3" max="3" width="12" bestFit="1" customWidth="1"/>
    <col min="4" max="4" width="7.09765625" style="104" bestFit="1" customWidth="1"/>
    <col min="5" max="5" width="8.8984375" bestFit="1" customWidth="1"/>
    <col min="6" max="6" width="6.59765625" style="114" bestFit="1" customWidth="1"/>
    <col min="7" max="7" width="8.8984375" bestFit="1" customWidth="1"/>
  </cols>
  <sheetData>
    <row r="3" spans="2:12" ht="18">
      <c r="B3" s="230" t="s">
        <v>173</v>
      </c>
      <c r="C3" s="230"/>
      <c r="D3" s="230"/>
      <c r="E3" s="230"/>
      <c r="F3" s="230"/>
      <c r="G3" s="230"/>
    </row>
    <row r="4" spans="2:12" ht="18">
      <c r="B4" s="127"/>
      <c r="C4" s="127"/>
      <c r="D4" s="127"/>
      <c r="E4" s="127"/>
      <c r="F4" s="127"/>
      <c r="G4" s="127"/>
    </row>
    <row r="5" spans="2:12">
      <c r="B5" s="179" t="s">
        <v>134</v>
      </c>
      <c r="C5" s="221" t="s">
        <v>170</v>
      </c>
      <c r="D5" s="220" t="s">
        <v>123</v>
      </c>
      <c r="E5" s="221" t="s">
        <v>170</v>
      </c>
      <c r="F5" s="220" t="s">
        <v>123</v>
      </c>
      <c r="G5" s="221" t="s">
        <v>170</v>
      </c>
    </row>
    <row r="6" spans="2:12">
      <c r="B6" s="219"/>
      <c r="C6" s="222">
        <v>2024</v>
      </c>
      <c r="D6" s="223" t="s">
        <v>122</v>
      </c>
      <c r="E6" s="222">
        <v>2023</v>
      </c>
      <c r="F6" s="223" t="s">
        <v>122</v>
      </c>
      <c r="G6" s="222">
        <v>2022</v>
      </c>
    </row>
    <row r="7" spans="2:12">
      <c r="B7" s="8" t="s">
        <v>136</v>
      </c>
      <c r="C7" s="9">
        <v>189185</v>
      </c>
      <c r="D7" s="107">
        <f t="shared" ref="D7:D12" si="0">(C7-E7)/E7</f>
        <v>-9.9676390805691711E-2</v>
      </c>
      <c r="E7" s="9">
        <v>210130</v>
      </c>
      <c r="F7" s="129">
        <f t="shared" ref="F7:F12" si="1">(E7-G7)/G7</f>
        <v>-0.12950719162192617</v>
      </c>
      <c r="G7" s="9">
        <v>241392</v>
      </c>
    </row>
    <row r="8" spans="2:12">
      <c r="B8" s="8" t="s">
        <v>137</v>
      </c>
      <c r="C8" s="9">
        <v>909</v>
      </c>
      <c r="D8" s="107">
        <f t="shared" si="0"/>
        <v>12.567164179104477</v>
      </c>
      <c r="E8" s="9">
        <v>67</v>
      </c>
      <c r="F8" s="129">
        <f t="shared" si="1"/>
        <v>-0.94060283687943258</v>
      </c>
      <c r="G8" s="9">
        <v>1128</v>
      </c>
    </row>
    <row r="9" spans="2:12">
      <c r="B9" s="8" t="s">
        <v>138</v>
      </c>
      <c r="C9" s="9">
        <v>1084</v>
      </c>
      <c r="D9" s="107">
        <f t="shared" si="0"/>
        <v>0.30445246690734057</v>
      </c>
      <c r="E9" s="9">
        <v>831</v>
      </c>
      <c r="F9" s="129">
        <f t="shared" si="1"/>
        <v>-0.40727532097004282</v>
      </c>
      <c r="G9" s="9">
        <v>1402</v>
      </c>
    </row>
    <row r="10" spans="2:12">
      <c r="B10" s="8" t="s">
        <v>139</v>
      </c>
      <c r="C10" s="9">
        <v>2773</v>
      </c>
      <c r="D10" s="107">
        <f t="shared" si="0"/>
        <v>0.69602446483180425</v>
      </c>
      <c r="E10" s="9">
        <v>1635</v>
      </c>
      <c r="F10" s="129">
        <f t="shared" si="1"/>
        <v>0.48232094288304622</v>
      </c>
      <c r="G10" s="9">
        <v>1103</v>
      </c>
    </row>
    <row r="11" spans="2:12">
      <c r="B11" s="8" t="s">
        <v>140</v>
      </c>
      <c r="C11" s="9">
        <v>678</v>
      </c>
      <c r="D11" s="107">
        <f t="shared" si="0"/>
        <v>0.83739837398373984</v>
      </c>
      <c r="E11" s="9">
        <v>369</v>
      </c>
      <c r="F11" s="129">
        <f t="shared" si="1"/>
        <v>-0.9045525090532851</v>
      </c>
      <c r="G11" s="9">
        <v>3866</v>
      </c>
    </row>
    <row r="12" spans="2:12" s="64" customFormat="1">
      <c r="B12" s="154" t="s">
        <v>141</v>
      </c>
      <c r="C12" s="155">
        <f>SUM(C7:C11)</f>
        <v>194629</v>
      </c>
      <c r="D12" s="156">
        <f t="shared" si="0"/>
        <v>-8.638608284201435E-2</v>
      </c>
      <c r="E12" s="155">
        <f>SUM(E7:E11)</f>
        <v>213032</v>
      </c>
      <c r="F12" s="157">
        <f t="shared" si="1"/>
        <v>-0.14407511721998786</v>
      </c>
      <c r="G12" s="155">
        <f>SUM(G7:G11)</f>
        <v>248891</v>
      </c>
    </row>
    <row r="13" spans="2:12" s="119" customFormat="1">
      <c r="B13" s="109" t="s">
        <v>165</v>
      </c>
      <c r="C13" s="110"/>
      <c r="D13" s="111"/>
      <c r="E13" s="110"/>
      <c r="F13" s="111"/>
      <c r="G13" s="110"/>
      <c r="J13" s="119" t="s">
        <v>132</v>
      </c>
      <c r="L13" s="119">
        <v>238</v>
      </c>
    </row>
    <row r="14" spans="2:12">
      <c r="B14" s="8" t="s">
        <v>142</v>
      </c>
      <c r="C14" s="9">
        <v>113941</v>
      </c>
      <c r="D14" s="107">
        <f t="shared" ref="D14:D22" si="2">(C14-E14)/E14</f>
        <v>-4.4976405407897276E-2</v>
      </c>
      <c r="E14" s="9">
        <v>119307</v>
      </c>
      <c r="F14" s="129">
        <f t="shared" ref="F14:F23" si="3">(E14-G14)/G14</f>
        <v>-0.15410903057932687</v>
      </c>
      <c r="G14" s="9">
        <v>141043</v>
      </c>
      <c r="I14" s="115"/>
      <c r="J14" s="144"/>
      <c r="K14" s="144"/>
      <c r="L14" s="144"/>
    </row>
    <row r="15" spans="2:12">
      <c r="B15" s="8" t="s">
        <v>143</v>
      </c>
      <c r="C15" s="9">
        <v>26584</v>
      </c>
      <c r="D15" s="107">
        <f t="shared" si="2"/>
        <v>6.149177447692062E-2</v>
      </c>
      <c r="E15" s="9">
        <v>25044</v>
      </c>
      <c r="F15" s="129">
        <f t="shared" si="3"/>
        <v>-0.12464173365955959</v>
      </c>
      <c r="G15" s="9">
        <v>28610</v>
      </c>
    </row>
    <row r="16" spans="2:12">
      <c r="B16" s="8" t="s">
        <v>145</v>
      </c>
      <c r="C16" s="9">
        <v>16622</v>
      </c>
      <c r="D16" s="107">
        <f>(C16-E16)/E16</f>
        <v>4.3571069814163733E-2</v>
      </c>
      <c r="E16" s="9">
        <v>15928</v>
      </c>
      <c r="F16" s="129">
        <f>(E16-G16)/G16</f>
        <v>0.11244587232853751</v>
      </c>
      <c r="G16" s="9">
        <v>14318</v>
      </c>
    </row>
    <row r="17" spans="2:8">
      <c r="B17" s="8" t="s">
        <v>144</v>
      </c>
      <c r="C17" s="9">
        <v>1799</v>
      </c>
      <c r="D17" s="107">
        <f t="shared" si="2"/>
        <v>1.1242270938729624E-2</v>
      </c>
      <c r="E17" s="9">
        <v>1779</v>
      </c>
      <c r="F17" s="129">
        <f t="shared" si="3"/>
        <v>-0.23483870967741935</v>
      </c>
      <c r="G17" s="9">
        <v>2325</v>
      </c>
    </row>
    <row r="18" spans="2:8">
      <c r="B18" s="8" t="s">
        <v>147</v>
      </c>
      <c r="C18" s="9">
        <v>974</v>
      </c>
      <c r="D18" s="107">
        <f>(C18-E18)/E18</f>
        <v>-2.3069207622868605E-2</v>
      </c>
      <c r="E18" s="9">
        <v>997</v>
      </c>
      <c r="F18" s="129">
        <f>(E18-G18)/G18</f>
        <v>0.70427350427350432</v>
      </c>
      <c r="G18" s="9">
        <v>585</v>
      </c>
    </row>
    <row r="19" spans="2:8">
      <c r="B19" s="118" t="s">
        <v>264</v>
      </c>
      <c r="C19" s="158">
        <f>SUM(C14:C18)</f>
        <v>159920</v>
      </c>
      <c r="D19" s="126"/>
      <c r="E19" s="158">
        <f>SUM(E14:E17)</f>
        <v>162058</v>
      </c>
      <c r="F19" s="131"/>
      <c r="G19" s="158">
        <f>SUM(G14:G17)</f>
        <v>186296</v>
      </c>
    </row>
    <row r="20" spans="2:8">
      <c r="B20" s="8" t="s">
        <v>146</v>
      </c>
      <c r="C20" s="9">
        <v>6995</v>
      </c>
      <c r="D20" s="107">
        <f t="shared" si="2"/>
        <v>0.19429742188833873</v>
      </c>
      <c r="E20" s="9">
        <v>5857</v>
      </c>
      <c r="F20" s="129">
        <f t="shared" si="3"/>
        <v>-0.80810562872682001</v>
      </c>
      <c r="G20" s="9">
        <v>30522</v>
      </c>
    </row>
    <row r="21" spans="2:8">
      <c r="B21" s="8" t="s">
        <v>148</v>
      </c>
      <c r="C21" s="9">
        <v>16417</v>
      </c>
      <c r="D21" s="107">
        <f t="shared" si="2"/>
        <v>-2.1166229430002386E-2</v>
      </c>
      <c r="E21" s="9">
        <v>16772</v>
      </c>
      <c r="F21" s="129">
        <f t="shared" si="3"/>
        <v>0.24708156740278087</v>
      </c>
      <c r="G21" s="9">
        <v>13449</v>
      </c>
    </row>
    <row r="22" spans="2:8">
      <c r="B22" s="8"/>
      <c r="C22" s="9">
        <f>SUM(C19:C21)</f>
        <v>183332</v>
      </c>
      <c r="D22" s="107">
        <f t="shared" si="2"/>
        <v>-7.336737290659332E-3</v>
      </c>
      <c r="E22" s="9">
        <f>SUM(E19:E21)</f>
        <v>184687</v>
      </c>
      <c r="F22" s="129">
        <f t="shared" si="3"/>
        <v>-0.19794412573230208</v>
      </c>
      <c r="G22" s="9">
        <f>SUM(G19:G21)</f>
        <v>230267</v>
      </c>
    </row>
    <row r="23" spans="2:8" s="1" customFormat="1">
      <c r="B23" s="159" t="s">
        <v>153</v>
      </c>
      <c r="C23" s="158">
        <f>C12 - SUM(C14:C18,C20:C21)</f>
        <v>11297</v>
      </c>
      <c r="D23" s="156">
        <f>(C23-E23)/E23</f>
        <v>-0.58691677636390227</v>
      </c>
      <c r="E23" s="158">
        <f>E12 - SUM(E14:E18,E20:E21)</f>
        <v>27348</v>
      </c>
      <c r="F23" s="129">
        <f t="shared" si="3"/>
        <v>0.51604856145019129</v>
      </c>
      <c r="G23" s="158">
        <f>G12 - SUM(G14:G18,G20:G21)</f>
        <v>18039</v>
      </c>
    </row>
    <row r="24" spans="2:8">
      <c r="B24" s="8"/>
      <c r="C24" s="9"/>
      <c r="D24" s="105"/>
      <c r="E24" s="105"/>
      <c r="F24" s="105"/>
      <c r="G24" s="9"/>
    </row>
    <row r="25" spans="2:8">
      <c r="B25" s="8" t="s">
        <v>149</v>
      </c>
      <c r="C25" s="9">
        <v>4683</v>
      </c>
      <c r="D25" s="107">
        <f>(C25-E25)/E25</f>
        <v>0.21953125000000001</v>
      </c>
      <c r="E25" s="9">
        <v>3840</v>
      </c>
      <c r="F25" s="129">
        <f>(E25-G25)/G25</f>
        <v>0.42064372918978915</v>
      </c>
      <c r="G25" s="9">
        <v>2703</v>
      </c>
    </row>
    <row r="26" spans="2:8">
      <c r="B26" s="8" t="s">
        <v>150</v>
      </c>
      <c r="C26" s="9">
        <v>-168</v>
      </c>
      <c r="D26" s="107">
        <f>(C26-E26)/E26</f>
        <v>-0.30290456431535268</v>
      </c>
      <c r="E26" s="9">
        <v>-241</v>
      </c>
      <c r="F26" s="129">
        <f>(E26-(-G26))/(-G26)</f>
        <v>-4.4927536231884062</v>
      </c>
      <c r="G26" s="9">
        <v>-69</v>
      </c>
    </row>
    <row r="27" spans="2:8" s="1" customFormat="1">
      <c r="B27" s="159" t="s">
        <v>152</v>
      </c>
      <c r="C27" s="158">
        <f>C23 - SUM(C25:C26)</f>
        <v>6782</v>
      </c>
      <c r="D27" s="156">
        <f>(C27-E27)/E27</f>
        <v>-0.7144300812665797</v>
      </c>
      <c r="E27" s="158">
        <f>E23 - SUM(E25:E26)</f>
        <v>23749</v>
      </c>
      <c r="F27" s="129">
        <f>(E27-G27)/G27</f>
        <v>0.54164232392080491</v>
      </c>
      <c r="G27" s="158">
        <f>G23 - SUM(G25:G26)</f>
        <v>15405</v>
      </c>
    </row>
    <row r="28" spans="2:8">
      <c r="B28" s="8"/>
      <c r="C28" s="9"/>
      <c r="D28" s="105"/>
      <c r="E28" s="105"/>
      <c r="F28" s="105"/>
      <c r="G28" s="9"/>
    </row>
    <row r="29" spans="2:8">
      <c r="B29" s="8" t="s">
        <v>39</v>
      </c>
      <c r="C29" s="9">
        <v>5553</v>
      </c>
      <c r="D29" s="107">
        <f>(C29-E29)/E29</f>
        <v>-0.2943194815097217</v>
      </c>
      <c r="E29" s="9">
        <v>7869</v>
      </c>
      <c r="F29" s="129">
        <f>(E29-G29)/G29</f>
        <v>-0.53054528099272158</v>
      </c>
      <c r="G29" s="9">
        <v>16762</v>
      </c>
    </row>
    <row r="30" spans="2:8" s="1" customFormat="1">
      <c r="B30" s="159" t="s">
        <v>151</v>
      </c>
      <c r="C30" s="158">
        <f>C27-C29</f>
        <v>1229</v>
      </c>
      <c r="D30" s="156">
        <f>(C30-E30)/E30</f>
        <v>-0.9226070528967254</v>
      </c>
      <c r="E30" s="158">
        <f>E27-E29</f>
        <v>15880</v>
      </c>
      <c r="F30" s="129">
        <f>(E30-(-G30))/(-G30)</f>
        <v>10.702284450994842</v>
      </c>
      <c r="G30" s="158">
        <f>G27-G29</f>
        <v>-1357</v>
      </c>
      <c r="H30" s="120"/>
    </row>
    <row r="31" spans="2:8" s="1" customFormat="1">
      <c r="B31" s="8"/>
      <c r="C31" s="9"/>
      <c r="D31" s="126"/>
      <c r="E31" s="9"/>
      <c r="F31" s="131"/>
      <c r="G31" s="9"/>
      <c r="H31" s="120"/>
    </row>
    <row r="32" spans="2:8">
      <c r="B32" s="8" t="s">
        <v>67</v>
      </c>
      <c r="C32" s="9">
        <v>848</v>
      </c>
      <c r="D32" s="107">
        <f>(C32-E32)/E32</f>
        <v>0.32293291731669266</v>
      </c>
      <c r="E32" s="9">
        <v>641</v>
      </c>
      <c r="F32" s="134">
        <f>(E32-G32)/G32</f>
        <v>-0.43274336283185838</v>
      </c>
      <c r="G32" s="9">
        <v>1130</v>
      </c>
    </row>
    <row r="33" spans="2:7">
      <c r="B33" s="8" t="s">
        <v>280</v>
      </c>
      <c r="C33" s="9">
        <v>1</v>
      </c>
      <c r="D33" s="107">
        <f>(C33-E33)/E33</f>
        <v>0</v>
      </c>
      <c r="E33" s="9">
        <v>1</v>
      </c>
      <c r="F33" s="129">
        <f>(E33-G33)/G33</f>
        <v>0</v>
      </c>
      <c r="G33" s="9">
        <v>1</v>
      </c>
    </row>
    <row r="34" spans="2:7">
      <c r="B34" s="8" t="s">
        <v>281</v>
      </c>
      <c r="C34" s="9">
        <v>-10</v>
      </c>
      <c r="D34" s="126"/>
      <c r="E34" s="9"/>
      <c r="F34" s="131"/>
      <c r="G34" s="9"/>
    </row>
    <row r="35" spans="2:7">
      <c r="B35" s="160" t="s">
        <v>172</v>
      </c>
      <c r="C35" s="161">
        <f>C30-(C32+C33+C34)</f>
        <v>390</v>
      </c>
      <c r="D35" s="156">
        <f>(C35-E35)/E35</f>
        <v>-0.97440609003806278</v>
      </c>
      <c r="E35" s="161">
        <f>E30-(E32+E33+E34)</f>
        <v>15238</v>
      </c>
      <c r="F35" s="129">
        <f>(E35-(-G35))/(-G35)</f>
        <v>5.12459807073955</v>
      </c>
      <c r="G35" s="161">
        <f>G30-(G32+G33+G34)</f>
        <v>-2488</v>
      </c>
    </row>
    <row r="36" spans="2:7">
      <c r="B36" s="8"/>
      <c r="C36" s="9"/>
      <c r="D36" s="9"/>
      <c r="E36" s="9"/>
      <c r="F36" s="9"/>
      <c r="G36" s="9"/>
    </row>
    <row r="37" spans="2:7">
      <c r="B37" s="121" t="s">
        <v>163</v>
      </c>
    </row>
    <row r="38" spans="2:7">
      <c r="B38" s="122" t="s">
        <v>154</v>
      </c>
    </row>
    <row r="39" spans="2:7">
      <c r="B39" s="8" t="s">
        <v>155</v>
      </c>
      <c r="C39" s="9">
        <v>-1292</v>
      </c>
      <c r="D39" s="116">
        <f t="shared" ref="D39:D57" si="4">(C39-E39)/E39</f>
        <v>-3.2085470085470087</v>
      </c>
      <c r="E39" s="9">
        <v>585</v>
      </c>
      <c r="F39" s="129">
        <f>(E39-(-G39))/(-G39)</f>
        <v>-0.84548335974643418</v>
      </c>
      <c r="G39" s="9">
        <v>-3786</v>
      </c>
    </row>
    <row r="40" spans="2:7" ht="28.8">
      <c r="B40" s="123" t="s">
        <v>156</v>
      </c>
      <c r="C40" s="9">
        <v>1004</v>
      </c>
      <c r="D40" s="145">
        <f>(C40-E40)/(-E40)</f>
        <v>503</v>
      </c>
      <c r="E40" s="9">
        <v>-2</v>
      </c>
      <c r="F40" s="116">
        <f t="shared" ref="F40:F57" si="5">(E40-G40)/G40</f>
        <v>-1.0001858908820522</v>
      </c>
      <c r="G40" s="9">
        <v>10759</v>
      </c>
    </row>
    <row r="41" spans="2:7">
      <c r="B41" s="123" t="s">
        <v>157</v>
      </c>
      <c r="C41" s="9">
        <v>155</v>
      </c>
      <c r="D41" s="116">
        <f t="shared" si="4"/>
        <v>-0.85446009389671362</v>
      </c>
      <c r="E41" s="9">
        <v>1065</v>
      </c>
      <c r="F41" s="129">
        <f>(E41-(-G41))/(-G41)</f>
        <v>0.29090909090909089</v>
      </c>
      <c r="G41" s="9">
        <v>-825</v>
      </c>
    </row>
    <row r="42" spans="2:7">
      <c r="B42" s="123" t="s">
        <v>158</v>
      </c>
      <c r="C42" s="9">
        <v>-686</v>
      </c>
      <c r="D42" s="107">
        <f t="shared" si="4"/>
        <v>0.60280373831775702</v>
      </c>
      <c r="E42" s="9">
        <v>-428</v>
      </c>
      <c r="F42" s="116">
        <f t="shared" si="5"/>
        <v>-1.284953395472703</v>
      </c>
      <c r="G42" s="9">
        <v>1502</v>
      </c>
    </row>
    <row r="43" spans="2:7">
      <c r="B43" s="123" t="s">
        <v>159</v>
      </c>
      <c r="C43" s="9">
        <v>-2</v>
      </c>
      <c r="D43" s="116">
        <f t="shared" si="4"/>
        <v>-0.97014925373134331</v>
      </c>
      <c r="E43" s="9">
        <v>-67</v>
      </c>
      <c r="F43" s="116">
        <f t="shared" si="5"/>
        <v>-2.098360655737705</v>
      </c>
      <c r="G43" s="9">
        <v>61</v>
      </c>
    </row>
    <row r="44" spans="2:7">
      <c r="B44" s="123" t="s">
        <v>160</v>
      </c>
      <c r="C44" s="9">
        <v>-2</v>
      </c>
      <c r="D44" s="116">
        <f t="shared" si="4"/>
        <v>-0.81818181818181823</v>
      </c>
      <c r="E44" s="9">
        <v>-11</v>
      </c>
      <c r="F44" s="116">
        <f t="shared" si="5"/>
        <v>-1.44</v>
      </c>
      <c r="G44" s="9">
        <v>25</v>
      </c>
    </row>
    <row r="45" spans="2:7">
      <c r="B45" s="123" t="s">
        <v>161</v>
      </c>
      <c r="C45" s="9">
        <v>-12</v>
      </c>
      <c r="D45" s="116">
        <f t="shared" si="4"/>
        <v>-0.9375</v>
      </c>
      <c r="E45" s="9">
        <v>-192</v>
      </c>
      <c r="F45" s="116">
        <f t="shared" si="5"/>
        <v>-1.4776119402985075</v>
      </c>
      <c r="G45" s="9">
        <v>402</v>
      </c>
    </row>
    <row r="46" spans="2:7">
      <c r="B46" s="112" t="s">
        <v>162</v>
      </c>
      <c r="C46" s="9">
        <v>48</v>
      </c>
      <c r="D46" s="129">
        <f>(C46-(-E46))/(-E46)</f>
        <v>3.8</v>
      </c>
      <c r="E46" s="9">
        <v>-10</v>
      </c>
      <c r="F46" s="116">
        <f t="shared" si="5"/>
        <v>-0.97005988023952094</v>
      </c>
      <c r="G46" s="9">
        <v>-334</v>
      </c>
    </row>
    <row r="47" spans="2:7">
      <c r="B47" s="112"/>
      <c r="C47" s="9"/>
      <c r="D47" s="106"/>
      <c r="E47" s="105"/>
      <c r="F47" s="106"/>
      <c r="G47" s="9"/>
    </row>
    <row r="48" spans="2:7">
      <c r="B48" s="122" t="s">
        <v>164</v>
      </c>
      <c r="C48" s="9"/>
      <c r="D48" s="106"/>
      <c r="E48" s="105"/>
      <c r="F48" s="106"/>
      <c r="G48" s="9"/>
    </row>
    <row r="49" spans="2:7" ht="16.8" customHeight="1">
      <c r="B49" s="112" t="s">
        <v>166</v>
      </c>
      <c r="C49" s="9">
        <v>-360</v>
      </c>
      <c r="D49" s="116">
        <f t="shared" si="4"/>
        <v>-0.84084880636604775</v>
      </c>
      <c r="E49" s="9">
        <v>-2262</v>
      </c>
      <c r="F49" s="116">
        <f t="shared" si="5"/>
        <v>-7.6529411764705886</v>
      </c>
      <c r="G49" s="9">
        <v>340</v>
      </c>
    </row>
    <row r="50" spans="2:7">
      <c r="B50" s="112" t="s">
        <v>167</v>
      </c>
      <c r="C50" s="9">
        <v>-47</v>
      </c>
      <c r="D50" s="116">
        <f t="shared" si="4"/>
        <v>-1.9215686274509804</v>
      </c>
      <c r="E50" s="9">
        <v>51</v>
      </c>
      <c r="F50" s="107">
        <v>0</v>
      </c>
      <c r="G50" s="9" t="s">
        <v>66</v>
      </c>
    </row>
    <row r="51" spans="2:7">
      <c r="B51" s="112" t="s">
        <v>168</v>
      </c>
      <c r="C51" s="9">
        <v>-1</v>
      </c>
      <c r="D51" s="116">
        <f t="shared" si="4"/>
        <v>-1.0666666666666667</v>
      </c>
      <c r="E51" s="9">
        <v>15</v>
      </c>
      <c r="F51" s="116">
        <f t="shared" si="5"/>
        <v>-4.75</v>
      </c>
      <c r="G51" s="9">
        <v>-4</v>
      </c>
    </row>
    <row r="52" spans="2:7">
      <c r="B52" s="112" t="s">
        <v>169</v>
      </c>
      <c r="C52" s="9">
        <v>734</v>
      </c>
      <c r="D52" s="116">
        <f t="shared" si="4"/>
        <v>-1.4765100671140939E-2</v>
      </c>
      <c r="E52" s="9">
        <v>745</v>
      </c>
      <c r="F52" s="107">
        <f t="shared" si="5"/>
        <v>9.9558823529411757</v>
      </c>
      <c r="G52" s="9">
        <v>68</v>
      </c>
    </row>
    <row r="53" spans="2:7">
      <c r="B53" s="112"/>
      <c r="C53" s="9"/>
      <c r="D53" s="106"/>
      <c r="E53" s="9"/>
      <c r="F53" s="106"/>
      <c r="G53" s="9"/>
    </row>
    <row r="54" spans="2:7">
      <c r="B54" s="8" t="s">
        <v>40</v>
      </c>
      <c r="C54" s="9">
        <v>-461</v>
      </c>
      <c r="D54" s="116">
        <f t="shared" si="4"/>
        <v>-9.7847358121330719E-2</v>
      </c>
      <c r="E54" s="9">
        <v>-511</v>
      </c>
      <c r="F54" s="116">
        <f t="shared" si="5"/>
        <v>-1.0622563352826511</v>
      </c>
      <c r="G54" s="9">
        <v>8208</v>
      </c>
    </row>
    <row r="55" spans="2:7">
      <c r="B55" s="159" t="s">
        <v>42</v>
      </c>
      <c r="C55" s="158">
        <v>768</v>
      </c>
      <c r="D55" s="156">
        <f t="shared" si="4"/>
        <v>-0.95002927971891471</v>
      </c>
      <c r="E55" s="158">
        <v>15369</v>
      </c>
      <c r="F55" s="107">
        <f t="shared" si="5"/>
        <v>1.2433221427528829</v>
      </c>
      <c r="G55" s="158">
        <v>6851</v>
      </c>
    </row>
    <row r="56" spans="2:7">
      <c r="B56" s="8" t="s">
        <v>41</v>
      </c>
      <c r="C56" s="9">
        <v>761</v>
      </c>
      <c r="D56" s="107">
        <f t="shared" si="4"/>
        <v>0.1409295352323838</v>
      </c>
      <c r="E56" s="9">
        <v>667</v>
      </c>
      <c r="F56" s="116">
        <f t="shared" si="5"/>
        <v>-0.37605238540692237</v>
      </c>
      <c r="G56" s="9">
        <v>1069</v>
      </c>
    </row>
    <row r="57" spans="2:7">
      <c r="B57" s="162" t="s">
        <v>171</v>
      </c>
      <c r="C57" s="158">
        <f>C55-C56</f>
        <v>7</v>
      </c>
      <c r="D57" s="156">
        <f t="shared" si="4"/>
        <v>-0.99952387430281597</v>
      </c>
      <c r="E57" s="158">
        <f>E55-E56</f>
        <v>14702</v>
      </c>
      <c r="F57" s="156">
        <f t="shared" si="5"/>
        <v>1.5427187824282256</v>
      </c>
      <c r="G57" s="158">
        <f>G55-G56</f>
        <v>5782</v>
      </c>
    </row>
    <row r="58" spans="2:7">
      <c r="B58" s="8"/>
      <c r="C58" s="9"/>
      <c r="D58" s="9"/>
      <c r="E58" s="9"/>
      <c r="F58" s="9"/>
      <c r="G58" s="9"/>
    </row>
    <row r="59" spans="2:7">
      <c r="B59" s="8"/>
      <c r="C59" s="9"/>
      <c r="D59" s="9"/>
      <c r="E59" s="9"/>
      <c r="F59" s="9"/>
      <c r="G59" s="9"/>
    </row>
    <row r="60" spans="2:7">
      <c r="B60" s="231" t="s">
        <v>176</v>
      </c>
      <c r="C60" s="231"/>
      <c r="D60" s="231"/>
      <c r="E60" s="231"/>
      <c r="F60" s="231"/>
      <c r="G60" s="231"/>
    </row>
    <row r="61" spans="2:7">
      <c r="B61" s="8"/>
      <c r="C61" s="9"/>
      <c r="D61" s="9"/>
      <c r="E61" s="9"/>
      <c r="F61" s="9"/>
      <c r="G61" s="9"/>
    </row>
    <row r="62" spans="2:7">
      <c r="B62" s="196" t="s">
        <v>177</v>
      </c>
      <c r="C62" s="9"/>
      <c r="D62" s="9"/>
      <c r="E62" s="9"/>
      <c r="F62" s="9"/>
      <c r="G62" s="9"/>
    </row>
    <row r="63" spans="2:7">
      <c r="B63" s="233" t="s">
        <v>178</v>
      </c>
      <c r="C63" s="233"/>
      <c r="D63" s="233"/>
      <c r="E63" s="233"/>
      <c r="F63" s="233"/>
      <c r="G63" s="233"/>
    </row>
    <row r="64" spans="2:7">
      <c r="B64" s="8" t="s">
        <v>174</v>
      </c>
      <c r="C64" s="124">
        <v>2.38</v>
      </c>
      <c r="D64" s="108">
        <f>(C64-E64)/E64</f>
        <v>-0.97288676236044658</v>
      </c>
      <c r="E64" s="124">
        <v>87.78</v>
      </c>
      <c r="F64" s="107">
        <f>(E64-G64)/-G64</f>
        <v>7.7007633587786257</v>
      </c>
      <c r="G64" s="125">
        <v>-13.1</v>
      </c>
    </row>
    <row r="65" spans="2:7">
      <c r="B65" s="8" t="s">
        <v>175</v>
      </c>
      <c r="C65" s="124">
        <v>2.3199999999999998</v>
      </c>
      <c r="D65" s="108">
        <f>(C65-E65)/E65</f>
        <v>-0.97297612114152598</v>
      </c>
      <c r="E65" s="124">
        <v>85.85</v>
      </c>
      <c r="F65" s="107">
        <f>(E65-G65)/-G65</f>
        <v>7.5534351145038165</v>
      </c>
      <c r="G65" s="125">
        <v>-13.1</v>
      </c>
    </row>
    <row r="66" spans="2:7">
      <c r="B66" s="232"/>
      <c r="C66" s="232"/>
      <c r="D66" s="232"/>
      <c r="E66" s="232"/>
      <c r="F66" s="232"/>
      <c r="G66" s="232"/>
    </row>
    <row r="67" spans="2:7">
      <c r="B67" s="109" t="s">
        <v>266</v>
      </c>
      <c r="C67" s="124"/>
      <c r="D67" s="9"/>
      <c r="E67" s="124"/>
      <c r="F67" s="9"/>
      <c r="G67" s="125"/>
    </row>
    <row r="68" spans="2:7">
      <c r="B68" s="8" t="s">
        <v>179</v>
      </c>
      <c r="C68" s="124">
        <v>0.14000000000000001</v>
      </c>
      <c r="D68" s="9"/>
      <c r="E68" s="124">
        <v>5.27</v>
      </c>
      <c r="F68" s="9"/>
      <c r="G68" s="125">
        <v>-0.79</v>
      </c>
    </row>
    <row r="69" spans="2:7">
      <c r="B69" s="8" t="s">
        <v>180</v>
      </c>
      <c r="C69" s="124">
        <v>0.14000000000000001</v>
      </c>
      <c r="D69" s="9"/>
      <c r="E69" s="124">
        <v>5.15</v>
      </c>
      <c r="F69" s="9"/>
      <c r="G69" s="125">
        <v>-0.79</v>
      </c>
    </row>
    <row r="71" spans="2:7" s="152" customFormat="1" ht="14.4">
      <c r="B71" s="152" t="s">
        <v>282</v>
      </c>
      <c r="C71" s="218">
        <f>16816664000/1000000</f>
        <v>16816.664000000001</v>
      </c>
      <c r="D71" s="114"/>
      <c r="E71" s="229">
        <f>17750078000/1000000</f>
        <v>17750.078000000001</v>
      </c>
      <c r="F71" s="114"/>
      <c r="G71" s="218">
        <f>18987936000/1000000</f>
        <v>18987.936000000002</v>
      </c>
    </row>
  </sheetData>
  <mergeCells count="4">
    <mergeCell ref="B3:G3"/>
    <mergeCell ref="B60:G60"/>
    <mergeCell ref="B66:G66"/>
    <mergeCell ref="B63:G63"/>
  </mergeCells>
  <conditionalFormatting sqref="D1 F1:F30 D3:D30 D32:D59 F32:F59 D61:D62 D67:D1048576 F67:F1048576">
    <cfRule type="cellIs" dxfId="21" priority="26" operator="lessThan">
      <formula>0</formula>
    </cfRule>
  </conditionalFormatting>
  <conditionalFormatting sqref="D64:D65">
    <cfRule type="cellIs" dxfId="20" priority="3" operator="lessThan">
      <formula>0</formula>
    </cfRule>
  </conditionalFormatting>
  <conditionalFormatting sqref="F61:F62">
    <cfRule type="cellIs" dxfId="19" priority="25" operator="lessThan">
      <formula>0</formula>
    </cfRule>
  </conditionalFormatting>
  <conditionalFormatting sqref="F64:F65">
    <cfRule type="cellIs" dxfId="18" priority="2" operator="lessThan">
      <formula>0</formula>
    </cfRule>
  </conditionalFormatting>
  <pageMargins left="0.7" right="0.7" top="0.75" bottom="0.75" header="0.3" footer="0.3"/>
  <ignoredErrors>
    <ignoredError sqref="D27:E27 D30:F30 D57 E57:F57 D35 F26:F27 F12 D12 F40:F41 D40 F35 D23 D22 E22:F23" formula="1"/>
    <ignoredError sqref="C12 G12 E19 G19" formulaRange="1"/>
    <ignoredError sqref="E12" formula="1"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D99C7-75F3-4A90-AA6E-EEC79E32E7D5}">
  <dimension ref="B3:H66"/>
  <sheetViews>
    <sheetView topLeftCell="A24" zoomScaleNormal="100" workbookViewId="0">
      <selection activeCell="J45" sqref="J45"/>
    </sheetView>
  </sheetViews>
  <sheetFormatPr defaultColWidth="11.19921875" defaultRowHeight="15.6"/>
  <cols>
    <col min="2" max="2" width="67" bestFit="1" customWidth="1"/>
    <col min="3" max="3" width="8.296875" bestFit="1" customWidth="1"/>
    <col min="4" max="4" width="6.59765625" style="104" bestFit="1" customWidth="1"/>
    <col min="5" max="5" width="8.296875" bestFit="1" customWidth="1"/>
    <col min="6" max="6" width="6.59765625" style="114" bestFit="1" customWidth="1"/>
    <col min="7" max="7" width="8.296875" bestFit="1" customWidth="1"/>
  </cols>
  <sheetData>
    <row r="3" spans="2:7" ht="18">
      <c r="B3" s="230" t="s">
        <v>181</v>
      </c>
      <c r="C3" s="230"/>
      <c r="D3" s="230"/>
      <c r="E3" s="230"/>
      <c r="F3" s="230"/>
      <c r="G3" s="230"/>
    </row>
    <row r="4" spans="2:7" ht="18">
      <c r="B4" s="127"/>
      <c r="C4" s="127"/>
      <c r="D4" s="127"/>
      <c r="E4" s="127"/>
      <c r="F4" s="130"/>
      <c r="G4" s="127"/>
    </row>
    <row r="5" spans="2:7">
      <c r="B5" s="189" t="s">
        <v>182</v>
      </c>
      <c r="C5" s="190" t="s">
        <v>170</v>
      </c>
      <c r="D5" s="191" t="s">
        <v>123</v>
      </c>
      <c r="E5" s="190" t="s">
        <v>170</v>
      </c>
      <c r="F5" s="192" t="s">
        <v>123</v>
      </c>
      <c r="G5" s="190" t="s">
        <v>170</v>
      </c>
    </row>
    <row r="6" spans="2:7">
      <c r="B6" s="193"/>
      <c r="C6" s="194">
        <v>2024</v>
      </c>
      <c r="D6" s="195" t="s">
        <v>122</v>
      </c>
      <c r="E6" s="194">
        <v>2023</v>
      </c>
      <c r="F6" s="195" t="s">
        <v>122</v>
      </c>
      <c r="G6" s="194">
        <v>2022</v>
      </c>
    </row>
    <row r="7" spans="2:7">
      <c r="B7" s="234" t="s">
        <v>36</v>
      </c>
      <c r="C7" s="234"/>
      <c r="D7" s="234"/>
      <c r="E7" s="234"/>
      <c r="F7" s="234"/>
      <c r="G7" s="234"/>
    </row>
    <row r="8" spans="2:7">
      <c r="B8" s="8" t="s">
        <v>183</v>
      </c>
      <c r="C8" s="9">
        <v>100238</v>
      </c>
      <c r="D8" s="107">
        <f t="shared" ref="D8:D14" si="0">(C8-E8)/E8</f>
        <v>-4.2790706557549248E-2</v>
      </c>
      <c r="E8" s="9">
        <v>104719</v>
      </c>
      <c r="F8" s="129">
        <f t="shared" ref="F8:F14" si="1">(E8-G8)/G8</f>
        <v>-1.2494813473652446E-2</v>
      </c>
      <c r="G8" s="9">
        <v>106044</v>
      </c>
    </row>
    <row r="9" spans="2:7">
      <c r="B9" s="8" t="s">
        <v>184</v>
      </c>
      <c r="C9" s="9">
        <v>14888</v>
      </c>
      <c r="D9" s="107">
        <f t="shared" si="0"/>
        <v>0.19371391917896089</v>
      </c>
      <c r="E9" s="9">
        <v>12472</v>
      </c>
      <c r="F9" s="129">
        <f t="shared" si="1"/>
        <v>4.2809364548494981E-2</v>
      </c>
      <c r="G9" s="9">
        <v>11960</v>
      </c>
    </row>
    <row r="10" spans="2:7">
      <c r="B10" s="8" t="s">
        <v>185</v>
      </c>
      <c r="C10" s="9">
        <v>9646</v>
      </c>
      <c r="D10" s="107">
        <f t="shared" si="0"/>
        <v>-3.4531077970173157E-2</v>
      </c>
      <c r="E10" s="9">
        <v>9991</v>
      </c>
      <c r="F10" s="129">
        <f t="shared" si="1"/>
        <v>-2.0490196078431371E-2</v>
      </c>
      <c r="G10" s="9">
        <v>10200</v>
      </c>
    </row>
    <row r="11" spans="2:7">
      <c r="B11" s="8" t="s">
        <v>186</v>
      </c>
      <c r="C11" s="9">
        <v>12291</v>
      </c>
      <c r="D11" s="107">
        <f t="shared" si="0"/>
        <v>-1.1580217129071171E-2</v>
      </c>
      <c r="E11" s="9">
        <v>12435</v>
      </c>
      <c r="F11" s="129">
        <f t="shared" si="1"/>
        <v>2.8225806451612902E-3</v>
      </c>
      <c r="G11" s="9">
        <v>12400</v>
      </c>
    </row>
    <row r="12" spans="2:7">
      <c r="B12" s="8" t="s">
        <v>187</v>
      </c>
      <c r="C12" s="9">
        <v>7741</v>
      </c>
      <c r="D12" s="107">
        <f t="shared" si="0"/>
        <v>-9.3422062963910927E-3</v>
      </c>
      <c r="E12" s="9">
        <v>7814</v>
      </c>
      <c r="F12" s="129">
        <f t="shared" si="1"/>
        <v>-4.7189367150347522E-2</v>
      </c>
      <c r="G12" s="9">
        <v>8201</v>
      </c>
    </row>
    <row r="13" spans="2:7">
      <c r="B13" s="8" t="s">
        <v>188</v>
      </c>
      <c r="C13" s="9">
        <v>1292</v>
      </c>
      <c r="D13" s="107">
        <f t="shared" si="0"/>
        <v>-0.40977615349474644</v>
      </c>
      <c r="E13" s="9">
        <v>2189</v>
      </c>
      <c r="F13" s="129">
        <f t="shared" si="1"/>
        <v>-0.1801498127340824</v>
      </c>
      <c r="G13" s="9">
        <v>2670</v>
      </c>
    </row>
    <row r="14" spans="2:7" s="64" customFormat="1">
      <c r="B14" s="154" t="s">
        <v>209</v>
      </c>
      <c r="C14" s="163">
        <f>SUM(C8:C13)</f>
        <v>146096</v>
      </c>
      <c r="D14" s="107">
        <f t="shared" si="0"/>
        <v>-2.3553000935703783E-2</v>
      </c>
      <c r="E14" s="163">
        <f>SUM(E8:E13)</f>
        <v>149620</v>
      </c>
      <c r="F14" s="129">
        <f t="shared" si="1"/>
        <v>-1.2246245254992573E-2</v>
      </c>
      <c r="G14" s="163">
        <f>SUM(G8:G13)</f>
        <v>151475</v>
      </c>
    </row>
    <row r="15" spans="2:7">
      <c r="B15" s="8" t="s">
        <v>189</v>
      </c>
      <c r="C15" s="9">
        <v>1961</v>
      </c>
      <c r="D15" s="107">
        <f t="shared" ref="D15:D20" si="2">(C15-E15)/E15</f>
        <v>9.7837281153450046E-3</v>
      </c>
      <c r="E15" s="9">
        <v>1942</v>
      </c>
      <c r="F15" s="129">
        <f t="shared" ref="F15:F21" si="3">(E15-G15)/G15</f>
        <v>0.52793076317859955</v>
      </c>
      <c r="G15" s="9">
        <v>1271</v>
      </c>
    </row>
    <row r="16" spans="2:7">
      <c r="B16" s="8" t="s">
        <v>190</v>
      </c>
      <c r="C16" s="9">
        <v>1815</v>
      </c>
      <c r="D16" s="107">
        <f t="shared" si="2"/>
        <v>2.7164685908319185E-2</v>
      </c>
      <c r="E16" s="9">
        <v>1767</v>
      </c>
      <c r="F16" s="129">
        <f t="shared" si="3"/>
        <v>0.61813186813186816</v>
      </c>
      <c r="G16" s="9">
        <v>1092</v>
      </c>
    </row>
    <row r="17" spans="2:7">
      <c r="B17" s="8" t="s">
        <v>191</v>
      </c>
      <c r="C17" s="9">
        <v>16114</v>
      </c>
      <c r="D17" s="107">
        <f t="shared" si="2"/>
        <v>0.61462925851703409</v>
      </c>
      <c r="E17" s="9">
        <v>9980</v>
      </c>
      <c r="F17" s="129">
        <f t="shared" si="3"/>
        <v>-0.22280196246398257</v>
      </c>
      <c r="G17" s="9">
        <v>12841</v>
      </c>
    </row>
    <row r="18" spans="2:7">
      <c r="B18" s="8" t="s">
        <v>192</v>
      </c>
      <c r="C18" s="9">
        <v>548</v>
      </c>
      <c r="D18" s="107">
        <f t="shared" si="2"/>
        <v>-0.12038523274478331</v>
      </c>
      <c r="E18" s="9">
        <v>623</v>
      </c>
      <c r="F18" s="129">
        <f t="shared" si="3"/>
        <v>8.1597222222222224E-2</v>
      </c>
      <c r="G18" s="9">
        <v>576</v>
      </c>
    </row>
    <row r="19" spans="2:7">
      <c r="B19" s="8" t="s">
        <v>193</v>
      </c>
      <c r="C19" s="9">
        <v>5403</v>
      </c>
      <c r="D19" s="107">
        <f t="shared" si="2"/>
        <v>0.26593252108716026</v>
      </c>
      <c r="E19" s="9">
        <v>4268</v>
      </c>
      <c r="F19" s="129">
        <f t="shared" si="3"/>
        <v>9.2118730808597754E-2</v>
      </c>
      <c r="G19" s="9">
        <v>3908</v>
      </c>
    </row>
    <row r="20" spans="2:7">
      <c r="B20" s="8" t="s">
        <v>194</v>
      </c>
      <c r="C20" s="9">
        <v>7457</v>
      </c>
      <c r="D20" s="126">
        <f t="shared" si="2"/>
        <v>-6.1776547559134372E-2</v>
      </c>
      <c r="E20" s="9">
        <v>7948</v>
      </c>
      <c r="F20" s="129">
        <f t="shared" si="3"/>
        <v>-0.14251807098931923</v>
      </c>
      <c r="G20" s="9">
        <v>9269</v>
      </c>
    </row>
    <row r="21" spans="2:7">
      <c r="B21" s="8"/>
      <c r="C21" s="158">
        <f>C14 + SUM(C15:C20)</f>
        <v>179394</v>
      </c>
      <c r="D21" s="156">
        <f>(C20-E20)/E20</f>
        <v>-6.1776547559134372E-2</v>
      </c>
      <c r="E21" s="158">
        <f>E14 + SUM(E15:E20)</f>
        <v>176148</v>
      </c>
      <c r="F21" s="157">
        <f t="shared" si="3"/>
        <v>-2.3743016759776536E-2</v>
      </c>
      <c r="G21" s="158">
        <f>G14 + SUM(G15:G20)</f>
        <v>180432</v>
      </c>
    </row>
    <row r="22" spans="2:7" s="1" customFormat="1">
      <c r="B22" s="109" t="s">
        <v>30</v>
      </c>
      <c r="D22" s="126"/>
      <c r="F22" s="131"/>
    </row>
    <row r="23" spans="2:7">
      <c r="B23" s="8" t="s">
        <v>189</v>
      </c>
      <c r="C23" s="9">
        <v>223</v>
      </c>
      <c r="D23" s="126">
        <f t="shared" ref="D23:D32" si="4">(C23-E23)/E23</f>
        <v>-7.0833333333333331E-2</v>
      </c>
      <c r="E23" s="9">
        <v>240</v>
      </c>
      <c r="F23" s="129">
        <f t="shared" ref="F23:F32" si="5">(E23-G23)/G23</f>
        <v>-0.23809523809523808</v>
      </c>
      <c r="G23" s="9">
        <v>315</v>
      </c>
    </row>
    <row r="24" spans="2:7">
      <c r="B24" s="8" t="s">
        <v>195</v>
      </c>
      <c r="C24" s="9">
        <v>23232</v>
      </c>
      <c r="D24" s="107">
        <f t="shared" si="4"/>
        <v>1.8098952627196633E-2</v>
      </c>
      <c r="E24" s="9">
        <v>22819</v>
      </c>
      <c r="F24" s="129">
        <f t="shared" si="5"/>
        <v>-0.18738648908514655</v>
      </c>
      <c r="G24" s="9">
        <v>28081</v>
      </c>
    </row>
    <row r="25" spans="2:7">
      <c r="B25" s="8" t="s">
        <v>190</v>
      </c>
      <c r="C25" s="9">
        <v>27127</v>
      </c>
      <c r="D25" s="107">
        <f t="shared" si="4"/>
        <v>-0.12839379237220061</v>
      </c>
      <c r="E25" s="9">
        <v>31123</v>
      </c>
      <c r="F25" s="129">
        <f t="shared" si="5"/>
        <v>-8.4886798000588057E-2</v>
      </c>
      <c r="G25" s="9">
        <v>34010</v>
      </c>
    </row>
    <row r="26" spans="2:7">
      <c r="B26" s="8" t="s">
        <v>191</v>
      </c>
      <c r="C26" s="9">
        <v>5112</v>
      </c>
      <c r="D26" s="107">
        <f t="shared" si="4"/>
        <v>-0.59373758245251529</v>
      </c>
      <c r="E26" s="9">
        <v>12583</v>
      </c>
      <c r="F26" s="129">
        <f t="shared" si="5"/>
        <v>8.9060065778085507E-2</v>
      </c>
      <c r="G26" s="9">
        <v>11554</v>
      </c>
    </row>
    <row r="27" spans="2:7">
      <c r="B27" s="8" t="s">
        <v>192</v>
      </c>
      <c r="C27" s="9">
        <v>2594</v>
      </c>
      <c r="D27" s="107">
        <f t="shared" si="4"/>
        <v>2.9365079365079365E-2</v>
      </c>
      <c r="E27" s="9">
        <v>2520</v>
      </c>
      <c r="F27" s="129">
        <f t="shared" si="5"/>
        <v>0.2045889101338432</v>
      </c>
      <c r="G27" s="9">
        <v>2092</v>
      </c>
    </row>
    <row r="28" spans="2:7">
      <c r="B28" s="8" t="s">
        <v>196</v>
      </c>
      <c r="C28" s="9">
        <v>1096</v>
      </c>
      <c r="D28" s="107">
        <f t="shared" si="4"/>
        <v>0.30943847072879332</v>
      </c>
      <c r="E28" s="9">
        <v>837</v>
      </c>
      <c r="F28" s="129">
        <f t="shared" si="5"/>
        <v>0.34782608695652173</v>
      </c>
      <c r="G28" s="9">
        <v>621</v>
      </c>
    </row>
    <row r="29" spans="2:7">
      <c r="B29" s="8" t="s">
        <v>188</v>
      </c>
      <c r="C29" s="9">
        <v>165</v>
      </c>
      <c r="D29" s="107">
        <f t="shared" si="4"/>
        <v>-0.80427046263345192</v>
      </c>
      <c r="E29" s="9">
        <v>843</v>
      </c>
      <c r="F29" s="129">
        <f t="shared" si="5"/>
        <v>0.45847750865051901</v>
      </c>
      <c r="G29" s="9">
        <v>578</v>
      </c>
    </row>
    <row r="30" spans="2:7">
      <c r="B30" s="8" t="s">
        <v>31</v>
      </c>
      <c r="C30" s="9">
        <v>39204</v>
      </c>
      <c r="D30" s="107">
        <f t="shared" si="4"/>
        <v>0.18692098092643053</v>
      </c>
      <c r="E30" s="9">
        <v>33030</v>
      </c>
      <c r="F30" s="129">
        <f t="shared" si="5"/>
        <v>0.13135810926528516</v>
      </c>
      <c r="G30" s="9">
        <v>29195</v>
      </c>
    </row>
    <row r="31" spans="2:7">
      <c r="B31" s="8"/>
      <c r="C31" s="158">
        <f>SUM(C23:C30)</f>
        <v>98753</v>
      </c>
      <c r="D31" s="156">
        <f t="shared" si="4"/>
        <v>-5.0406269532189046E-2</v>
      </c>
      <c r="E31" s="158">
        <f>SUM(E23:E30)</f>
        <v>103995</v>
      </c>
      <c r="F31" s="157">
        <f t="shared" si="5"/>
        <v>-2.3025759540048474E-2</v>
      </c>
      <c r="G31" s="158">
        <f>SUM(G23:G30)</f>
        <v>106446</v>
      </c>
    </row>
    <row r="32" spans="2:7">
      <c r="B32" s="8" t="s">
        <v>197</v>
      </c>
      <c r="C32" s="9">
        <v>4081</v>
      </c>
      <c r="D32" s="107">
        <f t="shared" si="4"/>
        <v>26.026490066225165</v>
      </c>
      <c r="E32" s="9">
        <v>151</v>
      </c>
      <c r="F32" s="131">
        <f t="shared" si="5"/>
        <v>-0.87842190016103061</v>
      </c>
      <c r="G32" s="9">
        <v>1242</v>
      </c>
    </row>
    <row r="33" spans="2:8">
      <c r="B33" s="8"/>
      <c r="C33" s="9"/>
      <c r="D33" s="106"/>
      <c r="E33" s="105"/>
      <c r="F33" s="132"/>
      <c r="G33" s="9"/>
    </row>
    <row r="34" spans="2:8" s="1" customFormat="1">
      <c r="B34" s="164" t="s">
        <v>32</v>
      </c>
      <c r="C34" s="165">
        <f>C31+C32+C21</f>
        <v>282228</v>
      </c>
      <c r="D34" s="166">
        <f>(C34-E34)/E34</f>
        <v>6.8998979642803625E-3</v>
      </c>
      <c r="E34" s="165">
        <f>E31+E32+E21</f>
        <v>280294</v>
      </c>
      <c r="F34" s="167">
        <f>(E34-G34)/G34</f>
        <v>-2.71622934888241E-2</v>
      </c>
      <c r="G34" s="165">
        <f>G31+G32+G21</f>
        <v>288120</v>
      </c>
      <c r="H34" s="65"/>
    </row>
    <row r="35" spans="2:8">
      <c r="B35" s="8"/>
      <c r="C35" s="9"/>
      <c r="D35" s="126"/>
      <c r="E35" s="9"/>
      <c r="F35" s="131"/>
      <c r="G35" s="9"/>
    </row>
    <row r="36" spans="2:8">
      <c r="B36" s="235" t="s">
        <v>33</v>
      </c>
      <c r="C36" s="235"/>
      <c r="D36" s="235"/>
      <c r="E36" s="235"/>
      <c r="F36" s="235"/>
      <c r="G36" s="235"/>
    </row>
    <row r="37" spans="2:8">
      <c r="B37" s="112" t="s">
        <v>198</v>
      </c>
      <c r="C37" s="113">
        <v>58411</v>
      </c>
      <c r="D37" s="107">
        <f t="shared" ref="D37:D46" si="6">(C37-E37)/E37</f>
        <v>-4.4869593655465619E-2</v>
      </c>
      <c r="E37" s="113">
        <v>61155</v>
      </c>
      <c r="F37" s="129">
        <f t="shared" ref="F37:F44" si="7">(E37-G37)/G37</f>
        <v>-4.4214178544636162E-2</v>
      </c>
      <c r="G37" s="133">
        <v>63984</v>
      </c>
    </row>
    <row r="38" spans="2:8">
      <c r="B38" s="8" t="s">
        <v>191</v>
      </c>
      <c r="C38" s="9">
        <v>4347</v>
      </c>
      <c r="D38" s="107">
        <f t="shared" si="6"/>
        <v>-0.17199999999999999</v>
      </c>
      <c r="E38" s="9">
        <v>5250</v>
      </c>
      <c r="F38" s="129">
        <f t="shared" si="7"/>
        <v>-0.58392772230147405</v>
      </c>
      <c r="G38" s="9">
        <v>12618</v>
      </c>
    </row>
    <row r="39" spans="2:8">
      <c r="B39" s="8" t="s">
        <v>199</v>
      </c>
      <c r="C39" s="9">
        <v>6071</v>
      </c>
      <c r="D39" s="107">
        <f t="shared" si="6"/>
        <v>-6.9863643327715649E-2</v>
      </c>
      <c r="E39" s="9">
        <v>6527</v>
      </c>
      <c r="F39" s="129">
        <f t="shared" si="7"/>
        <v>2.0162550797124101E-2</v>
      </c>
      <c r="G39" s="9">
        <v>6398</v>
      </c>
    </row>
    <row r="40" spans="2:8">
      <c r="B40" s="117" t="s">
        <v>200</v>
      </c>
      <c r="C40" s="9">
        <v>2660</v>
      </c>
      <c r="D40" s="107">
        <f t="shared" si="6"/>
        <v>3.7735849056603774E-3</v>
      </c>
      <c r="E40" s="9">
        <v>2650</v>
      </c>
      <c r="F40" s="129">
        <f t="shared" si="7"/>
        <v>0.26070409134157946</v>
      </c>
      <c r="G40" s="9">
        <v>2102</v>
      </c>
    </row>
    <row r="41" spans="2:8">
      <c r="B41" s="117" t="s">
        <v>201</v>
      </c>
      <c r="C41" s="9">
        <v>4474</v>
      </c>
      <c r="D41" s="107">
        <f t="shared" si="6"/>
        <v>0.3623629719853837</v>
      </c>
      <c r="E41" s="9">
        <v>3284</v>
      </c>
      <c r="F41" s="129">
        <f t="shared" si="7"/>
        <v>2.6891807379612259E-2</v>
      </c>
      <c r="G41" s="9">
        <v>3198</v>
      </c>
    </row>
    <row r="42" spans="2:8">
      <c r="B42" s="117" t="s">
        <v>202</v>
      </c>
      <c r="C42" s="9">
        <v>1573</v>
      </c>
      <c r="D42" s="107">
        <f t="shared" si="6"/>
        <v>-0.42423133235724741</v>
      </c>
      <c r="E42" s="9">
        <v>2732</v>
      </c>
      <c r="F42" s="129">
        <f t="shared" si="7"/>
        <v>-0.32792127921279213</v>
      </c>
      <c r="G42" s="9">
        <v>4065</v>
      </c>
    </row>
    <row r="43" spans="2:8">
      <c r="B43" s="117" t="s">
        <v>203</v>
      </c>
      <c r="C43" s="9">
        <v>3600</v>
      </c>
      <c r="D43" s="107">
        <f t="shared" si="6"/>
        <v>-0.18515165233137165</v>
      </c>
      <c r="E43" s="9">
        <v>4418</v>
      </c>
      <c r="F43" s="129">
        <f t="shared" si="7"/>
        <v>-0.30227416298168036</v>
      </c>
      <c r="G43" s="9">
        <v>6332</v>
      </c>
    </row>
    <row r="44" spans="2:8">
      <c r="C44" s="158">
        <f>SUM(C37:C43)</f>
        <v>81136</v>
      </c>
      <c r="D44" s="156">
        <f t="shared" si="6"/>
        <v>-5.6733630952380952E-2</v>
      </c>
      <c r="E44" s="158">
        <f>SUM(E37:E43)</f>
        <v>86016</v>
      </c>
      <c r="F44" s="157">
        <f t="shared" si="7"/>
        <v>-0.12848414845436032</v>
      </c>
      <c r="G44" s="158">
        <f>SUM(G37:G43)</f>
        <v>98697</v>
      </c>
    </row>
    <row r="45" spans="2:8">
      <c r="B45" s="117" t="s">
        <v>204</v>
      </c>
      <c r="C45" s="9">
        <v>1105</v>
      </c>
      <c r="D45" s="107">
        <f t="shared" si="6"/>
        <v>16.822580645161292</v>
      </c>
      <c r="E45" s="9">
        <v>62</v>
      </c>
      <c r="F45" s="116">
        <f>(E45-G45)/G45</f>
        <v>-0.80685358255451711</v>
      </c>
      <c r="G45" s="9">
        <v>321</v>
      </c>
    </row>
    <row r="46" spans="2:8">
      <c r="B46" s="112"/>
      <c r="C46" s="158">
        <f>C44+C45</f>
        <v>82241</v>
      </c>
      <c r="D46" s="156">
        <f t="shared" si="6"/>
        <v>-4.4575849810636864E-2</v>
      </c>
      <c r="E46" s="158">
        <f>E44+E45</f>
        <v>86078</v>
      </c>
      <c r="F46" s="157">
        <f>(E46-G46)/G46</f>
        <v>-0.1306833101052334</v>
      </c>
      <c r="G46" s="158">
        <f>G44+G45</f>
        <v>99018</v>
      </c>
    </row>
    <row r="47" spans="2:8">
      <c r="B47" s="236" t="s">
        <v>37</v>
      </c>
      <c r="C47" s="236"/>
      <c r="D47" s="236"/>
      <c r="E47" s="236"/>
      <c r="F47" s="236"/>
      <c r="G47" s="236"/>
    </row>
    <row r="48" spans="2:8">
      <c r="B48" s="8" t="s">
        <v>205</v>
      </c>
      <c r="C48" s="9">
        <v>9409</v>
      </c>
      <c r="D48" s="107">
        <f t="shared" ref="D48:D58" si="8">(C48-E48)/E48</f>
        <v>-6.6196903533148069E-2</v>
      </c>
      <c r="E48" s="9">
        <v>10076</v>
      </c>
      <c r="F48" s="129">
        <f t="shared" ref="F48:F59" si="9">(E48-G48)/G48</f>
        <v>-2.9941272744777127E-2</v>
      </c>
      <c r="G48" s="9">
        <v>10387</v>
      </c>
    </row>
    <row r="49" spans="2:7">
      <c r="B49" s="8" t="s">
        <v>191</v>
      </c>
      <c r="C49" s="9">
        <v>18532</v>
      </c>
      <c r="D49" s="107">
        <f t="shared" si="8"/>
        <v>0.78158046529513558</v>
      </c>
      <c r="E49" s="9">
        <v>10402</v>
      </c>
      <c r="F49" s="129">
        <f t="shared" si="9"/>
        <v>-0.23158750092339514</v>
      </c>
      <c r="G49" s="9">
        <v>13537</v>
      </c>
    </row>
    <row r="50" spans="2:7">
      <c r="B50" s="8" t="s">
        <v>199</v>
      </c>
      <c r="C50" s="9">
        <v>1326</v>
      </c>
      <c r="D50" s="107">
        <f t="shared" si="8"/>
        <v>1.2213740458015267E-2</v>
      </c>
      <c r="E50" s="9">
        <v>1310</v>
      </c>
      <c r="F50" s="129">
        <f t="shared" si="9"/>
        <v>6.2449310624493104E-2</v>
      </c>
      <c r="G50" s="9">
        <v>1233</v>
      </c>
    </row>
    <row r="51" spans="2:7">
      <c r="B51" s="8" t="s">
        <v>200</v>
      </c>
      <c r="C51" s="9">
        <v>9340</v>
      </c>
      <c r="D51" s="107">
        <f t="shared" si="8"/>
        <v>0.10258529099279896</v>
      </c>
      <c r="E51" s="9">
        <v>8471</v>
      </c>
      <c r="F51" s="129">
        <f t="shared" si="9"/>
        <v>0.31394447029626182</v>
      </c>
      <c r="G51" s="9">
        <v>6447</v>
      </c>
    </row>
    <row r="52" spans="2:7">
      <c r="B52" s="8" t="s">
        <v>201</v>
      </c>
      <c r="C52" s="9">
        <v>55073</v>
      </c>
      <c r="D52" s="107">
        <f t="shared" si="8"/>
        <v>0.1315594822272447</v>
      </c>
      <c r="E52" s="9">
        <v>48670</v>
      </c>
      <c r="F52" s="129">
        <f t="shared" si="9"/>
        <v>0.11255886252457367</v>
      </c>
      <c r="G52" s="9">
        <v>43746</v>
      </c>
    </row>
    <row r="53" spans="2:7">
      <c r="B53" s="8" t="s">
        <v>206</v>
      </c>
      <c r="C53" s="9">
        <v>8428</v>
      </c>
      <c r="D53" s="107">
        <f t="shared" si="8"/>
        <v>-0.12363522928148071</v>
      </c>
      <c r="E53" s="9">
        <v>9617</v>
      </c>
      <c r="F53" s="129">
        <f t="shared" si="9"/>
        <v>-8.6357590727721825E-2</v>
      </c>
      <c r="G53" s="9">
        <v>10526</v>
      </c>
    </row>
    <row r="54" spans="2:7">
      <c r="B54" s="8" t="s">
        <v>207</v>
      </c>
      <c r="C54" s="9">
        <v>14688</v>
      </c>
      <c r="D54" s="107">
        <f t="shared" si="8"/>
        <v>-2.2416955369879764E-3</v>
      </c>
      <c r="E54" s="9">
        <v>14721</v>
      </c>
      <c r="F54" s="129">
        <f t="shared" si="9"/>
        <v>-1.807630736392743E-2</v>
      </c>
      <c r="G54" s="9">
        <v>14992</v>
      </c>
    </row>
    <row r="55" spans="2:7">
      <c r="B55" s="8" t="s">
        <v>208</v>
      </c>
      <c r="C55" s="9">
        <v>4873</v>
      </c>
      <c r="D55" s="107">
        <f t="shared" si="8"/>
        <v>-0.10685483870967742</v>
      </c>
      <c r="E55" s="9">
        <v>5456</v>
      </c>
      <c r="F55" s="129">
        <f t="shared" si="9"/>
        <v>4.0427154843630818E-2</v>
      </c>
      <c r="G55" s="9">
        <v>5244</v>
      </c>
    </row>
    <row r="56" spans="2:7">
      <c r="B56" s="8"/>
      <c r="C56" s="158">
        <f>SUM(C48:C55)</f>
        <v>121669</v>
      </c>
      <c r="D56" s="107">
        <f t="shared" si="8"/>
        <v>0.11907324117252099</v>
      </c>
      <c r="E56" s="158">
        <f>SUM(E48:E55)</f>
        <v>108723</v>
      </c>
      <c r="F56" s="129">
        <f t="shared" si="9"/>
        <v>2.4606076598311218E-2</v>
      </c>
      <c r="G56" s="158">
        <f>SUM(G48:G55)</f>
        <v>106112</v>
      </c>
    </row>
    <row r="57" spans="2:7">
      <c r="B57" s="8"/>
      <c r="C57" s="9"/>
      <c r="D57" s="126"/>
      <c r="E57" s="9"/>
      <c r="F57" s="126"/>
      <c r="G57" s="9"/>
    </row>
    <row r="58" spans="2:7">
      <c r="B58" s="162" t="s">
        <v>38</v>
      </c>
      <c r="C58" s="158">
        <f>C56+C46</f>
        <v>203910</v>
      </c>
      <c r="D58" s="107">
        <f t="shared" si="8"/>
        <v>4.6760540243633249E-2</v>
      </c>
      <c r="E58" s="158">
        <f>E56+E46</f>
        <v>194801</v>
      </c>
      <c r="F58" s="129">
        <f t="shared" si="9"/>
        <v>-5.0353434407448938E-2</v>
      </c>
      <c r="G58" s="158">
        <f>G56+G46</f>
        <v>205130</v>
      </c>
    </row>
    <row r="59" spans="2:7">
      <c r="B59" s="164" t="s">
        <v>213</v>
      </c>
      <c r="C59" s="168">
        <f>C34-C58</f>
        <v>78318</v>
      </c>
      <c r="D59" s="169">
        <f>(C59-E59)/E59</f>
        <v>-8.3924999707578399E-2</v>
      </c>
      <c r="E59" s="168">
        <f>E34-E58</f>
        <v>85493</v>
      </c>
      <c r="F59" s="129">
        <f t="shared" si="9"/>
        <v>3.0160260272321965E-2</v>
      </c>
      <c r="G59" s="168">
        <f>G34-G58</f>
        <v>82990</v>
      </c>
    </row>
    <row r="60" spans="2:7">
      <c r="B60" s="8"/>
      <c r="C60" s="9"/>
      <c r="D60" s="9"/>
      <c r="E60" s="9"/>
      <c r="F60" s="9"/>
      <c r="G60" s="9"/>
    </row>
    <row r="61" spans="2:7">
      <c r="B61" s="109" t="s">
        <v>211</v>
      </c>
      <c r="C61" s="9"/>
      <c r="D61" s="9"/>
      <c r="E61" s="9"/>
      <c r="F61" s="9"/>
      <c r="G61" s="9"/>
    </row>
    <row r="62" spans="2:7">
      <c r="B62" s="8" t="s">
        <v>212</v>
      </c>
      <c r="C62" s="9">
        <v>59246</v>
      </c>
      <c r="D62" s="107">
        <f>(C62-E62)/E62</f>
        <v>-0.15703655222457777</v>
      </c>
      <c r="E62" s="9">
        <v>70283</v>
      </c>
      <c r="F62" s="107">
        <f>(E62-G62)/G62</f>
        <v>4.0412712980918683E-2</v>
      </c>
      <c r="G62" s="9">
        <v>67553</v>
      </c>
    </row>
    <row r="63" spans="2:7">
      <c r="B63" s="8" t="s">
        <v>210</v>
      </c>
      <c r="C63" s="9">
        <v>19072</v>
      </c>
      <c r="D63" s="107">
        <f>(C63-E63)/E63</f>
        <v>0.25391190006574621</v>
      </c>
      <c r="E63" s="9">
        <v>15210</v>
      </c>
      <c r="F63" s="107">
        <f>(E63-G63)/G63</f>
        <v>-1.4704929714322731E-2</v>
      </c>
      <c r="G63" s="9">
        <v>15437</v>
      </c>
    </row>
    <row r="64" spans="2:7">
      <c r="B64" s="170" t="s">
        <v>34</v>
      </c>
      <c r="C64" s="171">
        <v>78318</v>
      </c>
      <c r="D64" s="169">
        <f>(C64-E64)/E64</f>
        <v>-8.3924999707578399E-2</v>
      </c>
      <c r="E64" s="171">
        <v>85493</v>
      </c>
      <c r="F64" s="107">
        <f>(E64-G64)/G64</f>
        <v>3.0160260272321965E-2</v>
      </c>
      <c r="G64" s="171">
        <v>82990</v>
      </c>
    </row>
    <row r="66" spans="3:7">
      <c r="C66" s="201"/>
      <c r="G66" s="201"/>
    </row>
  </sheetData>
  <mergeCells count="4">
    <mergeCell ref="B3:G3"/>
    <mergeCell ref="B7:G7"/>
    <mergeCell ref="B36:G36"/>
    <mergeCell ref="B47:G47"/>
  </mergeCells>
  <conditionalFormatting sqref="D1 D3:D6 D37:D46 D48:D1048576">
    <cfRule type="cellIs" dxfId="17" priority="17" operator="lessThan">
      <formula>0</formula>
    </cfRule>
  </conditionalFormatting>
  <conditionalFormatting sqref="D8:D35">
    <cfRule type="cellIs" dxfId="16" priority="13" operator="lessThan">
      <formula>0</formula>
    </cfRule>
  </conditionalFormatting>
  <conditionalFormatting sqref="F1:F6">
    <cfRule type="cellIs" dxfId="15" priority="16" operator="lessThan">
      <formula>0</formula>
    </cfRule>
  </conditionalFormatting>
  <conditionalFormatting sqref="F8:F35">
    <cfRule type="cellIs" dxfId="14" priority="12" operator="lessThan">
      <formula>0</formula>
    </cfRule>
  </conditionalFormatting>
  <conditionalFormatting sqref="F37:F46">
    <cfRule type="cellIs" dxfId="13" priority="2" operator="lessThan">
      <formula>0</formula>
    </cfRule>
  </conditionalFormatting>
  <conditionalFormatting sqref="F48:F1048576">
    <cfRule type="cellIs" dxfId="12" priority="1" operator="lessThan">
      <formula>0</formula>
    </cfRule>
  </conditionalFormatting>
  <pageMargins left="0.7" right="0.7" top="0.75" bottom="0.75" header="0.3" footer="0.3"/>
  <ignoredErrors>
    <ignoredError sqref="D14:F14 D44:F44 D46:F46 D34:F34 D31:F31 D58:F58 D56:F56 D59:F59 D21 F21"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13764-29E3-4A11-9A6C-70E2E677C3C0}">
  <dimension ref="B3:L58"/>
  <sheetViews>
    <sheetView topLeftCell="A8" zoomScaleNormal="100" workbookViewId="0">
      <selection activeCell="B22" sqref="B22"/>
    </sheetView>
  </sheetViews>
  <sheetFormatPr defaultColWidth="11.19921875" defaultRowHeight="15.6"/>
  <cols>
    <col min="2" max="2" width="66.296875" customWidth="1"/>
    <col min="3" max="3" width="8.3984375" style="140" bestFit="1" customWidth="1"/>
    <col min="4" max="4" width="8" style="114" customWidth="1"/>
    <col min="5" max="5" width="8.3984375" style="115" bestFit="1" customWidth="1"/>
    <col min="6" max="6" width="7.296875" style="114" bestFit="1" customWidth="1"/>
    <col min="7" max="7" width="8.3984375" style="115" bestFit="1" customWidth="1"/>
  </cols>
  <sheetData>
    <row r="3" spans="2:12" ht="18">
      <c r="B3" s="230" t="s">
        <v>214</v>
      </c>
      <c r="C3" s="230"/>
      <c r="D3" s="230"/>
      <c r="E3" s="230"/>
      <c r="F3" s="230"/>
      <c r="G3" s="230"/>
    </row>
    <row r="4" spans="2:12" ht="18">
      <c r="B4" s="127"/>
      <c r="C4" s="136"/>
      <c r="D4" s="130"/>
      <c r="E4" s="130"/>
      <c r="F4" s="130"/>
      <c r="G4" s="130"/>
    </row>
    <row r="5" spans="2:12">
      <c r="B5" s="186" t="s">
        <v>134</v>
      </c>
      <c r="C5" s="187" t="s">
        <v>170</v>
      </c>
      <c r="D5" s="183" t="s">
        <v>123</v>
      </c>
      <c r="E5" s="187" t="s">
        <v>170</v>
      </c>
      <c r="F5" s="183" t="s">
        <v>123</v>
      </c>
      <c r="G5" s="187" t="s">
        <v>170</v>
      </c>
    </row>
    <row r="6" spans="2:12">
      <c r="B6" s="188"/>
      <c r="C6" s="184">
        <v>2024</v>
      </c>
      <c r="D6" s="185" t="s">
        <v>122</v>
      </c>
      <c r="E6" s="184">
        <v>2023</v>
      </c>
      <c r="F6" s="185" t="s">
        <v>122</v>
      </c>
      <c r="G6" s="184">
        <v>2022</v>
      </c>
    </row>
    <row r="7" spans="2:12">
      <c r="B7" s="8" t="s">
        <v>215</v>
      </c>
      <c r="C7" s="137">
        <v>284312</v>
      </c>
      <c r="D7" s="107">
        <f>(C7-E7)/E7</f>
        <v>-0.10204030067588908</v>
      </c>
      <c r="E7" s="9">
        <v>316620</v>
      </c>
      <c r="F7" s="129">
        <f>(E7-G7)/G7</f>
        <v>-0.16966069958092281</v>
      </c>
      <c r="G7" s="9">
        <v>381314</v>
      </c>
    </row>
    <row r="8" spans="2:12">
      <c r="B8" s="8" t="s">
        <v>216</v>
      </c>
      <c r="C8" s="137">
        <v>2993</v>
      </c>
      <c r="D8" s="107">
        <f>(C8-E8)/E8</f>
        <v>-0.19651006711409397</v>
      </c>
      <c r="E8" s="9">
        <v>3725</v>
      </c>
      <c r="F8" s="129">
        <f>(E8-G8)/G8</f>
        <v>-6.2185297079556896E-2</v>
      </c>
      <c r="G8" s="9">
        <v>3972</v>
      </c>
    </row>
    <row r="9" spans="2:12">
      <c r="B9" s="8" t="s">
        <v>217</v>
      </c>
      <c r="C9" s="137">
        <v>1724</v>
      </c>
      <c r="D9" s="107">
        <f>(C9-E9)/E9</f>
        <v>-0.39252995066948554</v>
      </c>
      <c r="E9" s="9">
        <v>2838</v>
      </c>
      <c r="F9" s="129">
        <f>(E9-G9)/G9</f>
        <v>2.1016393442622952</v>
      </c>
      <c r="G9" s="9">
        <v>915</v>
      </c>
    </row>
    <row r="10" spans="2:12" s="64" customFormat="1">
      <c r="B10" s="154" t="s">
        <v>141</v>
      </c>
      <c r="C10" s="172">
        <f>SUM(C7:C9)</f>
        <v>289029</v>
      </c>
      <c r="D10" s="156">
        <f>(C10-E10)/E10</f>
        <v>-0.10568006361720758</v>
      </c>
      <c r="E10" s="155">
        <f>SUM(E7:E9)</f>
        <v>323183</v>
      </c>
      <c r="F10" s="157">
        <f>(E10-G10)/G10</f>
        <v>-0.16317409846168188</v>
      </c>
      <c r="G10" s="155">
        <f>SUM(G7:G9)</f>
        <v>386201</v>
      </c>
    </row>
    <row r="11" spans="2:12" s="119" customFormat="1">
      <c r="B11" s="109"/>
      <c r="C11" s="138"/>
      <c r="D11" s="111"/>
      <c r="E11" s="110"/>
      <c r="F11" s="111"/>
      <c r="G11" s="110"/>
      <c r="J11" s="119" t="s">
        <v>132</v>
      </c>
      <c r="L11" s="119">
        <v>238</v>
      </c>
    </row>
    <row r="12" spans="2:12">
      <c r="B12" s="8" t="s">
        <v>219</v>
      </c>
      <c r="C12" s="137">
        <v>188120</v>
      </c>
      <c r="D12" s="107">
        <f>(C12-E12)/E12</f>
        <v>-0.11632211120662524</v>
      </c>
      <c r="E12" s="9">
        <v>212883</v>
      </c>
      <c r="F12" s="129">
        <f t="shared" ref="F12:F20" si="0">(E12-G12)/G12</f>
        <v>-0.17642985361022562</v>
      </c>
      <c r="G12" s="9">
        <v>258488</v>
      </c>
    </row>
    <row r="13" spans="2:12">
      <c r="B13" s="8" t="s">
        <v>220</v>
      </c>
      <c r="C13" s="137">
        <v>23379</v>
      </c>
      <c r="D13" s="107">
        <f>(C13-E13)/E13</f>
        <v>-7.3732171156893817E-2</v>
      </c>
      <c r="E13" s="9">
        <v>25240</v>
      </c>
      <c r="F13" s="129">
        <f t="shared" si="0"/>
        <v>-1.0894270710870757E-2</v>
      </c>
      <c r="G13" s="9">
        <v>25518</v>
      </c>
    </row>
    <row r="14" spans="2:12">
      <c r="B14" s="8" t="s">
        <v>224</v>
      </c>
      <c r="C14" s="137">
        <v>26872</v>
      </c>
      <c r="D14" s="107">
        <f>(C14-E14)/E14</f>
        <v>-0.14119527005433047</v>
      </c>
      <c r="E14" s="9">
        <v>31290</v>
      </c>
      <c r="F14" s="129">
        <f>(E14-G14)/G14</f>
        <v>0.68870419342652056</v>
      </c>
      <c r="G14" s="9">
        <v>18529</v>
      </c>
    </row>
    <row r="15" spans="2:12">
      <c r="B15" s="8" t="s">
        <v>223</v>
      </c>
      <c r="C15" s="137">
        <v>2411</v>
      </c>
      <c r="D15" s="107">
        <f>(C15-E15)/E15</f>
        <v>0.37771428571428572</v>
      </c>
      <c r="E15" s="9">
        <v>1750</v>
      </c>
      <c r="F15" s="129">
        <f>(E15-G15)/G15</f>
        <v>2.219626168224299E-2</v>
      </c>
      <c r="G15" s="9">
        <v>1712</v>
      </c>
    </row>
    <row r="16" spans="2:12">
      <c r="B16" s="146" t="s">
        <v>65</v>
      </c>
      <c r="C16" s="173">
        <f ca="1">SUM(C12:C18)</f>
        <v>226349</v>
      </c>
      <c r="D16" s="174"/>
      <c r="E16" s="173">
        <f ca="1">SUM(E12:E18)</f>
        <v>253306</v>
      </c>
      <c r="F16" s="167"/>
      <c r="G16" s="173">
        <f ca="1">SUM(G12:G18)</f>
        <v>298601</v>
      </c>
    </row>
    <row r="17" spans="2:8">
      <c r="B17" s="8" t="s">
        <v>222</v>
      </c>
      <c r="C17" s="137">
        <v>1099</v>
      </c>
      <c r="D17" s="107">
        <f>(C17-E17)/E17</f>
        <v>-0.14607614607614608</v>
      </c>
      <c r="E17" s="9">
        <v>1287</v>
      </c>
      <c r="F17" s="129">
        <f t="shared" si="0"/>
        <v>0.1972093023255814</v>
      </c>
      <c r="G17" s="9">
        <v>1075</v>
      </c>
    </row>
    <row r="18" spans="2:8">
      <c r="B18" s="8" t="s">
        <v>221</v>
      </c>
      <c r="C18" s="137">
        <v>12439</v>
      </c>
      <c r="D18" s="107">
        <f>(C18-E18)/E18</f>
        <v>-7.3996873371547686E-2</v>
      </c>
      <c r="E18" s="9">
        <v>13433</v>
      </c>
      <c r="F18" s="129">
        <f>(E18-G18)/G18</f>
        <v>4.2691919583947836E-2</v>
      </c>
      <c r="G18" s="9">
        <v>12883</v>
      </c>
    </row>
    <row r="19" spans="2:8">
      <c r="B19" s="8" t="s">
        <v>218</v>
      </c>
      <c r="C19" s="137">
        <f ca="1">SUM(C12:C22)</f>
        <v>485456</v>
      </c>
      <c r="D19" s="107">
        <f ca="1">(C19-E19)/E19</f>
        <v>-0.10739121321217515</v>
      </c>
      <c r="E19" s="9">
        <f ca="1">SUM(E12:E22)</f>
        <v>543862</v>
      </c>
      <c r="F19" s="107">
        <f ca="1">(E19-G19)/G19</f>
        <v>-0.12278483258519937</v>
      </c>
      <c r="G19" s="9">
        <f ca="1">SUM(G12:G22)</f>
        <v>619987</v>
      </c>
    </row>
    <row r="20" spans="2:8" s="1" customFormat="1">
      <c r="B20" s="159" t="s">
        <v>296</v>
      </c>
      <c r="C20" s="175">
        <f>C10 - SUM(C12:C15, C17:C18)</f>
        <v>34709</v>
      </c>
      <c r="D20" s="156">
        <f>(C20-E20)/E20</f>
        <v>-6.9463806970509384E-2</v>
      </c>
      <c r="E20" s="175">
        <f>E10 - SUM(E12:E15, E17:E18)</f>
        <v>37300</v>
      </c>
      <c r="F20" s="157">
        <f t="shared" si="0"/>
        <v>-0.45143831990117067</v>
      </c>
      <c r="G20" s="175">
        <f>G10 - SUM(G12:G15, G17:G18)</f>
        <v>67996</v>
      </c>
    </row>
    <row r="21" spans="2:8">
      <c r="B21" s="8"/>
      <c r="C21" s="137"/>
      <c r="D21" s="9"/>
      <c r="E21" s="9"/>
      <c r="F21" s="9"/>
      <c r="G21" s="9"/>
    </row>
    <row r="22" spans="2:8">
      <c r="B22" s="8" t="s">
        <v>225</v>
      </c>
      <c r="C22" s="137">
        <v>4787</v>
      </c>
      <c r="D22" s="107">
        <f>(C22-E22)/E22</f>
        <v>2.4395463299807404E-2</v>
      </c>
      <c r="E22" s="9">
        <v>4673</v>
      </c>
      <c r="F22" s="129">
        <f>(E22-G22)/G22</f>
        <v>0.46903489468720527</v>
      </c>
      <c r="G22" s="9">
        <v>3181</v>
      </c>
    </row>
    <row r="23" spans="2:8">
      <c r="B23" s="8" t="s">
        <v>39</v>
      </c>
      <c r="C23" s="137">
        <v>13401</v>
      </c>
      <c r="D23" s="107">
        <f>(C23-E23)/E23</f>
        <v>3.1560310984527752E-2</v>
      </c>
      <c r="E23" s="9">
        <v>12991</v>
      </c>
      <c r="F23" s="131">
        <f>(E23-G23)/G23</f>
        <v>-0.4079121279795816</v>
      </c>
      <c r="G23" s="9">
        <v>21941</v>
      </c>
    </row>
    <row r="24" spans="2:8" s="1" customFormat="1">
      <c r="B24" s="159" t="s">
        <v>226</v>
      </c>
      <c r="C24" s="175">
        <f>C20-(C23+C22)</f>
        <v>16521</v>
      </c>
      <c r="D24" s="156">
        <f>(C24-E24)/E24</f>
        <v>-0.15863719698512935</v>
      </c>
      <c r="E24" s="175">
        <f>E20-(E23+E22)</f>
        <v>19636</v>
      </c>
      <c r="F24" s="157">
        <f>(E24-G24)/G24</f>
        <v>-0.54200681065447587</v>
      </c>
      <c r="G24" s="175">
        <f>G20-(G23+G22)</f>
        <v>42874</v>
      </c>
      <c r="H24" s="120"/>
    </row>
    <row r="25" spans="2:8" s="1" customFormat="1">
      <c r="B25" s="8"/>
      <c r="C25" s="137"/>
      <c r="D25" s="126"/>
      <c r="E25" s="9"/>
      <c r="F25" s="131"/>
      <c r="G25" s="9"/>
      <c r="H25" s="120"/>
    </row>
    <row r="26" spans="2:8">
      <c r="B26" s="8" t="s">
        <v>67</v>
      </c>
      <c r="C26" s="137">
        <v>427</v>
      </c>
      <c r="D26" s="107">
        <f>(C26-E26)/E26</f>
        <v>0.54151624548736466</v>
      </c>
      <c r="E26" s="9">
        <v>277</v>
      </c>
      <c r="F26" s="131">
        <f>(E26-G26)/G26</f>
        <v>-0.50973451327433628</v>
      </c>
      <c r="G26" s="9">
        <v>565</v>
      </c>
    </row>
    <row r="27" spans="2:8">
      <c r="B27" s="160" t="s">
        <v>227</v>
      </c>
      <c r="C27" s="176">
        <f>C24-C26</f>
        <v>16094</v>
      </c>
      <c r="D27" s="156">
        <f>(C27-E27)/E27</f>
        <v>-0.16865540575442947</v>
      </c>
      <c r="E27" s="161">
        <f>E24-E26</f>
        <v>19359</v>
      </c>
      <c r="F27" s="157">
        <f>(E27-G27)/G27</f>
        <v>-0.54243777919591574</v>
      </c>
      <c r="G27" s="161">
        <f>G24-G26</f>
        <v>42309</v>
      </c>
    </row>
    <row r="28" spans="2:8">
      <c r="B28" s="128"/>
      <c r="C28" s="139"/>
      <c r="D28" s="126"/>
      <c r="E28" s="135"/>
      <c r="F28" s="131"/>
      <c r="G28" s="135"/>
    </row>
    <row r="29" spans="2:8">
      <c r="B29" s="8"/>
      <c r="C29" s="137"/>
      <c r="D29" s="9"/>
      <c r="E29" s="124"/>
      <c r="F29" s="9"/>
      <c r="G29" s="125"/>
    </row>
    <row r="30" spans="2:8">
      <c r="B30" s="121" t="s">
        <v>230</v>
      </c>
    </row>
    <row r="31" spans="2:8">
      <c r="B31" s="122" t="s">
        <v>154</v>
      </c>
    </row>
    <row r="32" spans="2:8">
      <c r="B32" s="8" t="s">
        <v>231</v>
      </c>
      <c r="C32" s="137">
        <v>-3248</v>
      </c>
      <c r="D32" s="116">
        <f t="shared" ref="D32:D49" si="1">(C32-E32)/E32</f>
        <v>-3.3249821045096635</v>
      </c>
      <c r="E32" s="9">
        <v>1397</v>
      </c>
      <c r="F32" s="116">
        <f t="shared" ref="F32:F49" si="2">(E32-G32)/G32</f>
        <v>-1.4678499665103817</v>
      </c>
      <c r="G32" s="9">
        <v>-2986</v>
      </c>
    </row>
    <row r="33" spans="2:7">
      <c r="B33" s="117" t="s">
        <v>232</v>
      </c>
      <c r="C33" s="137">
        <v>5</v>
      </c>
      <c r="D33" s="116">
        <f t="shared" si="1"/>
        <v>-0.87804878048780488</v>
      </c>
      <c r="E33" s="9">
        <v>41</v>
      </c>
      <c r="F33" s="116">
        <f t="shared" si="2"/>
        <v>-1.5256410256410255</v>
      </c>
      <c r="G33" s="9">
        <v>-78</v>
      </c>
    </row>
    <row r="34" spans="2:7">
      <c r="B34" s="117" t="s">
        <v>233</v>
      </c>
      <c r="C34" s="137">
        <v>216</v>
      </c>
      <c r="D34" s="107">
        <f t="shared" si="1"/>
        <v>2.0422535211267605</v>
      </c>
      <c r="E34" s="9">
        <v>71</v>
      </c>
      <c r="F34" s="116">
        <f t="shared" si="2"/>
        <v>-1.3060344827586208</v>
      </c>
      <c r="G34" s="9">
        <v>-232</v>
      </c>
    </row>
    <row r="35" spans="2:7">
      <c r="B35" s="117" t="s">
        <v>234</v>
      </c>
      <c r="C35" s="137">
        <v>0</v>
      </c>
      <c r="D35" s="107">
        <f t="shared" si="1"/>
        <v>-1</v>
      </c>
      <c r="E35" s="9">
        <v>-44</v>
      </c>
      <c r="F35" s="116">
        <f t="shared" si="2"/>
        <v>-1.2444444444444445</v>
      </c>
      <c r="G35" s="9">
        <v>180</v>
      </c>
    </row>
    <row r="36" spans="2:7">
      <c r="B36" s="117" t="s">
        <v>235</v>
      </c>
      <c r="C36" s="137">
        <v>-73</v>
      </c>
      <c r="D36" s="116">
        <f t="shared" si="1"/>
        <v>-0.5067567567567568</v>
      </c>
      <c r="E36" s="9">
        <v>-148</v>
      </c>
      <c r="F36" s="116">
        <f t="shared" si="2"/>
        <v>-1.74</v>
      </c>
      <c r="G36" s="9">
        <v>200</v>
      </c>
    </row>
    <row r="37" spans="2:7">
      <c r="B37" s="117" t="s">
        <v>236</v>
      </c>
      <c r="C37" s="137">
        <v>-118</v>
      </c>
      <c r="D37" s="116">
        <f t="shared" si="1"/>
        <v>-7.5555555555555554</v>
      </c>
      <c r="E37" s="9">
        <v>18</v>
      </c>
      <c r="F37" s="116">
        <f t="shared" si="2"/>
        <v>-0.93430656934306566</v>
      </c>
      <c r="G37" s="9">
        <v>274</v>
      </c>
    </row>
    <row r="38" spans="2:7">
      <c r="B38" s="112" t="s">
        <v>237</v>
      </c>
      <c r="C38" s="137">
        <f>SUM(C32:C37)</f>
        <v>-3218</v>
      </c>
      <c r="D38" s="126"/>
      <c r="E38" s="9">
        <f>SUM(E32:E37)</f>
        <v>1335</v>
      </c>
      <c r="F38" s="126"/>
      <c r="G38" s="9">
        <f>SUM(G32:G37)</f>
        <v>-2642</v>
      </c>
    </row>
    <row r="39" spans="2:7">
      <c r="B39" s="238"/>
      <c r="C39" s="238"/>
      <c r="D39" s="238"/>
      <c r="E39" s="238"/>
      <c r="F39" s="238"/>
      <c r="G39" s="238"/>
    </row>
    <row r="40" spans="2:7">
      <c r="B40" s="122" t="s">
        <v>164</v>
      </c>
      <c r="C40" s="137"/>
      <c r="D40" s="126"/>
      <c r="E40" s="9"/>
      <c r="F40" s="126"/>
      <c r="G40" s="9"/>
    </row>
    <row r="41" spans="2:7" ht="16.8" customHeight="1">
      <c r="B41" s="112" t="s">
        <v>238</v>
      </c>
      <c r="C41" s="137">
        <v>1407</v>
      </c>
      <c r="D41" s="116">
        <f t="shared" si="1"/>
        <v>-2.2991689750692519</v>
      </c>
      <c r="E41" s="9">
        <v>-1083</v>
      </c>
      <c r="F41" s="116">
        <f t="shared" si="2"/>
        <v>-1.1981339187705817</v>
      </c>
      <c r="G41" s="9">
        <v>5466</v>
      </c>
    </row>
    <row r="42" spans="2:7">
      <c r="B42" s="112" t="s">
        <v>239</v>
      </c>
      <c r="C42" s="137">
        <v>28</v>
      </c>
      <c r="D42" s="116">
        <f t="shared" si="1"/>
        <v>-1.2828282828282829</v>
      </c>
      <c r="E42" s="9">
        <v>-99</v>
      </c>
      <c r="F42" s="107">
        <v>0</v>
      </c>
      <c r="G42" s="9">
        <v>-491</v>
      </c>
    </row>
    <row r="43" spans="2:7">
      <c r="B43" s="112" t="s">
        <v>240</v>
      </c>
      <c r="C43" s="137">
        <v>47</v>
      </c>
      <c r="D43" s="116">
        <f t="shared" si="1"/>
        <v>-1.2338308457711442</v>
      </c>
      <c r="E43" s="9">
        <v>-201</v>
      </c>
      <c r="F43" s="116">
        <f t="shared" si="2"/>
        <v>-0.20553359683794467</v>
      </c>
      <c r="G43" s="9">
        <v>-253</v>
      </c>
    </row>
    <row r="44" spans="2:7">
      <c r="B44" s="112" t="s">
        <v>237</v>
      </c>
      <c r="C44" s="137">
        <f>SUM(C41:C43)</f>
        <v>1482</v>
      </c>
      <c r="D44" s="126"/>
      <c r="E44" s="9">
        <f>SUM(E41:E43)</f>
        <v>-1383</v>
      </c>
      <c r="F44" s="126"/>
      <c r="G44" s="9">
        <f>SUM(G41:G43)</f>
        <v>4722</v>
      </c>
    </row>
    <row r="45" spans="2:7">
      <c r="B45" s="238"/>
      <c r="C45" s="238"/>
      <c r="D45" s="238"/>
      <c r="E45" s="238"/>
      <c r="F45" s="238"/>
      <c r="G45" s="238"/>
    </row>
    <row r="46" spans="2:7">
      <c r="B46" s="8" t="s">
        <v>241</v>
      </c>
      <c r="C46" s="137">
        <f>C44+C38</f>
        <v>-1736</v>
      </c>
      <c r="D46" s="107">
        <f>(C46-(-E46))/-E46</f>
        <v>-37.166666666666664</v>
      </c>
      <c r="E46" s="9">
        <f>E44+E38</f>
        <v>-48</v>
      </c>
      <c r="F46" s="116">
        <f t="shared" si="2"/>
        <v>-1.023076923076923</v>
      </c>
      <c r="G46" s="9">
        <f>G44+G38</f>
        <v>2080</v>
      </c>
    </row>
    <row r="47" spans="2:7">
      <c r="B47" s="159" t="s">
        <v>42</v>
      </c>
      <c r="C47" s="175">
        <f>C24-(-C46)</f>
        <v>14785</v>
      </c>
      <c r="D47" s="156">
        <f t="shared" si="1"/>
        <v>-0.24520114355727995</v>
      </c>
      <c r="E47" s="175">
        <f>E24-(-E46)</f>
        <v>19588</v>
      </c>
      <c r="F47" s="156">
        <f t="shared" si="2"/>
        <v>-0.56426569382034975</v>
      </c>
      <c r="G47" s="175">
        <f>G24-(-G46)</f>
        <v>44954</v>
      </c>
    </row>
    <row r="48" spans="2:7">
      <c r="B48" s="8" t="s">
        <v>41</v>
      </c>
      <c r="C48" s="137">
        <v>406</v>
      </c>
      <c r="D48" s="107">
        <f t="shared" si="1"/>
        <v>0.30128205128205127</v>
      </c>
      <c r="E48" s="9">
        <v>312</v>
      </c>
      <c r="F48" s="116">
        <f t="shared" si="2"/>
        <v>-0.49758454106280192</v>
      </c>
      <c r="G48" s="9">
        <v>621</v>
      </c>
    </row>
    <row r="49" spans="2:7">
      <c r="B49" s="162" t="s">
        <v>171</v>
      </c>
      <c r="C49" s="175">
        <f>C47-C48</f>
        <v>14379</v>
      </c>
      <c r="D49" s="156">
        <f t="shared" si="1"/>
        <v>-0.2540464826727537</v>
      </c>
      <c r="E49" s="158">
        <f>E47-E48</f>
        <v>19276</v>
      </c>
      <c r="F49" s="156">
        <f t="shared" si="2"/>
        <v>-0.56519973834389736</v>
      </c>
      <c r="G49" s="158">
        <f>G47-G48</f>
        <v>44333</v>
      </c>
    </row>
    <row r="50" spans="2:7">
      <c r="B50" s="150"/>
      <c r="C50" s="151"/>
      <c r="D50" s="105"/>
      <c r="E50" s="105"/>
      <c r="F50" s="105"/>
      <c r="G50" s="105"/>
    </row>
    <row r="51" spans="2:7">
      <c r="B51" s="150"/>
      <c r="C51" s="151"/>
      <c r="D51" s="105"/>
      <c r="E51" s="105"/>
      <c r="F51" s="105"/>
      <c r="G51" s="105"/>
    </row>
    <row r="52" spans="2:7">
      <c r="B52" s="237" t="s">
        <v>176</v>
      </c>
      <c r="C52" s="237"/>
      <c r="D52" s="237"/>
      <c r="E52" s="237"/>
      <c r="F52" s="237"/>
      <c r="G52" s="237"/>
    </row>
    <row r="53" spans="2:7">
      <c r="B53" s="8"/>
      <c r="C53" s="137"/>
      <c r="D53" s="9"/>
      <c r="E53" s="9"/>
      <c r="F53" s="9"/>
      <c r="G53" s="9"/>
    </row>
    <row r="54" spans="2:7">
      <c r="B54" s="177" t="s">
        <v>177</v>
      </c>
      <c r="C54" s="137"/>
      <c r="D54" s="9"/>
      <c r="E54" s="9"/>
      <c r="F54" s="9"/>
      <c r="G54" s="9"/>
    </row>
    <row r="55" spans="2:7">
      <c r="B55" s="233" t="s">
        <v>178</v>
      </c>
      <c r="C55" s="233"/>
      <c r="D55" s="233"/>
      <c r="E55" s="233"/>
      <c r="F55" s="233"/>
      <c r="G55" s="233"/>
    </row>
    <row r="56" spans="2:7">
      <c r="B56" s="8" t="s">
        <v>228</v>
      </c>
      <c r="C56" s="124">
        <v>2.5499999999999998</v>
      </c>
      <c r="D56" s="129">
        <f t="shared" ref="D56:F57" si="3">(C56-E56)/E56</f>
        <v>-0.11458333333333336</v>
      </c>
      <c r="E56" s="124">
        <v>2.88</v>
      </c>
      <c r="F56" s="129">
        <f t="shared" si="3"/>
        <v>-0.5</v>
      </c>
      <c r="G56" s="125">
        <v>5.76</v>
      </c>
    </row>
    <row r="57" spans="2:7">
      <c r="B57" s="8" t="s">
        <v>229</v>
      </c>
      <c r="C57" s="124">
        <v>2.5299999999999998</v>
      </c>
      <c r="D57" s="129">
        <f t="shared" si="3"/>
        <v>-0.11228070175438606</v>
      </c>
      <c r="E57" s="124">
        <v>2.85</v>
      </c>
      <c r="F57" s="129">
        <f t="shared" si="3"/>
        <v>-0.50087565674255685</v>
      </c>
      <c r="G57" s="125">
        <v>5.71</v>
      </c>
    </row>
    <row r="58" spans="2:7">
      <c r="B58" s="232"/>
      <c r="C58" s="232"/>
      <c r="D58" s="232"/>
      <c r="E58" s="232"/>
      <c r="F58" s="232"/>
      <c r="G58" s="232"/>
    </row>
  </sheetData>
  <mergeCells count="6">
    <mergeCell ref="B3:G3"/>
    <mergeCell ref="B52:G52"/>
    <mergeCell ref="B55:G55"/>
    <mergeCell ref="B58:G58"/>
    <mergeCell ref="B39:G39"/>
    <mergeCell ref="B45:G45"/>
  </mergeCells>
  <conditionalFormatting sqref="D1 F1:F24 D3:D24 D40:D44 F40:F44 D46:D51 F46:F51 D53:D54 D56:D57 F56:F57 D59:D1048576 F59:F1048576">
    <cfRule type="cellIs" dxfId="11" priority="21" operator="lessThan">
      <formula>0</formula>
    </cfRule>
  </conditionalFormatting>
  <conditionalFormatting sqref="D26:D38">
    <cfRule type="cellIs" dxfId="10" priority="3" operator="lessThan">
      <formula>0</formula>
    </cfRule>
  </conditionalFormatting>
  <conditionalFormatting sqref="F26:F38">
    <cfRule type="cellIs" dxfId="9" priority="8" operator="lessThan">
      <formula>0</formula>
    </cfRule>
  </conditionalFormatting>
  <conditionalFormatting sqref="F53:F54">
    <cfRule type="cellIs" dxfId="8" priority="20" operator="lessThan">
      <formula>0</formula>
    </cfRule>
  </conditionalFormatting>
  <pageMargins left="0.7" right="0.7" top="0.75" bottom="0.75" header="0.3" footer="0.3"/>
  <ignoredErrors>
    <ignoredError sqref="C10 G10" formulaRange="1"/>
    <ignoredError sqref="D10 F10 F19:F20 D19:D20 F24 D24:E24 D27 E27:F27 E46:F46 D46:D47 D49 E49:F49 E47:F47 E19:E20" formula="1"/>
    <ignoredError sqref="E10" formula="1" formulaRange="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0D4B7-731A-4003-81D6-C87C1D1BEC3B}">
  <dimension ref="B3:H61"/>
  <sheetViews>
    <sheetView topLeftCell="A18" zoomScale="90" zoomScaleNormal="90" workbookViewId="0">
      <selection activeCell="G39" sqref="G39"/>
    </sheetView>
  </sheetViews>
  <sheetFormatPr defaultColWidth="11.19921875" defaultRowHeight="15.6"/>
  <cols>
    <col min="2" max="2" width="67" bestFit="1" customWidth="1"/>
    <col min="3" max="3" width="8.3984375" bestFit="1" customWidth="1"/>
    <col min="4" max="4" width="6.59765625" style="104" bestFit="1" customWidth="1"/>
    <col min="5" max="5" width="8.3984375" bestFit="1" customWidth="1"/>
    <col min="6" max="6" width="6.59765625" style="114" bestFit="1" customWidth="1"/>
    <col min="7" max="7" width="8.3984375" bestFit="1" customWidth="1"/>
  </cols>
  <sheetData>
    <row r="3" spans="2:7" ht="18">
      <c r="B3" s="230" t="s">
        <v>242</v>
      </c>
      <c r="C3" s="230"/>
      <c r="D3" s="230"/>
      <c r="E3" s="230"/>
      <c r="F3" s="230"/>
      <c r="G3" s="230"/>
    </row>
    <row r="4" spans="2:7" ht="18">
      <c r="B4" s="127"/>
      <c r="C4" s="127"/>
      <c r="D4" s="127"/>
      <c r="E4" s="127"/>
      <c r="F4" s="130"/>
      <c r="G4" s="127"/>
    </row>
    <row r="5" spans="2:7">
      <c r="B5" s="179" t="s">
        <v>182</v>
      </c>
      <c r="C5" s="181" t="s">
        <v>170</v>
      </c>
      <c r="D5" s="182" t="s">
        <v>123</v>
      </c>
      <c r="E5" s="181" t="s">
        <v>170</v>
      </c>
      <c r="F5" s="183" t="s">
        <v>123</v>
      </c>
      <c r="G5" s="181" t="s">
        <v>170</v>
      </c>
    </row>
    <row r="6" spans="2:7">
      <c r="B6" s="180"/>
      <c r="C6" s="184">
        <v>2024</v>
      </c>
      <c r="D6" s="185" t="s">
        <v>122</v>
      </c>
      <c r="E6" s="184">
        <v>2023</v>
      </c>
      <c r="F6" s="185" t="s">
        <v>122</v>
      </c>
      <c r="G6" s="184">
        <v>2022</v>
      </c>
    </row>
    <row r="7" spans="2:7">
      <c r="B7" s="104"/>
      <c r="C7" s="141"/>
      <c r="D7" s="142"/>
      <c r="E7" s="141"/>
      <c r="F7" s="142"/>
      <c r="G7" s="141"/>
    </row>
    <row r="8" spans="2:7">
      <c r="B8" s="234" t="s">
        <v>36</v>
      </c>
      <c r="C8" s="234"/>
      <c r="D8" s="234"/>
      <c r="E8" s="234"/>
      <c r="F8" s="234"/>
      <c r="G8" s="234"/>
    </row>
    <row r="9" spans="2:7">
      <c r="B9" s="8" t="s">
        <v>184</v>
      </c>
      <c r="C9" s="9">
        <v>16032</v>
      </c>
      <c r="D9" s="107">
        <f t="shared" ref="D9:D18" si="0">(C9-E9)/E9</f>
        <v>-3.7695078031212484E-2</v>
      </c>
      <c r="E9" s="9">
        <v>16660</v>
      </c>
      <c r="F9" s="129">
        <f>(C9-E9)/E9</f>
        <v>-3.7695078031212484E-2</v>
      </c>
      <c r="G9">
        <v>16039</v>
      </c>
    </row>
    <row r="10" spans="2:7">
      <c r="B10" s="8" t="s">
        <v>243</v>
      </c>
      <c r="C10" s="9">
        <v>9480</v>
      </c>
      <c r="D10" s="107">
        <f t="shared" si="0"/>
        <v>-7.5392568028869594E-2</v>
      </c>
      <c r="E10" s="9">
        <v>10253</v>
      </c>
      <c r="F10" s="129">
        <f t="shared" ref="F10:F18" si="1">(E10-G10)/G10</f>
        <v>6.1167460153177394E-2</v>
      </c>
      <c r="G10" s="9">
        <v>9662</v>
      </c>
    </row>
    <row r="11" spans="2:7">
      <c r="B11" s="8" t="s">
        <v>183</v>
      </c>
      <c r="C11" s="9">
        <v>185219</v>
      </c>
      <c r="D11" s="107">
        <f t="shared" si="0"/>
        <v>-4.9354582082274744E-2</v>
      </c>
      <c r="E11" s="9">
        <v>194835</v>
      </c>
      <c r="F11" s="129"/>
      <c r="G11" s="9">
        <v>198642</v>
      </c>
    </row>
    <row r="12" spans="2:7">
      <c r="B12" s="8" t="s">
        <v>244</v>
      </c>
      <c r="C12" s="9">
        <v>23445</v>
      </c>
      <c r="D12" s="107">
        <f t="shared" si="0"/>
        <v>-4.1378746371182072E-2</v>
      </c>
      <c r="E12" s="9">
        <v>24457</v>
      </c>
      <c r="F12" s="129"/>
      <c r="G12" s="9">
        <v>23864</v>
      </c>
    </row>
    <row r="13" spans="2:7">
      <c r="B13" s="8" t="s">
        <v>245</v>
      </c>
      <c r="C13" s="9">
        <v>2255</v>
      </c>
      <c r="D13" s="107">
        <f t="shared" si="0"/>
        <v>-0.30529882932840419</v>
      </c>
      <c r="E13" s="9">
        <v>3246</v>
      </c>
      <c r="F13" s="129"/>
      <c r="G13" s="9">
        <v>3362</v>
      </c>
    </row>
    <row r="14" spans="2:7">
      <c r="B14" s="8" t="s">
        <v>246</v>
      </c>
      <c r="C14" s="9">
        <v>6857</v>
      </c>
      <c r="D14" s="107">
        <f t="shared" si="0"/>
        <v>6.2441896498295631E-2</v>
      </c>
      <c r="E14" s="9">
        <v>6454</v>
      </c>
      <c r="F14" s="129">
        <f t="shared" si="1"/>
        <v>-0.17415227127319258</v>
      </c>
      <c r="G14" s="9">
        <v>7815</v>
      </c>
    </row>
    <row r="15" spans="2:7">
      <c r="B15" s="8" t="s">
        <v>247</v>
      </c>
      <c r="C15" s="9">
        <v>10003</v>
      </c>
      <c r="D15" s="107">
        <f t="shared" si="0"/>
        <v>9.3104578734564528E-2</v>
      </c>
      <c r="E15" s="9">
        <v>9151</v>
      </c>
      <c r="F15" s="129">
        <f t="shared" si="1"/>
        <v>-0.10284313725490196</v>
      </c>
      <c r="G15" s="9">
        <v>10200</v>
      </c>
    </row>
    <row r="16" spans="2:7">
      <c r="B16" s="8" t="s">
        <v>190</v>
      </c>
      <c r="C16" s="9">
        <v>6018</v>
      </c>
      <c r="D16" s="107">
        <f t="shared" si="0"/>
        <v>-4.4458558272467447E-2</v>
      </c>
      <c r="E16" s="9">
        <v>6298</v>
      </c>
      <c r="F16" s="129">
        <f t="shared" si="1"/>
        <v>-8.9884393063583812E-2</v>
      </c>
      <c r="G16" s="9">
        <v>6920</v>
      </c>
    </row>
    <row r="17" spans="2:8">
      <c r="B17" s="8" t="s">
        <v>191</v>
      </c>
      <c r="C17" s="9">
        <v>374</v>
      </c>
      <c r="D17" s="107">
        <f t="shared" si="0"/>
        <v>-0.53308364544319597</v>
      </c>
      <c r="E17" s="9">
        <v>801</v>
      </c>
      <c r="F17" s="129">
        <f t="shared" si="1"/>
        <v>0.37628865979381443</v>
      </c>
      <c r="G17" s="9">
        <v>582</v>
      </c>
    </row>
    <row r="18" spans="2:8" s="64" customFormat="1">
      <c r="B18" s="143"/>
      <c r="C18" s="155">
        <f>SUM(C9:C17)</f>
        <v>259683</v>
      </c>
      <c r="D18" s="156">
        <f t="shared" si="0"/>
        <v>-4.5826826624533815E-2</v>
      </c>
      <c r="E18" s="155">
        <f>SUM(E9:E17)</f>
        <v>272155</v>
      </c>
      <c r="F18" s="157">
        <f t="shared" si="1"/>
        <v>-1.7795918956569439E-2</v>
      </c>
      <c r="G18" s="155">
        <f>SUM(G9:G17)</f>
        <v>277086</v>
      </c>
    </row>
    <row r="19" spans="2:8" s="1" customFormat="1">
      <c r="B19" s="109" t="s">
        <v>30</v>
      </c>
      <c r="D19" s="126"/>
      <c r="F19" s="131"/>
    </row>
    <row r="20" spans="2:8">
      <c r="B20" s="8" t="s">
        <v>248</v>
      </c>
      <c r="C20" s="9">
        <v>23426</v>
      </c>
      <c r="D20" s="126">
        <f t="shared" ref="D20:D25" si="2">(C20-E20)/E20</f>
        <v>-9.9657942272954381E-2</v>
      </c>
      <c r="E20" s="9">
        <v>26019</v>
      </c>
      <c r="F20" s="129">
        <f t="shared" ref="F20:F25" si="3">(E20-G20)/G20</f>
        <v>-0.18420392550322945</v>
      </c>
      <c r="G20" s="9">
        <v>31894</v>
      </c>
    </row>
    <row r="21" spans="2:8">
      <c r="B21" s="8" t="s">
        <v>190</v>
      </c>
      <c r="C21" s="9">
        <v>45860</v>
      </c>
      <c r="D21" s="107">
        <f t="shared" si="2"/>
        <v>-0.13915116475512923</v>
      </c>
      <c r="E21" s="9">
        <v>53273</v>
      </c>
      <c r="F21" s="129">
        <f t="shared" si="3"/>
        <v>-0.19902270335287928</v>
      </c>
      <c r="G21" s="9">
        <v>66510</v>
      </c>
    </row>
    <row r="22" spans="2:8">
      <c r="B22" s="8" t="s">
        <v>191</v>
      </c>
      <c r="C22" s="9">
        <v>9673</v>
      </c>
      <c r="D22" s="107">
        <f t="shared" si="2"/>
        <v>-0.3593191151145847</v>
      </c>
      <c r="E22" s="9">
        <v>15098</v>
      </c>
      <c r="F22" s="129">
        <f t="shared" si="3"/>
        <v>-0.38216638703605188</v>
      </c>
      <c r="G22" s="9">
        <v>24437</v>
      </c>
    </row>
    <row r="23" spans="2:8">
      <c r="B23" s="8" t="s">
        <v>249</v>
      </c>
      <c r="C23" s="9">
        <v>39110</v>
      </c>
      <c r="D23" s="107">
        <f t="shared" si="2"/>
        <v>8.6656006602362414E-3</v>
      </c>
      <c r="E23" s="9">
        <v>38774</v>
      </c>
      <c r="F23" s="129">
        <f t="shared" si="3"/>
        <v>-3.6575063360333948E-2</v>
      </c>
      <c r="G23" s="9">
        <v>40246</v>
      </c>
    </row>
    <row r="24" spans="2:8">
      <c r="B24" s="8"/>
      <c r="C24" s="178">
        <f>SUM(C20:C23)</f>
        <v>118069</v>
      </c>
      <c r="D24" s="156">
        <f t="shared" si="2"/>
        <v>-0.1133564627076387</v>
      </c>
      <c r="E24" s="178">
        <f>SUM(E20:E23)</f>
        <v>133164</v>
      </c>
      <c r="F24" s="157">
        <f t="shared" si="3"/>
        <v>-0.18347875673720163</v>
      </c>
      <c r="G24" s="178">
        <f>SUM(G20:G23)</f>
        <v>163087</v>
      </c>
    </row>
    <row r="25" spans="2:8">
      <c r="B25" s="8" t="s">
        <v>197</v>
      </c>
      <c r="C25" s="9">
        <v>9857</v>
      </c>
      <c r="D25" s="107">
        <f t="shared" si="2"/>
        <v>9.3648790746582549</v>
      </c>
      <c r="E25" s="9">
        <v>951</v>
      </c>
      <c r="F25" s="131">
        <f t="shared" si="3"/>
        <v>-0.66643283058575942</v>
      </c>
      <c r="G25" s="9">
        <v>2851</v>
      </c>
    </row>
    <row r="26" spans="2:8">
      <c r="B26" s="8"/>
      <c r="C26" s="9"/>
      <c r="D26" s="106"/>
      <c r="E26" s="105"/>
      <c r="F26" s="132"/>
      <c r="G26" s="9"/>
    </row>
    <row r="27" spans="2:8" s="1" customFormat="1">
      <c r="B27" s="164" t="s">
        <v>32</v>
      </c>
      <c r="C27" s="165">
        <f>C24+C25+C18</f>
        <v>387609</v>
      </c>
      <c r="D27" s="166">
        <f>(C27-E27)/E27</f>
        <v>-4.5932507938070744E-2</v>
      </c>
      <c r="E27" s="165">
        <f>E24+E25+E18</f>
        <v>406270</v>
      </c>
      <c r="F27" s="157">
        <f>(E27-G27)/G27</f>
        <v>-8.2961645418758348E-2</v>
      </c>
      <c r="G27" s="165">
        <f>G24+G25+G18</f>
        <v>443024</v>
      </c>
      <c r="H27" s="65"/>
    </row>
    <row r="28" spans="2:8">
      <c r="B28" s="8"/>
      <c r="C28" s="9"/>
      <c r="D28" s="126"/>
      <c r="E28" s="9"/>
      <c r="F28" s="131"/>
      <c r="G28" s="9"/>
    </row>
    <row r="29" spans="2:8">
      <c r="B29" s="235" t="s">
        <v>37</v>
      </c>
      <c r="C29" s="235"/>
      <c r="D29" s="235"/>
      <c r="E29" s="235"/>
      <c r="F29" s="235"/>
      <c r="G29" s="235"/>
    </row>
    <row r="30" spans="2:8">
      <c r="B30" s="112" t="s">
        <v>250</v>
      </c>
      <c r="C30" s="113">
        <v>65448</v>
      </c>
      <c r="D30" s="107">
        <f t="shared" ref="D30:D36" si="4">(C30-E30)/E30</f>
        <v>-8.6049434436531208E-2</v>
      </c>
      <c r="E30" s="113">
        <v>71610</v>
      </c>
      <c r="F30" s="129">
        <f t="shared" ref="F30:F36" si="5">(E30-G30)/G30</f>
        <v>-4.257025964649571E-2</v>
      </c>
      <c r="G30" s="133">
        <v>74794</v>
      </c>
    </row>
    <row r="31" spans="2:8">
      <c r="B31" s="8" t="s">
        <v>198</v>
      </c>
      <c r="C31" s="9">
        <v>3290</v>
      </c>
      <c r="D31" s="107">
        <f t="shared" si="4"/>
        <v>6.0264260393167901E-2</v>
      </c>
      <c r="E31" s="9">
        <v>3103</v>
      </c>
      <c r="F31" s="129">
        <f t="shared" si="5"/>
        <v>-9.5862470862470864E-2</v>
      </c>
      <c r="G31" s="9">
        <v>3432</v>
      </c>
    </row>
    <row r="32" spans="2:8">
      <c r="B32" s="8" t="s">
        <v>191</v>
      </c>
      <c r="C32" s="9">
        <v>2185</v>
      </c>
      <c r="D32" s="107">
        <f t="shared" si="4"/>
        <v>-5.0412863972186008E-2</v>
      </c>
      <c r="E32" s="9">
        <v>2301</v>
      </c>
      <c r="F32" s="129">
        <f t="shared" si="5"/>
        <v>-0.3541959023294976</v>
      </c>
      <c r="G32" s="9">
        <v>3563</v>
      </c>
    </row>
    <row r="33" spans="2:7">
      <c r="B33" s="117" t="s">
        <v>246</v>
      </c>
      <c r="C33" s="9">
        <v>13505</v>
      </c>
      <c r="D33" s="107">
        <f t="shared" si="4"/>
        <v>-0.12002345735322864</v>
      </c>
      <c r="E33" s="9">
        <v>15347</v>
      </c>
      <c r="F33" s="129">
        <f t="shared" si="5"/>
        <v>-5.1834919065859388E-2</v>
      </c>
      <c r="G33" s="9">
        <v>16186</v>
      </c>
    </row>
    <row r="34" spans="2:7">
      <c r="B34" s="117" t="s">
        <v>251</v>
      </c>
      <c r="C34" s="9">
        <v>6752</v>
      </c>
      <c r="D34" s="107">
        <f t="shared" si="4"/>
        <v>-0.10557689760233144</v>
      </c>
      <c r="E34" s="9">
        <v>7549</v>
      </c>
      <c r="F34" s="129">
        <f t="shared" si="5"/>
        <v>3.4676535087719298E-2</v>
      </c>
      <c r="G34" s="9">
        <v>7296</v>
      </c>
    </row>
    <row r="35" spans="2:7">
      <c r="B35" s="117" t="s">
        <v>252</v>
      </c>
      <c r="C35" s="9">
        <v>21227</v>
      </c>
      <c r="D35" s="107">
        <f t="shared" si="4"/>
        <v>-5.7875815543029605E-2</v>
      </c>
      <c r="E35" s="9">
        <v>22531</v>
      </c>
      <c r="F35" s="129">
        <f t="shared" si="5"/>
        <v>-5.510589222059132E-2</v>
      </c>
      <c r="G35" s="9">
        <v>23845</v>
      </c>
    </row>
    <row r="36" spans="2:7">
      <c r="C36" s="158">
        <f>SUM(C30:C35)</f>
        <v>112407</v>
      </c>
      <c r="D36" s="156">
        <f t="shared" si="4"/>
        <v>-8.1949673720404112E-2</v>
      </c>
      <c r="E36" s="158">
        <f>SUM(E30:E35)</f>
        <v>122441</v>
      </c>
      <c r="F36" s="157">
        <f t="shared" si="5"/>
        <v>-5.1697698193872176E-2</v>
      </c>
      <c r="G36" s="158">
        <f>SUM(G30:G35)</f>
        <v>129116</v>
      </c>
    </row>
    <row r="37" spans="2:7">
      <c r="B37" s="236" t="s">
        <v>33</v>
      </c>
      <c r="C37" s="236"/>
      <c r="D37" s="236"/>
      <c r="E37" s="236"/>
      <c r="F37" s="236"/>
      <c r="G37" s="236"/>
    </row>
    <row r="38" spans="2:7">
      <c r="B38" s="8" t="s">
        <v>250</v>
      </c>
      <c r="C38" s="9">
        <v>11630</v>
      </c>
      <c r="D38" s="107">
        <f t="shared" ref="D38:D45" si="6">(C38-E38)/E38</f>
        <v>0.17108045514046924</v>
      </c>
      <c r="E38" s="9">
        <v>9931</v>
      </c>
      <c r="F38" s="129">
        <f t="shared" ref="F38:F45" si="7">(E38-G38)/G38</f>
        <v>0.10332185312743028</v>
      </c>
      <c r="G38" s="9">
        <v>9001</v>
      </c>
    </row>
    <row r="39" spans="2:7">
      <c r="B39" s="8" t="s">
        <v>198</v>
      </c>
      <c r="C39" s="9">
        <v>60693</v>
      </c>
      <c r="D39" s="107">
        <f t="shared" si="6"/>
        <v>-0.11055585679323535</v>
      </c>
      <c r="E39" s="9">
        <v>68237</v>
      </c>
      <c r="F39" s="129">
        <f t="shared" si="7"/>
        <v>-0.14012626485376212</v>
      </c>
      <c r="G39" s="9">
        <v>79357</v>
      </c>
    </row>
    <row r="40" spans="2:7">
      <c r="B40" s="8" t="s">
        <v>253</v>
      </c>
      <c r="C40" s="9">
        <v>7391</v>
      </c>
      <c r="D40" s="107">
        <f t="shared" si="6"/>
        <v>-0.22436771959282192</v>
      </c>
      <c r="E40" s="9">
        <v>9529</v>
      </c>
      <c r="F40" s="129">
        <f t="shared" si="7"/>
        <v>-0.59926826191177085</v>
      </c>
      <c r="G40" s="9">
        <v>23779</v>
      </c>
    </row>
    <row r="41" spans="2:7">
      <c r="B41" s="8" t="s">
        <v>254</v>
      </c>
      <c r="C41" s="9">
        <v>4648</v>
      </c>
      <c r="D41" s="107">
        <f t="shared" si="6"/>
        <v>0.3582700175336061</v>
      </c>
      <c r="E41" s="9">
        <v>3422</v>
      </c>
      <c r="F41" s="129">
        <f t="shared" si="7"/>
        <v>-0.29718628055042101</v>
      </c>
      <c r="G41" s="9">
        <v>4869</v>
      </c>
    </row>
    <row r="42" spans="2:7">
      <c r="B42" s="8" t="s">
        <v>255</v>
      </c>
      <c r="C42" s="9">
        <v>4469</v>
      </c>
      <c r="D42" s="107">
        <f t="shared" si="6"/>
        <v>0.10591437762929967</v>
      </c>
      <c r="E42" s="9">
        <v>4041</v>
      </c>
      <c r="F42" s="129">
        <f t="shared" si="7"/>
        <v>0.388659793814433</v>
      </c>
      <c r="G42" s="9">
        <v>2910</v>
      </c>
    </row>
    <row r="43" spans="2:7">
      <c r="B43" s="8"/>
      <c r="C43" s="158">
        <f>SUM(C38:C42)</f>
        <v>88831</v>
      </c>
      <c r="D43" s="156">
        <f t="shared" si="6"/>
        <v>-6.650903741067675E-2</v>
      </c>
      <c r="E43" s="158">
        <f>SUM(E38:E42)</f>
        <v>95160</v>
      </c>
      <c r="F43" s="156">
        <f t="shared" si="7"/>
        <v>-0.20644451115781046</v>
      </c>
      <c r="G43" s="158">
        <f>SUM(G38:G42)</f>
        <v>119916</v>
      </c>
    </row>
    <row r="44" spans="2:7">
      <c r="B44" s="117" t="s">
        <v>204</v>
      </c>
      <c r="C44" s="9">
        <v>6203</v>
      </c>
      <c r="D44" s="107">
        <f t="shared" si="6"/>
        <v>19.205211726384366</v>
      </c>
      <c r="E44" s="9">
        <v>307</v>
      </c>
      <c r="F44" s="116">
        <f t="shared" si="7"/>
        <v>-0.77992831541218643</v>
      </c>
      <c r="G44" s="9">
        <v>1395</v>
      </c>
    </row>
    <row r="45" spans="2:7">
      <c r="B45" s="112"/>
      <c r="C45" s="158">
        <f>C43+C44</f>
        <v>95034</v>
      </c>
      <c r="D45" s="156">
        <f t="shared" si="6"/>
        <v>-4.5355986885520653E-3</v>
      </c>
      <c r="E45" s="158">
        <f>E43+E44</f>
        <v>95467</v>
      </c>
      <c r="F45" s="157">
        <f t="shared" si="7"/>
        <v>-0.21303921326178171</v>
      </c>
      <c r="G45" s="158">
        <f>G43+G44</f>
        <v>121311</v>
      </c>
    </row>
    <row r="46" spans="2:7">
      <c r="B46" s="8"/>
      <c r="C46" s="9"/>
      <c r="D46" s="126"/>
      <c r="E46" s="9"/>
      <c r="F46" s="126"/>
      <c r="G46" s="9"/>
    </row>
    <row r="47" spans="2:7">
      <c r="B47" s="162" t="s">
        <v>38</v>
      </c>
      <c r="C47" s="158">
        <f>C36+C45</f>
        <v>207441</v>
      </c>
      <c r="D47" s="156">
        <f>(C47-E47)/E47</f>
        <v>-4.8034032711052374E-2</v>
      </c>
      <c r="E47" s="158">
        <f>E36+E45</f>
        <v>217908</v>
      </c>
      <c r="F47" s="157">
        <f>(E47-G47)/G47</f>
        <v>-0.12985420901100919</v>
      </c>
      <c r="G47" s="158">
        <f>G36+G45</f>
        <v>250427</v>
      </c>
    </row>
    <row r="48" spans="2:7">
      <c r="B48" s="109"/>
      <c r="C48" s="9"/>
      <c r="D48" s="126"/>
      <c r="E48" s="9"/>
      <c r="F48" s="126"/>
      <c r="G48" s="9"/>
    </row>
    <row r="49" spans="2:7">
      <c r="B49" s="164" t="s">
        <v>213</v>
      </c>
      <c r="C49" s="168">
        <f>C27-C47</f>
        <v>180168</v>
      </c>
      <c r="D49" s="169">
        <f>(C49-E49)/E49</f>
        <v>-4.350134315838651E-2</v>
      </c>
      <c r="E49" s="168">
        <f>E27-E47</f>
        <v>188362</v>
      </c>
      <c r="F49" s="156">
        <f>(E49-G49)/G49</f>
        <v>-2.1988919868949151E-2</v>
      </c>
      <c r="G49" s="168">
        <f>G27-G47</f>
        <v>192597</v>
      </c>
    </row>
    <row r="50" spans="2:7">
      <c r="B50" s="8"/>
      <c r="C50" s="9"/>
      <c r="D50" s="9"/>
      <c r="E50" s="9"/>
      <c r="F50" s="9"/>
      <c r="G50" s="9"/>
    </row>
    <row r="51" spans="2:7">
      <c r="B51" s="109" t="s">
        <v>211</v>
      </c>
      <c r="C51" s="9"/>
      <c r="D51" s="9"/>
      <c r="E51" s="9"/>
      <c r="F51" s="9"/>
      <c r="G51" s="9"/>
    </row>
    <row r="52" spans="2:7">
      <c r="B52" s="8" t="s">
        <v>256</v>
      </c>
      <c r="C52" s="9">
        <v>510</v>
      </c>
      <c r="D52" s="107">
        <f t="shared" ref="D52:D58" si="8">(C52-E52)/E52</f>
        <v>-6.25E-2</v>
      </c>
      <c r="E52" s="9">
        <v>544</v>
      </c>
      <c r="F52" s="107">
        <f t="shared" ref="F52:F58" si="9">(E52-G52)/G52</f>
        <v>-6.8493150684931503E-2</v>
      </c>
      <c r="G52" s="9">
        <v>584</v>
      </c>
    </row>
    <row r="53" spans="2:7">
      <c r="B53" s="8" t="s">
        <v>257</v>
      </c>
      <c r="C53" s="9">
        <v>-803</v>
      </c>
      <c r="D53" s="107">
        <f>(C53-E53)/E53</f>
        <v>-0.19458375125376129</v>
      </c>
      <c r="E53" s="9">
        <v>-997</v>
      </c>
      <c r="F53" s="107">
        <f>(E53-G53)/(-G53)</f>
        <v>-0.37327823691460055</v>
      </c>
      <c r="G53" s="9">
        <v>-726</v>
      </c>
    </row>
    <row r="54" spans="2:7">
      <c r="B54" s="115" t="s">
        <v>258</v>
      </c>
      <c r="C54" s="9">
        <v>19766</v>
      </c>
      <c r="D54" s="107">
        <f t="shared" si="8"/>
        <v>-6.5216363206431774E-2</v>
      </c>
      <c r="E54" s="9">
        <v>21145</v>
      </c>
      <c r="F54" s="107">
        <f t="shared" si="9"/>
        <v>6.1518076850274462E-4</v>
      </c>
      <c r="G54" s="9">
        <v>21132</v>
      </c>
    </row>
    <row r="55" spans="2:7">
      <c r="B55" s="8" t="s">
        <v>259</v>
      </c>
      <c r="C55" s="9">
        <v>158834</v>
      </c>
      <c r="D55" s="107">
        <f t="shared" si="8"/>
        <v>-4.2678479944549923E-2</v>
      </c>
      <c r="E55" s="9">
        <v>165915</v>
      </c>
      <c r="F55" s="107">
        <f t="shared" si="9"/>
        <v>-2.1046482812334052E-2</v>
      </c>
      <c r="G55" s="9">
        <v>169482</v>
      </c>
    </row>
    <row r="56" spans="2:7">
      <c r="B56" s="239"/>
      <c r="C56" s="239"/>
      <c r="D56" s="239"/>
      <c r="E56" s="239"/>
      <c r="F56" s="239"/>
      <c r="G56" s="239"/>
    </row>
    <row r="57" spans="2:7">
      <c r="B57" s="8" t="s">
        <v>260</v>
      </c>
      <c r="C57" s="9">
        <v>178307</v>
      </c>
      <c r="D57" s="107">
        <f t="shared" si="8"/>
        <v>-4.4478502950050104E-2</v>
      </c>
      <c r="E57" s="9">
        <v>186607</v>
      </c>
      <c r="F57" s="107">
        <f t="shared" si="9"/>
        <v>-2.0291696417321183E-2</v>
      </c>
      <c r="G57" s="9">
        <v>190472</v>
      </c>
    </row>
    <row r="58" spans="2:7">
      <c r="B58" s="8" t="s">
        <v>69</v>
      </c>
      <c r="C58" s="9">
        <v>1861</v>
      </c>
      <c r="D58" s="107">
        <f t="shared" si="8"/>
        <v>6.0398860398860402E-2</v>
      </c>
      <c r="E58" s="9">
        <v>1755</v>
      </c>
      <c r="F58" s="107">
        <f t="shared" si="9"/>
        <v>-0.17411764705882352</v>
      </c>
      <c r="G58" s="9">
        <v>2125</v>
      </c>
    </row>
    <row r="59" spans="2:7">
      <c r="B59" s="170" t="s">
        <v>34</v>
      </c>
      <c r="C59" s="171">
        <f>SUM(C57:C58)</f>
        <v>180168</v>
      </c>
      <c r="D59" s="169">
        <f>(C59-E59)/E59</f>
        <v>-4.350134315838651E-2</v>
      </c>
      <c r="E59" s="171">
        <f>SUM(E57:E58)</f>
        <v>188362</v>
      </c>
      <c r="F59" s="156">
        <f>(E59-G59)/G59</f>
        <v>-2.1988919868949151E-2</v>
      </c>
      <c r="G59" s="171">
        <f>SUM(G57:G58)</f>
        <v>192597</v>
      </c>
    </row>
    <row r="61" spans="2:7">
      <c r="B61" s="8" t="s">
        <v>261</v>
      </c>
      <c r="C61" s="144">
        <f>C59+C47</f>
        <v>387609</v>
      </c>
      <c r="D61" s="114"/>
      <c r="E61" s="144">
        <f>E59+E47</f>
        <v>406270</v>
      </c>
      <c r="G61" s="144">
        <f>G59+G47</f>
        <v>443024</v>
      </c>
    </row>
  </sheetData>
  <mergeCells count="5">
    <mergeCell ref="B56:G56"/>
    <mergeCell ref="B3:G3"/>
    <mergeCell ref="B8:G8"/>
    <mergeCell ref="B29:G29"/>
    <mergeCell ref="B37:G37"/>
  </mergeCells>
  <conditionalFormatting sqref="D1 D3:D7 D30:D36 D38:D55 D57:D1048576 F57:F1048576">
    <cfRule type="cellIs" dxfId="7" priority="15" operator="lessThan">
      <formula>0</formula>
    </cfRule>
  </conditionalFormatting>
  <conditionalFormatting sqref="D9:D28">
    <cfRule type="cellIs" dxfId="6" priority="13" operator="lessThan">
      <formula>0</formula>
    </cfRule>
  </conditionalFormatting>
  <conditionalFormatting sqref="F1:F7">
    <cfRule type="cellIs" dxfId="5" priority="14" operator="lessThan">
      <formula>0</formula>
    </cfRule>
  </conditionalFormatting>
  <conditionalFormatting sqref="F9:F28">
    <cfRule type="cellIs" dxfId="4" priority="12" operator="lessThan">
      <formula>0</formula>
    </cfRule>
  </conditionalFormatting>
  <conditionalFormatting sqref="F30:F36">
    <cfRule type="cellIs" dxfId="3" priority="4" operator="lessThan">
      <formula>0</formula>
    </cfRule>
  </conditionalFormatting>
  <conditionalFormatting sqref="F38:F55">
    <cfRule type="cellIs" dxfId="2" priority="1" operator="lessThan">
      <formula>0</formula>
    </cfRule>
  </conditionalFormatting>
  <pageMargins left="0.7" right="0.7" top="0.75" bottom="0.75" header="0.3" footer="0.3"/>
  <ignoredErrors>
    <ignoredError sqref="D18 E18:F18 D24 E24:F24 D27:F27 D36 E36:F36 F45 F43 D43:E43 D45:E45 D47 D49 E47:F47 E49:F49 F59 D59:E59"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DA48D-980C-4130-9458-4EEE28CD1ADD}">
  <dimension ref="B2:J30"/>
  <sheetViews>
    <sheetView zoomScaleNormal="130" workbookViewId="0">
      <selection activeCell="J25" sqref="J25"/>
    </sheetView>
  </sheetViews>
  <sheetFormatPr defaultColWidth="10.796875" defaultRowHeight="14.4"/>
  <cols>
    <col min="1" max="1" width="10.796875" style="66"/>
    <col min="2" max="2" width="6.19921875" style="66" bestFit="1" customWidth="1"/>
    <col min="3" max="3" width="16.5" style="66" bestFit="1" customWidth="1"/>
    <col min="4" max="4" width="33.69921875" style="66" bestFit="1" customWidth="1"/>
    <col min="5" max="5" width="6.8984375" style="66" bestFit="1" customWidth="1"/>
    <col min="6" max="6" width="6" style="66" bestFit="1" customWidth="1"/>
    <col min="7" max="7" width="6.5" style="66" bestFit="1" customWidth="1"/>
    <col min="8" max="8" width="10.796875" style="66"/>
    <col min="9" max="9" width="3.796875" style="66" bestFit="1" customWidth="1"/>
    <col min="10" max="10" width="20.69921875" style="66" bestFit="1" customWidth="1"/>
    <col min="11" max="16384" width="10.796875" style="66"/>
  </cols>
  <sheetData>
    <row r="2" spans="2:10">
      <c r="B2" s="69" t="s">
        <v>267</v>
      </c>
    </row>
    <row r="4" spans="2:10">
      <c r="B4" s="70" t="s">
        <v>0</v>
      </c>
      <c r="C4" s="70" t="s">
        <v>1</v>
      </c>
      <c r="D4" s="70" t="s">
        <v>51</v>
      </c>
      <c r="E4" s="70">
        <v>2024</v>
      </c>
      <c r="F4" s="70">
        <v>2023</v>
      </c>
      <c r="G4" s="70">
        <v>2022</v>
      </c>
    </row>
    <row r="5" spans="2:10">
      <c r="B5" s="71">
        <v>1</v>
      </c>
      <c r="C5" s="71" t="s">
        <v>2</v>
      </c>
      <c r="D5" s="71" t="s">
        <v>3</v>
      </c>
      <c r="E5" s="72">
        <f>'Ratios Calculation'!I5</f>
        <v>8.4690871198206771E-2</v>
      </c>
      <c r="F5" s="73">
        <f>'Ratios Calculation'!J5</f>
        <v>0.2038415956709376</v>
      </c>
      <c r="G5" s="73">
        <f>'Ratios Calculation'!K5</f>
        <v>0.14233524807473805</v>
      </c>
      <c r="J5" s="74"/>
    </row>
    <row r="6" spans="2:10">
      <c r="B6" s="71">
        <v>2</v>
      </c>
      <c r="C6" s="71" t="s">
        <v>2</v>
      </c>
      <c r="D6" s="71" t="s">
        <v>4</v>
      </c>
      <c r="E6" s="72">
        <f>'Ratios Calculation'!I8</f>
        <v>1.5692433412497764E-2</v>
      </c>
      <c r="F6" s="73">
        <f>'Ratios Calculation'!J8</f>
        <v>0.18574620144339302</v>
      </c>
      <c r="G6" s="73">
        <f>'Ratios Calculation'!K8</f>
        <v>-1.6351367634654779E-2</v>
      </c>
      <c r="J6" s="74"/>
    </row>
    <row r="7" spans="2:10">
      <c r="B7" s="71">
        <v>3</v>
      </c>
      <c r="C7" s="71" t="s">
        <v>2</v>
      </c>
      <c r="D7" s="71" t="s">
        <v>5</v>
      </c>
      <c r="E7" s="75">
        <f>'Ratios Calculation'!I11</f>
        <v>1.4182740964532841</v>
      </c>
      <c r="F7" s="75">
        <f>'Ratios Calculation'!J11</f>
        <v>1.5662291391814436</v>
      </c>
      <c r="G7" s="75">
        <f>'Ratios Calculation'!K11</f>
        <v>1.9046837520515087</v>
      </c>
      <c r="J7" s="74"/>
    </row>
    <row r="8" spans="2:10">
      <c r="B8" s="71">
        <v>4</v>
      </c>
      <c r="C8" s="71" t="s">
        <v>2</v>
      </c>
      <c r="D8" s="71" t="s">
        <v>52</v>
      </c>
      <c r="E8" s="76">
        <f>'Ratios Calculation'!I14</f>
        <v>0.1834659196025055</v>
      </c>
      <c r="F8" s="76">
        <f>'Ratios Calculation'!J14</f>
        <v>0.24258316280397849</v>
      </c>
      <c r="G8" s="76">
        <f>'Ratios Calculation'!K14</f>
        <v>0.25930851063829785</v>
      </c>
    </row>
    <row r="9" spans="2:10">
      <c r="B9" s="71">
        <v>5</v>
      </c>
      <c r="C9" s="71" t="s">
        <v>2</v>
      </c>
      <c r="D9" s="71" t="s">
        <v>18</v>
      </c>
      <c r="E9" s="76">
        <f>'Ratios Calculation'!I17</f>
        <v>6.4962867034912917E-3</v>
      </c>
      <c r="F9" s="76">
        <f>'Ratios Calculation'!J17</f>
        <v>7.557226478846428E-2</v>
      </c>
      <c r="G9" s="76">
        <f>'Ratios Calculation'!K17</f>
        <v>-5.6215616093325382E-3</v>
      </c>
      <c r="I9" s="77"/>
    </row>
    <row r="10" spans="2:10">
      <c r="B10" s="71">
        <v>6</v>
      </c>
      <c r="C10" s="71" t="s">
        <v>2</v>
      </c>
      <c r="D10" s="71" t="s">
        <v>64</v>
      </c>
      <c r="E10" s="76">
        <f>'Ratios Calculation'!I20</f>
        <v>0.8453101461532363</v>
      </c>
      <c r="F10" s="76">
        <f>'Ratios Calculation'!J20</f>
        <v>0.77122733545900157</v>
      </c>
      <c r="G10" s="76">
        <f>'Ratios Calculation'!K20</f>
        <v>0.77175714191025391</v>
      </c>
    </row>
    <row r="11" spans="2:10">
      <c r="B11" s="71"/>
      <c r="C11" s="71"/>
      <c r="D11" s="71"/>
      <c r="E11" s="78"/>
      <c r="F11" s="78"/>
      <c r="G11" s="78"/>
    </row>
    <row r="12" spans="2:10">
      <c r="B12" s="71">
        <v>7</v>
      </c>
      <c r="C12" s="71" t="s">
        <v>21</v>
      </c>
      <c r="D12" s="71" t="s">
        <v>22</v>
      </c>
      <c r="E12" s="79">
        <f>'Ratios Calculation'!I25</f>
        <v>53.02451225612807</v>
      </c>
      <c r="F12" s="79">
        <f>'Ratios Calculation'!J25</f>
        <v>51.394778412667073</v>
      </c>
      <c r="G12" s="79">
        <f>'Ratios Calculation'!K25</f>
        <v>55.017633228840126</v>
      </c>
    </row>
    <row r="13" spans="2:10">
      <c r="B13" s="71">
        <v>8</v>
      </c>
      <c r="C13" s="71" t="s">
        <v>21</v>
      </c>
      <c r="D13" s="71" t="s">
        <v>23</v>
      </c>
      <c r="E13" s="79">
        <f>'Ratios Calculation'!I28</f>
        <v>55.8386235695219</v>
      </c>
      <c r="F13" s="79">
        <f>'Ratios Calculation'!J28</f>
        <v>57.130585827820873</v>
      </c>
      <c r="G13" s="79">
        <f>'Ratios Calculation'!K28</f>
        <v>53.076448266719687</v>
      </c>
      <c r="I13" s="80"/>
    </row>
    <row r="14" spans="2:10">
      <c r="B14" s="71">
        <v>9</v>
      </c>
      <c r="C14" s="71" t="s">
        <v>21</v>
      </c>
      <c r="D14" s="71" t="s">
        <v>24</v>
      </c>
      <c r="E14" s="79">
        <f>'Ratios Calculation'!I31</f>
        <v>133.31675212606305</v>
      </c>
      <c r="F14" s="79">
        <f>'Ratios Calculation'!J31</f>
        <v>137.73818632835159</v>
      </c>
      <c r="G14" s="79">
        <f>'Ratios Calculation'!K31</f>
        <v>125.36050156739812</v>
      </c>
      <c r="I14" s="81"/>
    </row>
    <row r="15" spans="2:10">
      <c r="B15" s="71">
        <v>10</v>
      </c>
      <c r="C15" s="71" t="s">
        <v>21</v>
      </c>
      <c r="D15" s="71" t="s">
        <v>25</v>
      </c>
      <c r="E15" s="82">
        <f>'Ratios Calculation'!I34</f>
        <v>0.67032682795470333</v>
      </c>
      <c r="F15" s="82">
        <f>'Ratios Calculation'!J34</f>
        <v>0.74967712473331571</v>
      </c>
      <c r="G15" s="82">
        <f>'Ratios Calculation'!K34</f>
        <v>0.83781757600999585</v>
      </c>
      <c r="I15" s="83"/>
    </row>
    <row r="16" spans="2:10">
      <c r="B16" s="71"/>
      <c r="C16" s="71"/>
      <c r="D16" s="71"/>
      <c r="E16" s="78"/>
      <c r="F16" s="78"/>
      <c r="G16" s="78"/>
      <c r="I16" s="84"/>
    </row>
    <row r="17" spans="2:10">
      <c r="B17" s="71">
        <v>11</v>
      </c>
      <c r="C17" s="71" t="s">
        <v>76</v>
      </c>
      <c r="D17" s="71" t="s">
        <v>77</v>
      </c>
      <c r="E17" s="82">
        <f>'Ratios Calculation'!I39</f>
        <v>1.2503982198660035</v>
      </c>
      <c r="F17" s="82">
        <f>'Ratios Calculation'!J39</f>
        <v>1.2099026464369524</v>
      </c>
      <c r="G17" s="82">
        <f>'Ratios Calculation'!K39</f>
        <v>1.087559837605284</v>
      </c>
      <c r="I17" s="84"/>
    </row>
    <row r="18" spans="2:10">
      <c r="B18" s="71">
        <v>12</v>
      </c>
      <c r="C18" s="71" t="s">
        <v>76</v>
      </c>
      <c r="D18" s="71" t="s">
        <v>81</v>
      </c>
      <c r="E18" s="82">
        <f>'Ratios Calculation'!I42</f>
        <v>0.96791138240050578</v>
      </c>
      <c r="F18" s="82">
        <f>'Ratios Calculation'!J42</f>
        <v>0.94480587374241964</v>
      </c>
      <c r="G18" s="82">
        <f>'Ratios Calculation'!K42</f>
        <v>0.80396493566826233</v>
      </c>
    </row>
    <row r="19" spans="2:10">
      <c r="B19" s="71"/>
      <c r="C19" s="71"/>
      <c r="D19" s="71"/>
      <c r="E19" s="78"/>
      <c r="F19" s="78"/>
      <c r="G19" s="78"/>
    </row>
    <row r="20" spans="2:10">
      <c r="B20" s="71">
        <v>13</v>
      </c>
      <c r="C20" s="71" t="s">
        <v>84</v>
      </c>
      <c r="D20" s="71" t="s">
        <v>85</v>
      </c>
      <c r="E20" s="76">
        <f>'Ratios Calculation'!I47</f>
        <v>0.70319722158379938</v>
      </c>
      <c r="F20" s="76">
        <f>'Ratios Calculation'!J47</f>
        <v>0.56928637432304396</v>
      </c>
      <c r="G20" s="76">
        <f>'Ratios Calculation'!K47</f>
        <v>0.52712374984937949</v>
      </c>
      <c r="H20" s="103"/>
      <c r="J20" s="67"/>
    </row>
    <row r="21" spans="2:10">
      <c r="B21" s="71">
        <v>14</v>
      </c>
      <c r="C21" s="71" t="s">
        <v>84</v>
      </c>
      <c r="D21" s="71" t="s">
        <v>86</v>
      </c>
      <c r="E21" s="76">
        <f>'Ratios Calculation'!I50</f>
        <v>0.4128689341859646</v>
      </c>
      <c r="F21" s="76">
        <f>'Ratios Calculation'!J50</f>
        <v>0.36276767812288035</v>
      </c>
      <c r="G21" s="76">
        <f>'Ratios Calculation'!K50</f>
        <v>0.34517422042671381</v>
      </c>
    </row>
    <row r="22" spans="2:10">
      <c r="B22" s="71">
        <v>15</v>
      </c>
      <c r="C22" s="71" t="s">
        <v>84</v>
      </c>
      <c r="D22" s="71" t="s">
        <v>98</v>
      </c>
      <c r="E22" s="85">
        <f>'Ratios Calculation'!I53</f>
        <v>2.5021040974529347</v>
      </c>
      <c r="F22" s="85">
        <f>'Ratios Calculation'!J53</f>
        <v>7.5987774381772715</v>
      </c>
      <c r="G22" s="85">
        <f>'Ratios Calculation'!K53</f>
        <v>6.8485193621867886</v>
      </c>
    </row>
    <row r="23" spans="2:10">
      <c r="B23" s="71"/>
      <c r="C23" s="71"/>
      <c r="D23" s="71"/>
      <c r="E23" s="78"/>
      <c r="F23" s="78"/>
      <c r="G23" s="78"/>
    </row>
    <row r="24" spans="2:10">
      <c r="B24" s="71">
        <v>16</v>
      </c>
      <c r="C24" s="71" t="s">
        <v>105</v>
      </c>
      <c r="D24" s="71" t="s">
        <v>104</v>
      </c>
      <c r="E24" s="82">
        <f>'Ratios Calculation'!I59</f>
        <v>2.38</v>
      </c>
      <c r="F24" s="82">
        <f>'Ratios Calculation'!J59</f>
        <v>87.78</v>
      </c>
      <c r="G24" s="82">
        <f>'Ratios Calculation'!K59</f>
        <v>-13.1</v>
      </c>
      <c r="H24" s="86"/>
    </row>
    <row r="25" spans="2:10">
      <c r="B25" s="71">
        <v>17</v>
      </c>
      <c r="C25" s="71" t="s">
        <v>105</v>
      </c>
      <c r="D25" s="71" t="s">
        <v>106</v>
      </c>
      <c r="E25" s="82">
        <f>'Ratios Calculation'!I62</f>
        <v>2.0640756302521011</v>
      </c>
      <c r="F25" s="82">
        <f>'Ratios Calculation'!J62</f>
        <v>6.7442526771474137E-2</v>
      </c>
      <c r="G25" s="82">
        <f>'Ratios Calculation'!K62</f>
        <v>-0.4386480916030534</v>
      </c>
    </row>
    <row r="26" spans="2:10">
      <c r="B26" s="71">
        <v>18</v>
      </c>
      <c r="C26" s="71" t="s">
        <v>105</v>
      </c>
      <c r="D26" s="71" t="s">
        <v>107</v>
      </c>
      <c r="E26" s="82">
        <f>'Ratios Calculation'!I65</f>
        <v>0.10033726812816189</v>
      </c>
      <c r="F26" s="82">
        <f>'Ratios Calculation'!J65</f>
        <v>3.931034482758621</v>
      </c>
      <c r="G26" s="82">
        <f>'Ratios Calculation'!K65</f>
        <v>-0.70354457572502682</v>
      </c>
    </row>
    <row r="27" spans="2:10">
      <c r="B27" s="71">
        <v>19</v>
      </c>
      <c r="C27" s="71" t="s">
        <v>105</v>
      </c>
      <c r="D27" s="71" t="s">
        <v>108</v>
      </c>
      <c r="E27" s="78">
        <f>'Ratios Calculation'!I68</f>
        <v>4.828498727735369E-2</v>
      </c>
      <c r="F27" s="78">
        <f>'Ratios Calculation'!J68</f>
        <v>3.7718925593380519E-2</v>
      </c>
      <c r="G27" s="78">
        <f>'Ratios Calculation'!K68</f>
        <v>3.240351600771977E-2</v>
      </c>
    </row>
    <row r="29" spans="2:10">
      <c r="B29" s="87"/>
    </row>
    <row r="30" spans="2:10">
      <c r="B30" s="88"/>
    </row>
  </sheetData>
  <conditionalFormatting sqref="I14">
    <cfRule type="cellIs" dxfId="1" priority="3" operator="equal">
      <formula>"""p"""</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B0635-8414-C247-99BF-E3E01C0F72BB}">
  <dimension ref="B2:J30"/>
  <sheetViews>
    <sheetView zoomScale="106" zoomScaleNormal="130" workbookViewId="0">
      <selection activeCell="E27" sqref="E27"/>
    </sheetView>
  </sheetViews>
  <sheetFormatPr defaultColWidth="10.796875" defaultRowHeight="14.4"/>
  <cols>
    <col min="1" max="1" width="8.5" style="66" customWidth="1"/>
    <col min="2" max="2" width="6.19921875" style="66" bestFit="1" customWidth="1"/>
    <col min="3" max="3" width="16.5" style="66" bestFit="1" customWidth="1"/>
    <col min="4" max="4" width="38.5" style="66" bestFit="1" customWidth="1"/>
    <col min="5" max="7" width="7.19921875" style="66" bestFit="1" customWidth="1"/>
    <col min="8" max="8" width="10.796875" style="66"/>
    <col min="9" max="9" width="3.796875" style="66" bestFit="1" customWidth="1"/>
    <col min="10" max="10" width="20.69921875" style="66" bestFit="1" customWidth="1"/>
    <col min="11" max="16384" width="10.796875" style="66"/>
  </cols>
  <sheetData>
    <row r="2" spans="2:10">
      <c r="B2" s="69" t="s">
        <v>268</v>
      </c>
    </row>
    <row r="4" spans="2:10">
      <c r="B4" s="70" t="s">
        <v>0</v>
      </c>
      <c r="C4" s="70" t="s">
        <v>1</v>
      </c>
      <c r="D4" s="70" t="s">
        <v>51</v>
      </c>
      <c r="E4" s="70">
        <v>2024</v>
      </c>
      <c r="F4" s="70">
        <v>2023</v>
      </c>
      <c r="G4" s="70">
        <v>2022</v>
      </c>
    </row>
    <row r="5" spans="2:10">
      <c r="B5" s="71">
        <v>1</v>
      </c>
      <c r="C5" s="71" t="s">
        <v>2</v>
      </c>
      <c r="D5" s="71" t="s">
        <v>3</v>
      </c>
      <c r="E5" s="72">
        <f>'Ratios Calculation'!M5</f>
        <v>2.8479415021822684E-2</v>
      </c>
      <c r="F5" s="73">
        <f>'Ratios Calculation'!N5</f>
        <v>2.2529349314541567E-2</v>
      </c>
      <c r="G5" s="73">
        <f>'Ratios Calculation'!O5</f>
        <v>0.11414744699709414</v>
      </c>
      <c r="J5" s="74"/>
    </row>
    <row r="6" spans="2:10">
      <c r="B6" s="71">
        <v>2</v>
      </c>
      <c r="C6" s="71" t="s">
        <v>2</v>
      </c>
      <c r="D6" s="71" t="s">
        <v>4</v>
      </c>
      <c r="E6" s="72">
        <f>'Ratios Calculation'!M8</f>
        <v>9.1697748767816709E-2</v>
      </c>
      <c r="F6" s="73">
        <f>'Ratios Calculation'!N8</f>
        <v>0.10424607935783226</v>
      </c>
      <c r="G6" s="73">
        <f>'Ratios Calculation'!O8</f>
        <v>0.22260990565792821</v>
      </c>
      <c r="J6" s="74"/>
    </row>
    <row r="7" spans="2:10">
      <c r="B7" s="71">
        <v>3</v>
      </c>
      <c r="C7" s="71" t="s">
        <v>2</v>
      </c>
      <c r="D7" s="71" t="s">
        <v>5</v>
      </c>
      <c r="E7" s="75">
        <f>'Ratios Calculation'!M11</f>
        <v>1.157546739626083</v>
      </c>
      <c r="F7" s="75">
        <f>'Ratios Calculation'!N11</f>
        <v>1.217900389272691</v>
      </c>
      <c r="G7" s="75">
        <f>'Ratios Calculation'!O11</f>
        <v>1.4260539808744497</v>
      </c>
      <c r="J7" s="74"/>
    </row>
    <row r="8" spans="2:10">
      <c r="B8" s="71">
        <v>4</v>
      </c>
      <c r="C8" s="71" t="s">
        <v>2</v>
      </c>
      <c r="D8" s="71" t="s">
        <v>52</v>
      </c>
      <c r="E8" s="76">
        <f ca="1">'Ratios Calculation'!M14</f>
        <v>0.22046202763161596</v>
      </c>
      <c r="F8" s="76">
        <f ca="1">'Ratios Calculation'!N14</f>
        <v>0.22069673425557451</v>
      </c>
      <c r="G8" s="76">
        <f ca="1">'Ratios Calculation'!O14</f>
        <v>0.22973192696832531</v>
      </c>
    </row>
    <row r="9" spans="2:10">
      <c r="B9" s="71">
        <v>5</v>
      </c>
      <c r="C9" s="71" t="s">
        <v>2</v>
      </c>
      <c r="D9" s="71" t="s">
        <v>18</v>
      </c>
      <c r="E9" s="76">
        <f>'Ratios Calculation'!M17</f>
        <v>5.8108697487267512E-2</v>
      </c>
      <c r="F9" s="76">
        <f>'Ratios Calculation'!N17</f>
        <v>6.2017560482597434E-2</v>
      </c>
      <c r="G9" s="76">
        <f>'Ratios Calculation'!O17</f>
        <v>0.1124375186853879</v>
      </c>
      <c r="I9" s="77"/>
    </row>
    <row r="10" spans="2:10">
      <c r="B10" s="71">
        <v>6</v>
      </c>
      <c r="C10" s="71" t="s">
        <v>2</v>
      </c>
      <c r="D10" s="71" t="s">
        <v>64</v>
      </c>
      <c r="E10" s="76">
        <f ca="1">'Ratios Calculation'!M20</f>
        <v>0.79612890064436248</v>
      </c>
      <c r="F10" s="76">
        <f ca="1">'Ratios Calculation'!N20</f>
        <v>0.80003158360179394</v>
      </c>
      <c r="G10" s="76">
        <f ca="1">'Ratios Calculation'!O20</f>
        <v>0.78308428224507887</v>
      </c>
    </row>
    <row r="11" spans="2:10">
      <c r="B11" s="71"/>
      <c r="C11" s="71"/>
      <c r="D11" s="71"/>
      <c r="E11" s="78"/>
      <c r="F11" s="78"/>
      <c r="G11" s="78"/>
    </row>
    <row r="12" spans="2:10">
      <c r="B12" s="71">
        <v>7</v>
      </c>
      <c r="C12" s="71" t="s">
        <v>21</v>
      </c>
      <c r="D12" s="71" t="s">
        <v>22</v>
      </c>
      <c r="E12" s="79">
        <f ca="1">'Ratios Calculation'!M25</f>
        <v>37.775691520616391</v>
      </c>
      <c r="F12" s="79">
        <f ca="1">'Ratios Calculation'!N25</f>
        <v>37.491946499490737</v>
      </c>
      <c r="G12" s="79">
        <f ca="1">'Ratios Calculation'!O25</f>
        <v>38.986172182946468</v>
      </c>
    </row>
    <row r="13" spans="2:10">
      <c r="B13" s="71">
        <v>8</v>
      </c>
      <c r="C13" s="71" t="s">
        <v>21</v>
      </c>
      <c r="D13" s="71" t="s">
        <v>23</v>
      </c>
      <c r="E13" s="79">
        <f>'Ratios Calculation'!M28</f>
        <v>66.601022820000551</v>
      </c>
      <c r="F13" s="79">
        <f>'Ratios Calculation'!N28</f>
        <v>68.67353610005685</v>
      </c>
      <c r="G13" s="79">
        <f>'Ratios Calculation'!O28</f>
        <v>70.288397488683856</v>
      </c>
      <c r="I13" s="80"/>
    </row>
    <row r="14" spans="2:10">
      <c r="B14" s="71">
        <v>9</v>
      </c>
      <c r="C14" s="71" t="s">
        <v>21</v>
      </c>
      <c r="D14" s="71" t="s">
        <v>24</v>
      </c>
      <c r="E14" s="79">
        <f ca="1">'Ratios Calculation'!M31</f>
        <v>103.17604672430627</v>
      </c>
      <c r="F14" s="79">
        <f ca="1">'Ratios Calculation'!N31</f>
        <v>102.79701230922284</v>
      </c>
      <c r="G14" s="79">
        <f ca="1">'Ratios Calculation'!O31</f>
        <v>101.19853918774551</v>
      </c>
      <c r="I14" s="81"/>
    </row>
    <row r="15" spans="2:10">
      <c r="B15" s="71">
        <v>10</v>
      </c>
      <c r="C15" s="71" t="s">
        <v>21</v>
      </c>
      <c r="D15" s="71" t="s">
        <v>25</v>
      </c>
      <c r="E15" s="82">
        <f>'Ratios Calculation'!M34</f>
        <v>0.73350206006568475</v>
      </c>
      <c r="F15" s="82">
        <f>'Ratios Calculation'!N34</f>
        <v>0.77933394048293003</v>
      </c>
      <c r="G15" s="82">
        <f>'Ratios Calculation'!O34</f>
        <v>0.8607073205966268</v>
      </c>
      <c r="I15" s="83"/>
    </row>
    <row r="16" spans="2:10">
      <c r="B16" s="71"/>
      <c r="C16" s="71"/>
      <c r="D16" s="71"/>
      <c r="E16" s="78"/>
      <c r="F16" s="78"/>
      <c r="G16" s="78"/>
      <c r="I16" s="84"/>
    </row>
    <row r="17" spans="2:10">
      <c r="B17" s="71">
        <v>11</v>
      </c>
      <c r="C17" s="71" t="s">
        <v>76</v>
      </c>
      <c r="D17" s="71" t="s">
        <v>77</v>
      </c>
      <c r="E17" s="82">
        <f>'Ratios Calculation'!M39</f>
        <v>1.3461077088200013</v>
      </c>
      <c r="F17" s="82">
        <f>'Ratios Calculation'!N39</f>
        <v>1.4048309887186148</v>
      </c>
      <c r="G17" s="82">
        <f>'Ratios Calculation'!O39</f>
        <v>1.367872657879335</v>
      </c>
      <c r="I17" s="84"/>
    </row>
    <row r="18" spans="2:10">
      <c r="B18" s="71">
        <v>12</v>
      </c>
      <c r="C18" s="71" t="s">
        <v>76</v>
      </c>
      <c r="D18" s="71" t="s">
        <v>81</v>
      </c>
      <c r="E18" s="82">
        <f>'Ratios Calculation'!M42</f>
        <v>0.75349874781657089</v>
      </c>
      <c r="F18" s="82">
        <f>'Ratios Calculation'!N42</f>
        <v>0.72745556056019356</v>
      </c>
      <c r="G18" s="82">
        <f>'Ratios Calculation'!O42</f>
        <v>0.73708896967298931</v>
      </c>
    </row>
    <row r="19" spans="2:10">
      <c r="B19" s="71"/>
      <c r="C19" s="71"/>
      <c r="D19" s="71"/>
      <c r="E19" s="78"/>
      <c r="F19" s="78"/>
      <c r="G19" s="78"/>
    </row>
    <row r="20" spans="2:10">
      <c r="B20" s="71">
        <v>13</v>
      </c>
      <c r="C20" s="71" t="s">
        <v>84</v>
      </c>
      <c r="D20" s="71" t="s">
        <v>85</v>
      </c>
      <c r="E20" s="76">
        <f>'Ratios Calculation'!M47</f>
        <v>0.36326095644065537</v>
      </c>
      <c r="F20" s="76">
        <f>'Ratios Calculation'!N47</f>
        <v>0.38017222157335345</v>
      </c>
      <c r="G20" s="76">
        <f>'Ratios Calculation'!O47</f>
        <v>0.38834457442223919</v>
      </c>
      <c r="H20" s="103"/>
      <c r="J20" s="67"/>
    </row>
    <row r="21" spans="2:10">
      <c r="B21" s="71">
        <v>14</v>
      </c>
      <c r="C21" s="71" t="s">
        <v>84</v>
      </c>
      <c r="D21" s="71" t="s">
        <v>86</v>
      </c>
      <c r="E21" s="76">
        <f>'Ratios Calculation'!M50</f>
        <v>0.26646472542505373</v>
      </c>
      <c r="F21" s="76">
        <f>'Ratios Calculation'!N50</f>
        <v>0.2754527410644223</v>
      </c>
      <c r="G21" s="76">
        <f>'Ratios Calculation'!O50</f>
        <v>0.27971771675187274</v>
      </c>
    </row>
    <row r="22" spans="2:10">
      <c r="B22" s="71">
        <v>15</v>
      </c>
      <c r="C22" s="71" t="s">
        <v>84</v>
      </c>
      <c r="D22" s="71" t="s">
        <v>98</v>
      </c>
      <c r="E22" s="85">
        <f>'Ratios Calculation'!M53</f>
        <v>6.2506789220806347</v>
      </c>
      <c r="F22" s="85">
        <f>'Ratios Calculation'!N53</f>
        <v>6.9820243954632994</v>
      </c>
      <c r="G22" s="85">
        <f>'Ratios Calculation'!O53</f>
        <v>20.375668028921723</v>
      </c>
    </row>
    <row r="23" spans="2:10">
      <c r="B23" s="71"/>
      <c r="C23" s="71"/>
      <c r="D23" s="71"/>
      <c r="E23" s="78"/>
      <c r="F23" s="78"/>
      <c r="G23" s="78"/>
    </row>
    <row r="24" spans="2:10">
      <c r="B24" s="71" t="s">
        <v>115</v>
      </c>
      <c r="C24" s="71" t="s">
        <v>105</v>
      </c>
      <c r="D24" s="71" t="s">
        <v>104</v>
      </c>
      <c r="E24" s="82">
        <f>'Ratios Calculation'!M59</f>
        <v>2.5499999999999998</v>
      </c>
      <c r="F24" s="82">
        <f>'Ratios Calculation'!N59</f>
        <v>2.88</v>
      </c>
      <c r="G24" s="82">
        <f>'Ratios Calculation'!O59</f>
        <v>5.76</v>
      </c>
      <c r="H24" s="86"/>
    </row>
    <row r="25" spans="2:10">
      <c r="B25" s="71">
        <v>17</v>
      </c>
      <c r="C25" s="71" t="s">
        <v>105</v>
      </c>
      <c r="D25" s="71" t="s">
        <v>106</v>
      </c>
      <c r="E25" s="82">
        <f>'Ratios Calculation'!M62</f>
        <v>9.7098039215686285</v>
      </c>
      <c r="F25" s="82">
        <f>'Ratios Calculation'!N62</f>
        <v>8.9288194444444446</v>
      </c>
      <c r="G25" s="82">
        <f>'Ratios Calculation'!O62</f>
        <v>4.0381944444444446</v>
      </c>
    </row>
    <row r="26" spans="2:10">
      <c r="B26" s="71">
        <v>18</v>
      </c>
      <c r="C26" s="71" t="s">
        <v>105</v>
      </c>
      <c r="D26" s="71" t="s">
        <v>107</v>
      </c>
      <c r="E26" s="82">
        <f>'Ratios Calculation'!M65</f>
        <v>1.8531976744186047</v>
      </c>
      <c r="F26" s="82">
        <f>'Ratios Calculation'!N65</f>
        <v>2.3282134195634598</v>
      </c>
      <c r="G26" s="82">
        <f>'Ratios Calculation'!O65</f>
        <v>5.8181818181818183</v>
      </c>
    </row>
    <row r="27" spans="2:10">
      <c r="B27" s="71">
        <v>19</v>
      </c>
      <c r="C27" s="71" t="s">
        <v>105</v>
      </c>
      <c r="D27" s="71" t="s">
        <v>108</v>
      </c>
      <c r="E27" s="78">
        <f>'Ratios Calculation'!M68</f>
        <v>4.445880452342487E-2</v>
      </c>
      <c r="F27" s="78">
        <f>'Ratios Calculation'!N68</f>
        <v>3.7877338052945596E-2</v>
      </c>
      <c r="G27" s="78">
        <f>'Ratios Calculation'!O68</f>
        <v>3.5175486594231219E-2</v>
      </c>
    </row>
    <row r="29" spans="2:10">
      <c r="B29" s="87"/>
    </row>
    <row r="30" spans="2:10">
      <c r="B30" s="88"/>
    </row>
  </sheetData>
  <conditionalFormatting sqref="I14">
    <cfRule type="cellIs" dxfId="0" priority="1" operator="equal">
      <formula>"""p"""</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224D-2F97-1A44-B33D-77667B55B1CB}">
  <dimension ref="A1:A16"/>
  <sheetViews>
    <sheetView zoomScale="120" zoomScaleNormal="120" workbookViewId="0">
      <selection activeCell="D21" sqref="D21"/>
    </sheetView>
  </sheetViews>
  <sheetFormatPr defaultColWidth="11.19921875" defaultRowHeight="15.6"/>
  <sheetData>
    <row r="1" spans="1:1">
      <c r="A1" s="2" t="s">
        <v>56</v>
      </c>
    </row>
    <row r="3" spans="1:1">
      <c r="A3" s="32" t="s">
        <v>57</v>
      </c>
    </row>
    <row r="4" spans="1:1">
      <c r="A4" s="1" t="s">
        <v>58</v>
      </c>
    </row>
    <row r="5" spans="1:1">
      <c r="A5" s="1" t="s">
        <v>59</v>
      </c>
    </row>
    <row r="6" spans="1:1">
      <c r="A6" s="32" t="s">
        <v>60</v>
      </c>
    </row>
    <row r="7" spans="1:1">
      <c r="A7" s="32" t="s">
        <v>61</v>
      </c>
    </row>
    <row r="8" spans="1:1">
      <c r="A8" s="32" t="s">
        <v>62</v>
      </c>
    </row>
    <row r="10" spans="1:1">
      <c r="A10" s="2" t="s">
        <v>75</v>
      </c>
    </row>
    <row r="12" spans="1:1">
      <c r="A12" s="1" t="s">
        <v>70</v>
      </c>
    </row>
    <row r="13" spans="1:1">
      <c r="A13" s="1" t="s">
        <v>71</v>
      </c>
    </row>
    <row r="14" spans="1:1">
      <c r="A14" s="1" t="s">
        <v>72</v>
      </c>
    </row>
    <row r="15" spans="1:1">
      <c r="A15" s="1" t="s">
        <v>73</v>
      </c>
    </row>
    <row r="16" spans="1:1">
      <c r="A16" s="1" t="s">
        <v>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8C3CA-FDFF-3247-BF2B-A8CD781101CB}">
  <dimension ref="B2:P31"/>
  <sheetViews>
    <sheetView zoomScale="74" zoomScaleNormal="120" workbookViewId="0">
      <selection activeCell="I28" sqref="I28"/>
    </sheetView>
  </sheetViews>
  <sheetFormatPr defaultColWidth="10.796875" defaultRowHeight="15.6"/>
  <cols>
    <col min="1" max="1" width="7.3984375" customWidth="1"/>
    <col min="2" max="2" width="6.69921875" customWidth="1"/>
    <col min="3" max="3" width="16.5" bestFit="1" customWidth="1"/>
    <col min="4" max="4" width="39.09765625" bestFit="1" customWidth="1"/>
    <col min="5" max="5" width="6.19921875" bestFit="1" customWidth="1"/>
    <col min="6" max="6" width="7.19921875" bestFit="1" customWidth="1"/>
    <col min="7" max="7" width="7.8984375" bestFit="1" customWidth="1"/>
    <col min="8" max="8" width="2.69921875" customWidth="1"/>
    <col min="9" max="9" width="8.09765625" bestFit="1" customWidth="1"/>
    <col min="10" max="10" width="7" bestFit="1" customWidth="1"/>
    <col min="11" max="11" width="7.69921875" bestFit="1" customWidth="1"/>
    <col min="12" max="12" width="2.69921875" customWidth="1"/>
    <col min="13" max="15" width="8.09765625" bestFit="1" customWidth="1"/>
  </cols>
  <sheetData>
    <row r="2" spans="2:15">
      <c r="B2" s="2" t="s">
        <v>124</v>
      </c>
    </row>
    <row r="4" spans="2:15">
      <c r="E4" s="242" t="s">
        <v>135</v>
      </c>
      <c r="F4" s="242"/>
      <c r="G4" s="242"/>
      <c r="I4" s="240" t="s">
        <v>269</v>
      </c>
      <c r="J4" s="240"/>
      <c r="K4" s="240"/>
      <c r="M4" s="241" t="s">
        <v>270</v>
      </c>
      <c r="N4" s="241"/>
      <c r="O4" s="241"/>
    </row>
    <row r="5" spans="2:15">
      <c r="B5" s="12" t="s">
        <v>0</v>
      </c>
      <c r="C5" s="12" t="s">
        <v>1</v>
      </c>
      <c r="D5" s="54" t="s">
        <v>51</v>
      </c>
      <c r="E5" s="53">
        <v>2024</v>
      </c>
      <c r="F5" s="53">
        <v>2023</v>
      </c>
      <c r="G5" s="53">
        <v>2022</v>
      </c>
      <c r="H5" s="55"/>
      <c r="I5" s="12">
        <v>2024</v>
      </c>
      <c r="J5" s="12">
        <v>2023</v>
      </c>
      <c r="K5" s="12">
        <v>2022</v>
      </c>
      <c r="L5" s="35"/>
      <c r="M5" s="34">
        <v>2024</v>
      </c>
      <c r="N5" s="34">
        <v>2023</v>
      </c>
      <c r="O5" s="34">
        <v>2022</v>
      </c>
    </row>
    <row r="6" spans="2:15">
      <c r="B6" s="7">
        <v>1</v>
      </c>
      <c r="C6" s="7" t="s">
        <v>2</v>
      </c>
      <c r="D6" s="7" t="s">
        <v>3</v>
      </c>
      <c r="E6" s="25"/>
      <c r="F6" s="25"/>
      <c r="G6" s="25"/>
      <c r="H6" s="25"/>
      <c r="I6" s="89">
        <f>'Ratios Calculation'!I5</f>
        <v>8.4690871198206771E-2</v>
      </c>
      <c r="J6" s="89">
        <f>'Ratios Calculation'!J5</f>
        <v>0.2038415956709376</v>
      </c>
      <c r="K6" s="89">
        <f>'Ratios Calculation'!K5</f>
        <v>0.14233524807473805</v>
      </c>
      <c r="L6" s="89"/>
      <c r="M6" s="89">
        <f>'Ratios Calculation'!M5</f>
        <v>2.8479415021822684E-2</v>
      </c>
      <c r="N6" s="89">
        <f>'Ratios Calculation'!N5</f>
        <v>2.2529349314541567E-2</v>
      </c>
      <c r="O6" s="89">
        <f>'Ratios Calculation'!O5</f>
        <v>0.11414744699709414</v>
      </c>
    </row>
    <row r="7" spans="2:15">
      <c r="B7" s="7">
        <v>2</v>
      </c>
      <c r="C7" s="7" t="s">
        <v>2</v>
      </c>
      <c r="D7" s="7" t="s">
        <v>4</v>
      </c>
      <c r="E7" s="90"/>
      <c r="F7" s="149">
        <v>-0.218</v>
      </c>
      <c r="G7" s="149">
        <v>-1.577</v>
      </c>
      <c r="H7" s="89"/>
      <c r="I7" s="89">
        <f>'Ratios Calculation'!I8</f>
        <v>1.5692433412497764E-2</v>
      </c>
      <c r="J7" s="89">
        <f>'Ratios Calculation'!J8</f>
        <v>0.18574620144339302</v>
      </c>
      <c r="K7" s="89">
        <f>'Ratios Calculation'!K8</f>
        <v>-1.6351367634654779E-2</v>
      </c>
      <c r="L7" s="89"/>
      <c r="M7" s="89">
        <f>'Ratios Calculation'!M8</f>
        <v>9.1697748767816709E-2</v>
      </c>
      <c r="N7" s="89">
        <f>'Ratios Calculation'!N8</f>
        <v>0.10424607935783226</v>
      </c>
      <c r="O7" s="89">
        <f>'Ratios Calculation'!O8</f>
        <v>0.22260990565792821</v>
      </c>
    </row>
    <row r="8" spans="2:15">
      <c r="B8" s="7">
        <v>3</v>
      </c>
      <c r="C8" s="7" t="s">
        <v>2</v>
      </c>
      <c r="D8" s="7" t="s">
        <v>5</v>
      </c>
      <c r="E8" s="7"/>
      <c r="F8" s="7"/>
      <c r="G8" s="7"/>
      <c r="H8" s="7"/>
      <c r="I8" s="28">
        <f>'Ratios Calculation'!I11</f>
        <v>1.4182740964532841</v>
      </c>
      <c r="J8" s="28">
        <f>'Ratios Calculation'!J11</f>
        <v>1.5662291391814436</v>
      </c>
      <c r="K8" s="28">
        <f>'Ratios Calculation'!K11</f>
        <v>1.9046837520515087</v>
      </c>
      <c r="L8" s="36"/>
      <c r="M8" s="28">
        <f>'Ratios Calculation'!M11</f>
        <v>1.157546739626083</v>
      </c>
      <c r="N8" s="28">
        <f>'Ratios Calculation'!N11</f>
        <v>1.217900389272691</v>
      </c>
      <c r="O8" s="28">
        <f>'Ratios Calculation'!O11</f>
        <v>1.4260539808744497</v>
      </c>
    </row>
    <row r="9" spans="2:15">
      <c r="B9" s="7">
        <v>4</v>
      </c>
      <c r="C9" s="7" t="s">
        <v>2</v>
      </c>
      <c r="D9" s="7" t="s">
        <v>52</v>
      </c>
      <c r="E9" s="89"/>
      <c r="F9" s="90">
        <v>0.34699999999999998</v>
      </c>
      <c r="G9" s="90">
        <v>0.44800000000000001</v>
      </c>
      <c r="H9" s="89"/>
      <c r="I9" s="25">
        <f>'Ratios Calculation'!I14</f>
        <v>0.1834659196025055</v>
      </c>
      <c r="J9" s="25">
        <f>'Ratios Calculation'!J14</f>
        <v>0.24258316280397849</v>
      </c>
      <c r="K9" s="25">
        <f>'Ratios Calculation'!K14</f>
        <v>0.25930851063829785</v>
      </c>
      <c r="L9" s="37"/>
      <c r="M9" s="25">
        <f ca="1">'Ratios Calculation'!M14</f>
        <v>0.22046202763161596</v>
      </c>
      <c r="N9" s="25">
        <f ca="1">'Ratios Calculation'!N14</f>
        <v>0.22069673425557451</v>
      </c>
      <c r="O9" s="25">
        <f ca="1">'Ratios Calculation'!O14</f>
        <v>0.22973192696832531</v>
      </c>
    </row>
    <row r="10" spans="2:15">
      <c r="B10" s="7">
        <v>5</v>
      </c>
      <c r="C10" s="7" t="s">
        <v>2</v>
      </c>
      <c r="D10" s="7" t="s">
        <v>18</v>
      </c>
      <c r="E10" s="45"/>
      <c r="F10" s="45"/>
      <c r="G10" s="45"/>
      <c r="H10" s="25"/>
      <c r="I10" s="25">
        <f>'Ratios Calculation'!I17</f>
        <v>6.4962867034912917E-3</v>
      </c>
      <c r="J10" s="25">
        <f>'Ratios Calculation'!J17</f>
        <v>7.557226478846428E-2</v>
      </c>
      <c r="K10" s="25">
        <f>'Ratios Calculation'!K17</f>
        <v>-5.6215616093325382E-3</v>
      </c>
      <c r="L10" s="37"/>
      <c r="M10" s="25">
        <f>'Ratios Calculation'!M17</f>
        <v>5.8108697487267512E-2</v>
      </c>
      <c r="N10" s="25">
        <f>'Ratios Calculation'!N17</f>
        <v>6.2017560482597434E-2</v>
      </c>
      <c r="O10" s="25">
        <f>'Ratios Calculation'!O17</f>
        <v>0.1124375186853879</v>
      </c>
    </row>
    <row r="11" spans="2:15">
      <c r="B11" s="7">
        <v>6</v>
      </c>
      <c r="C11" s="7" t="s">
        <v>2</v>
      </c>
      <c r="D11" s="7" t="s">
        <v>64</v>
      </c>
      <c r="E11" s="7"/>
      <c r="F11" s="7"/>
      <c r="G11" s="7"/>
      <c r="H11" s="7"/>
      <c r="I11" s="25">
        <f>'Ratios Calculation'!I20</f>
        <v>0.8453101461532363</v>
      </c>
      <c r="J11" s="25">
        <f>'Ratios Calculation'!J20</f>
        <v>0.77122733545900157</v>
      </c>
      <c r="K11" s="25">
        <f>'Ratios Calculation'!K20</f>
        <v>0.77175714191025391</v>
      </c>
      <c r="L11" s="37"/>
      <c r="M11" s="25">
        <f ca="1">'Ratios Calculation'!M20</f>
        <v>0.79612890064436248</v>
      </c>
      <c r="N11" s="25">
        <f ca="1">'Ratios Calculation'!N20</f>
        <v>0.80003158360179394</v>
      </c>
      <c r="O11" s="25">
        <f ca="1">'Ratios Calculation'!O20</f>
        <v>0.78308428224507887</v>
      </c>
    </row>
    <row r="12" spans="2:15">
      <c r="B12" s="7"/>
      <c r="C12" s="7"/>
      <c r="D12" s="7"/>
      <c r="E12" s="7"/>
      <c r="F12" s="7"/>
      <c r="G12" s="7"/>
      <c r="H12" s="7"/>
      <c r="I12" s="90"/>
      <c r="J12" s="90"/>
      <c r="K12" s="90"/>
      <c r="L12" s="90"/>
      <c r="M12" s="90"/>
      <c r="N12" s="90"/>
      <c r="O12" s="90"/>
    </row>
    <row r="13" spans="2:15">
      <c r="B13" s="7">
        <v>7</v>
      </c>
      <c r="C13" s="7" t="s">
        <v>21</v>
      </c>
      <c r="D13" s="7" t="s">
        <v>22</v>
      </c>
      <c r="E13" s="7"/>
      <c r="F13" s="7">
        <v>105</v>
      </c>
      <c r="G13" s="7">
        <v>47</v>
      </c>
      <c r="H13" s="7"/>
      <c r="I13" s="91">
        <f>'Ratios Calculation'!I25</f>
        <v>53.02451225612807</v>
      </c>
      <c r="J13" s="91">
        <f>'Ratios Calculation'!J25</f>
        <v>51.394778412667073</v>
      </c>
      <c r="K13" s="91">
        <f>'Ratios Calculation'!K25</f>
        <v>55.017633228840126</v>
      </c>
      <c r="L13" s="91"/>
      <c r="M13" s="91">
        <f ca="1">'Ratios Calculation'!M25</f>
        <v>37.775691520616391</v>
      </c>
      <c r="N13" s="91">
        <f ca="1">'Ratios Calculation'!N25</f>
        <v>37.491946499490737</v>
      </c>
      <c r="O13" s="91">
        <f ca="1">'Ratios Calculation'!O25</f>
        <v>38.986172182946468</v>
      </c>
    </row>
    <row r="14" spans="2:15">
      <c r="B14" s="7">
        <v>8</v>
      </c>
      <c r="C14" s="7" t="s">
        <v>21</v>
      </c>
      <c r="D14" s="7" t="s">
        <v>23</v>
      </c>
      <c r="E14" s="7"/>
      <c r="F14" s="7">
        <v>57</v>
      </c>
      <c r="G14" s="7">
        <v>54</v>
      </c>
      <c r="H14" s="7"/>
      <c r="I14" s="91">
        <f>'Ratios Calculation'!I28</f>
        <v>55.8386235695219</v>
      </c>
      <c r="J14" s="91">
        <f>'Ratios Calculation'!J28</f>
        <v>57.130585827820873</v>
      </c>
      <c r="K14" s="91">
        <f>'Ratios Calculation'!K28</f>
        <v>53.076448266719687</v>
      </c>
      <c r="L14" s="91"/>
      <c r="M14" s="91">
        <f>'Ratios Calculation'!M28</f>
        <v>66.601022820000551</v>
      </c>
      <c r="N14" s="91">
        <f>'Ratios Calculation'!N28</f>
        <v>68.67353610005685</v>
      </c>
      <c r="O14" s="91">
        <f>'Ratios Calculation'!O28</f>
        <v>70.288397488683856</v>
      </c>
    </row>
    <row r="15" spans="2:15">
      <c r="B15" s="7">
        <v>9</v>
      </c>
      <c r="C15" s="7" t="s">
        <v>21</v>
      </c>
      <c r="D15" s="7" t="s">
        <v>24</v>
      </c>
      <c r="E15" s="7"/>
      <c r="F15" s="7"/>
      <c r="G15" s="7"/>
      <c r="H15" s="7"/>
      <c r="I15" s="91">
        <f>'Ratios Calculation'!I31</f>
        <v>133.31675212606305</v>
      </c>
      <c r="J15" s="91">
        <f>'Ratios Calculation'!J31</f>
        <v>137.73818632835159</v>
      </c>
      <c r="K15" s="91">
        <f>'Ratios Calculation'!K31</f>
        <v>125.36050156739812</v>
      </c>
      <c r="L15" s="91"/>
      <c r="M15" s="91">
        <f ca="1">'Ratios Calculation'!M31</f>
        <v>103.17604672430627</v>
      </c>
      <c r="N15" s="91">
        <f ca="1">'Ratios Calculation'!N31</f>
        <v>102.79701230922284</v>
      </c>
      <c r="O15" s="91">
        <f ca="1">'Ratios Calculation'!O31</f>
        <v>101.19853918774551</v>
      </c>
    </row>
    <row r="16" spans="2:15">
      <c r="B16" s="7">
        <v>10</v>
      </c>
      <c r="C16" s="7" t="s">
        <v>21</v>
      </c>
      <c r="D16" s="7" t="s">
        <v>25</v>
      </c>
      <c r="E16" s="7"/>
      <c r="G16" s="7"/>
      <c r="H16" s="7"/>
      <c r="I16" s="92">
        <f>'Ratios Calculation'!I34</f>
        <v>0.67032682795470333</v>
      </c>
      <c r="J16" s="92">
        <f>'Ratios Calculation'!J34</f>
        <v>0.74967712473331571</v>
      </c>
      <c r="K16" s="92">
        <f>'Ratios Calculation'!K34</f>
        <v>0.83781757600999585</v>
      </c>
      <c r="L16" s="92"/>
      <c r="M16" s="92">
        <f>'Ratios Calculation'!M34</f>
        <v>0.73350206006568475</v>
      </c>
      <c r="N16" s="92">
        <f>'Ratios Calculation'!N34</f>
        <v>0.77933394048293003</v>
      </c>
      <c r="O16" s="92">
        <f>'Ratios Calculation'!O34</f>
        <v>0.8607073205966268</v>
      </c>
    </row>
    <row r="17" spans="2:16">
      <c r="B17" s="7"/>
      <c r="C17" s="7"/>
      <c r="D17" s="7"/>
      <c r="E17" s="7"/>
      <c r="F17" s="7"/>
      <c r="G17" s="7"/>
      <c r="H17" s="7"/>
      <c r="I17" s="90"/>
      <c r="J17" s="90"/>
      <c r="K17" s="90"/>
      <c r="L17" s="90"/>
      <c r="M17" s="90"/>
      <c r="N17" s="90"/>
      <c r="O17" s="90"/>
    </row>
    <row r="18" spans="2:16">
      <c r="B18" s="7">
        <v>11</v>
      </c>
      <c r="C18" s="7" t="s">
        <v>76</v>
      </c>
      <c r="D18" s="7" t="s">
        <v>77</v>
      </c>
      <c r="E18" s="7"/>
      <c r="F18" s="7">
        <v>3.33</v>
      </c>
      <c r="G18" s="7">
        <v>3.54</v>
      </c>
      <c r="H18" s="7"/>
      <c r="I18" s="92">
        <f>'Ratios Calculation'!I39</f>
        <v>1.2503982198660035</v>
      </c>
      <c r="J18" s="92">
        <f>'Ratios Calculation'!J39</f>
        <v>1.2099026464369524</v>
      </c>
      <c r="K18" s="92">
        <f>'Ratios Calculation'!K39</f>
        <v>1.087559837605284</v>
      </c>
      <c r="L18" s="92"/>
      <c r="M18" s="92">
        <f>'Ratios Calculation'!M39</f>
        <v>1.3461077088200013</v>
      </c>
      <c r="N18" s="92">
        <f>'Ratios Calculation'!N39</f>
        <v>1.4048309887186148</v>
      </c>
      <c r="O18" s="92">
        <f>'Ratios Calculation'!O39</f>
        <v>1.367872657879335</v>
      </c>
    </row>
    <row r="19" spans="2:16">
      <c r="B19" s="7">
        <v>12</v>
      </c>
      <c r="C19" s="7" t="s">
        <v>76</v>
      </c>
      <c r="D19" s="7" t="s">
        <v>81</v>
      </c>
      <c r="E19" s="7"/>
      <c r="F19" s="7">
        <v>2.87</v>
      </c>
      <c r="G19" s="56">
        <v>2.74</v>
      </c>
      <c r="H19" s="7"/>
      <c r="I19" s="92">
        <f>'Ratios Calculation'!I42</f>
        <v>0.96791138240050578</v>
      </c>
      <c r="J19" s="92">
        <f>'Ratios Calculation'!J42</f>
        <v>0.94480587374241964</v>
      </c>
      <c r="K19" s="92">
        <f>'Ratios Calculation'!K42</f>
        <v>0.80396493566826233</v>
      </c>
      <c r="L19" s="92"/>
      <c r="M19" s="92">
        <f>'Ratios Calculation'!M42</f>
        <v>0.75349874781657089</v>
      </c>
      <c r="N19" s="92">
        <f>'Ratios Calculation'!N42</f>
        <v>0.72745556056019356</v>
      </c>
      <c r="O19" s="92">
        <f>'Ratios Calculation'!O42</f>
        <v>0.73708896967298931</v>
      </c>
    </row>
    <row r="20" spans="2:16">
      <c r="B20" s="7"/>
      <c r="C20" s="7"/>
      <c r="D20" s="7"/>
      <c r="E20" s="7"/>
      <c r="F20" s="7"/>
      <c r="G20" s="7"/>
      <c r="H20" s="7"/>
      <c r="I20" s="90"/>
      <c r="J20" s="90"/>
      <c r="K20" s="90"/>
      <c r="L20" s="90"/>
      <c r="M20" s="90"/>
      <c r="N20" s="90"/>
      <c r="O20" s="90"/>
    </row>
    <row r="21" spans="2:16">
      <c r="B21" s="7">
        <v>13</v>
      </c>
      <c r="C21" s="7" t="s">
        <v>84</v>
      </c>
      <c r="D21" s="7" t="s">
        <v>88</v>
      </c>
      <c r="E21" s="56"/>
      <c r="F21" s="56">
        <v>1.38</v>
      </c>
      <c r="G21" s="56">
        <v>2.5099999999999998</v>
      </c>
      <c r="H21" s="25"/>
      <c r="I21" s="56">
        <f>'Ratios Calculation'!I47</f>
        <v>0.70319722158379938</v>
      </c>
      <c r="J21" s="56">
        <f>'Ratios Calculation'!J47</f>
        <v>0.56928637432304396</v>
      </c>
      <c r="K21" s="56">
        <f>'Ratios Calculation'!K47</f>
        <v>0.52712374984937949</v>
      </c>
      <c r="L21" s="56"/>
      <c r="M21" s="56">
        <f>'Ratios Calculation'!M47</f>
        <v>0.36326095644065537</v>
      </c>
      <c r="N21" s="56">
        <f>'Ratios Calculation'!N47</f>
        <v>0.38017222157335345</v>
      </c>
      <c r="O21" s="56">
        <f>'Ratios Calculation'!O47</f>
        <v>0.38834457442223919</v>
      </c>
    </row>
    <row r="22" spans="2:16">
      <c r="B22" s="7">
        <v>14</v>
      </c>
      <c r="C22" s="7" t="s">
        <v>84</v>
      </c>
      <c r="D22" s="7" t="s">
        <v>91</v>
      </c>
      <c r="E22" s="7"/>
      <c r="F22" s="7"/>
      <c r="G22" s="7"/>
      <c r="H22" s="7"/>
      <c r="I22" s="25">
        <f>'Ratios Calculation'!I50</f>
        <v>0.4128689341859646</v>
      </c>
      <c r="J22" s="25">
        <f>'Ratios Calculation'!J50</f>
        <v>0.36276767812288035</v>
      </c>
      <c r="K22" s="25">
        <f>'Ratios Calculation'!K50</f>
        <v>0.34517422042671381</v>
      </c>
      <c r="L22" s="25"/>
      <c r="M22" s="25">
        <f>'Ratios Calculation'!M50</f>
        <v>0.26646472542505373</v>
      </c>
      <c r="N22" s="25">
        <f>'Ratios Calculation'!N50</f>
        <v>0.2754527410644223</v>
      </c>
      <c r="O22" s="25">
        <f>'Ratios Calculation'!O50</f>
        <v>0.27971771675187274</v>
      </c>
    </row>
    <row r="23" spans="2:16">
      <c r="B23" s="7">
        <v>15</v>
      </c>
      <c r="C23" s="7" t="s">
        <v>84</v>
      </c>
      <c r="D23" s="7" t="s">
        <v>120</v>
      </c>
      <c r="E23" s="7"/>
      <c r="F23" s="7">
        <v>46.14</v>
      </c>
      <c r="G23" s="7">
        <v>230.47</v>
      </c>
      <c r="H23" s="7"/>
      <c r="I23" s="56">
        <f>'Ratios Calculation'!I53</f>
        <v>2.5021040974529347</v>
      </c>
      <c r="J23" s="56">
        <f>'Ratios Calculation'!J53</f>
        <v>7.5987774381772715</v>
      </c>
      <c r="K23" s="56">
        <f>'Ratios Calculation'!K53</f>
        <v>6.8485193621867886</v>
      </c>
      <c r="L23" s="56"/>
      <c r="M23" s="56">
        <f>'Ratios Calculation'!M53</f>
        <v>6.2506789220806347</v>
      </c>
      <c r="N23" s="56">
        <f>'Ratios Calculation'!N53</f>
        <v>6.9820243954632994</v>
      </c>
      <c r="O23" s="56">
        <f>'Ratios Calculation'!O53</f>
        <v>20.375668028921723</v>
      </c>
      <c r="P23" s="62"/>
    </row>
    <row r="24" spans="2:16">
      <c r="B24" s="7"/>
      <c r="C24" s="7"/>
      <c r="D24" s="7"/>
      <c r="E24" s="7"/>
      <c r="F24" s="7"/>
      <c r="G24" s="7"/>
      <c r="H24" s="7"/>
      <c r="I24" s="90"/>
      <c r="J24" s="90"/>
      <c r="K24" s="90"/>
      <c r="L24" s="90"/>
      <c r="M24" s="90"/>
      <c r="N24" s="90"/>
      <c r="O24" s="90"/>
      <c r="P24" s="46"/>
    </row>
    <row r="25" spans="2:16">
      <c r="B25" s="7">
        <v>16</v>
      </c>
      <c r="C25" s="7" t="s">
        <v>105</v>
      </c>
      <c r="D25" s="7" t="s">
        <v>104</v>
      </c>
      <c r="E25" s="7"/>
      <c r="F25" s="7"/>
      <c r="G25" s="7"/>
      <c r="H25" s="7"/>
      <c r="I25" s="92">
        <f>'Ratios Calculation'!I59</f>
        <v>2.38</v>
      </c>
      <c r="J25" s="92">
        <f>'Ratios Calculation'!J59</f>
        <v>87.78</v>
      </c>
      <c r="K25" s="92">
        <f>'Ratios Calculation'!K59</f>
        <v>-13.1</v>
      </c>
      <c r="L25" s="90"/>
      <c r="M25" s="92">
        <f>'Ratios Calculation'!M59</f>
        <v>2.5499999999999998</v>
      </c>
      <c r="N25" s="92">
        <f>'Ratios Calculation'!N59</f>
        <v>2.88</v>
      </c>
      <c r="O25" s="92">
        <f>'Ratios Calculation'!O59</f>
        <v>5.76</v>
      </c>
      <c r="P25" s="62"/>
    </row>
    <row r="26" spans="2:16">
      <c r="B26" s="7">
        <v>17</v>
      </c>
      <c r="C26" s="7" t="s">
        <v>105</v>
      </c>
      <c r="D26" s="7" t="s">
        <v>106</v>
      </c>
      <c r="E26" s="7"/>
      <c r="F26" s="7"/>
      <c r="G26" s="7"/>
      <c r="H26" s="7"/>
      <c r="I26" s="92">
        <f>'Ratios Calculation'!I62</f>
        <v>2.0640756302521011</v>
      </c>
      <c r="J26" s="92">
        <f>'Ratios Calculation'!J62</f>
        <v>6.7442526771474137E-2</v>
      </c>
      <c r="K26" s="92">
        <f>'Ratios Calculation'!K62</f>
        <v>-0.4386480916030534</v>
      </c>
      <c r="L26" s="90"/>
      <c r="M26" s="92">
        <f>'Ratios Calculation'!M62</f>
        <v>9.7098039215686285</v>
      </c>
      <c r="N26" s="92">
        <f>'Ratios Calculation'!N62</f>
        <v>8.9288194444444446</v>
      </c>
      <c r="O26" s="92">
        <f>'Ratios Calculation'!O62</f>
        <v>4.0381944444444446</v>
      </c>
      <c r="P26" s="46"/>
    </row>
    <row r="27" spans="2:16">
      <c r="B27" s="7">
        <v>18</v>
      </c>
      <c r="C27" s="7" t="s">
        <v>105</v>
      </c>
      <c r="D27" s="7" t="s">
        <v>107</v>
      </c>
      <c r="E27" s="7"/>
      <c r="F27" s="7"/>
      <c r="G27" s="7"/>
      <c r="H27" s="7"/>
      <c r="I27" s="92">
        <f>'Ratios Calculation'!I65</f>
        <v>0.10033726812816189</v>
      </c>
      <c r="J27" s="92">
        <f>'Ratios Calculation'!J65</f>
        <v>3.931034482758621</v>
      </c>
      <c r="K27" s="92">
        <f>'Ratios Calculation'!K65</f>
        <v>-0.70354457572502682</v>
      </c>
      <c r="L27" s="90"/>
      <c r="M27" s="92">
        <f>'Ratios Calculation'!M65</f>
        <v>1.8531976744186047</v>
      </c>
      <c r="N27" s="92">
        <f>'Ratios Calculation'!N65</f>
        <v>2.3282134195634598</v>
      </c>
      <c r="O27" s="92">
        <f>'Ratios Calculation'!O65</f>
        <v>5.8181818181818183</v>
      </c>
    </row>
    <row r="28" spans="2:16">
      <c r="B28" s="7">
        <v>19</v>
      </c>
      <c r="C28" s="7" t="s">
        <v>105</v>
      </c>
      <c r="D28" s="7" t="s">
        <v>277</v>
      </c>
      <c r="E28" s="90"/>
      <c r="F28" s="90"/>
      <c r="G28" s="90"/>
      <c r="H28" s="90"/>
      <c r="I28" s="90">
        <f>'Ratios Calculation'!I68</f>
        <v>4.828498727735369E-2</v>
      </c>
      <c r="J28" s="90">
        <f>'Ratios Calculation'!J68</f>
        <v>3.7718925593380519E-2</v>
      </c>
      <c r="K28" s="90">
        <f>'Ratios Calculation'!K68</f>
        <v>3.240351600771977E-2</v>
      </c>
      <c r="L28" s="7"/>
      <c r="M28" s="90">
        <f>'Ratios Calculation'!M68</f>
        <v>4.445880452342487E-2</v>
      </c>
      <c r="N28" s="90">
        <f>'Ratios Calculation'!N68</f>
        <v>3.7877338052945596E-2</v>
      </c>
      <c r="O28" s="90">
        <f>'Ratios Calculation'!O68</f>
        <v>3.5175486594231219E-2</v>
      </c>
    </row>
    <row r="30" spans="2:16">
      <c r="B30" s="1" t="s">
        <v>63</v>
      </c>
    </row>
    <row r="31" spans="2:16">
      <c r="B31" s="198" t="s">
        <v>278</v>
      </c>
    </row>
  </sheetData>
  <mergeCells count="3">
    <mergeCell ref="I4:K4"/>
    <mergeCell ref="M4:O4"/>
    <mergeCell ref="E4:G4"/>
  </mergeCells>
  <hyperlinks>
    <hyperlink ref="B31" r:id="rId1" xr:uid="{D9128C83-314B-4EE5-BA1C-0ADE56E8B82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Summary Requirement</vt:lpstr>
      <vt:lpstr>Income Statement BP</vt:lpstr>
      <vt:lpstr>BP Balance Sheet</vt:lpstr>
      <vt:lpstr>Shell Income Statement</vt:lpstr>
      <vt:lpstr>Shell Balance Sheet</vt:lpstr>
      <vt:lpstr>BP Ratio Analysis </vt:lpstr>
      <vt:lpstr>Shell Ratio Analysis</vt:lpstr>
      <vt:lpstr>Ratio Requirements</vt:lpstr>
      <vt:lpstr>Industry Ratio Analysis</vt:lpstr>
      <vt:lpstr>Ratios Calculation</vt:lpstr>
      <vt:lpstr>Comparison Charts and Graphs</vt:lpstr>
      <vt:lpstr>Company Valuation</vt:lpstr>
      <vt:lpstr>Initiatives Impact</vt:lpstr>
      <vt:lpstr>Data Sources &amp; 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Oyebamiji Ojo</cp:lastModifiedBy>
  <cp:lastPrinted>2025-05-31T09:00:59Z</cp:lastPrinted>
  <dcterms:created xsi:type="dcterms:W3CDTF">2022-02-13T22:22:02Z</dcterms:created>
  <dcterms:modified xsi:type="dcterms:W3CDTF">2025-07-27T01:52:49Z</dcterms:modified>
</cp:coreProperties>
</file>